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ottecchia/Documents/PhD/Article3/ENB Submission/Final/"/>
    </mc:Choice>
  </mc:AlternateContent>
  <xr:revisionPtr revIDLastSave="0" documentId="13_ncr:1_{9D17BE69-21B3-554D-8943-625F035D0E25}" xr6:coauthVersionLast="47" xr6:coauthVersionMax="47" xr10:uidLastSave="{00000000-0000-0000-0000-000000000000}"/>
  <bookViews>
    <workbookView xWindow="0" yWindow="740" windowWidth="29400" windowHeight="18380" activeTab="3" xr2:uid="{00000000-000D-0000-FFFF-FFFF00000000}"/>
  </bookViews>
  <sheets>
    <sheet name="Financial Model BASE" sheetId="2" r:id="rId1"/>
    <sheet name="Financial Model FIP" sheetId="4" r:id="rId2"/>
    <sheet name="Financial Model FIC" sheetId="5" r:id="rId3"/>
    <sheet name="Financial Model COMBO" sheetId="6" r:id="rId4"/>
    <sheet name="Sensitivity" sheetId="7" r:id="rId5"/>
    <sheet name="Financial Model Scalability" sheetId="8" r:id="rId6"/>
    <sheet name="SUMMARY" sheetId="3" r:id="rId7"/>
    <sheet name="Financial Model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6" i="6" l="1"/>
  <c r="F185" i="6"/>
  <c r="F189" i="6"/>
  <c r="D43" i="8"/>
  <c r="Q95" i="8" s="1"/>
  <c r="R165" i="8"/>
  <c r="Q165" i="8"/>
  <c r="P165" i="8"/>
  <c r="O165" i="8"/>
  <c r="N165" i="8"/>
  <c r="M165" i="8"/>
  <c r="L165" i="8"/>
  <c r="K165" i="8"/>
  <c r="J165" i="8"/>
  <c r="I165" i="8"/>
  <c r="H165" i="8"/>
  <c r="H162" i="8"/>
  <c r="M153" i="8"/>
  <c r="L153" i="8"/>
  <c r="K153" i="8"/>
  <c r="H153" i="8"/>
  <c r="R146" i="8"/>
  <c r="Q146" i="8"/>
  <c r="P146" i="8"/>
  <c r="O146" i="8"/>
  <c r="N146" i="8"/>
  <c r="M146" i="8"/>
  <c r="L146" i="8"/>
  <c r="K146" i="8"/>
  <c r="J146" i="8"/>
  <c r="I146" i="8"/>
  <c r="H146" i="8"/>
  <c r="H145" i="8"/>
  <c r="H143" i="8"/>
  <c r="H151" i="8" s="1"/>
  <c r="H142" i="8"/>
  <c r="H144" i="8" s="1"/>
  <c r="H147" i="8" s="1"/>
  <c r="H161" i="8" s="1"/>
  <c r="R103" i="8"/>
  <c r="Q103" i="8"/>
  <c r="L103" i="8"/>
  <c r="K103" i="8"/>
  <c r="J103" i="8"/>
  <c r="I103" i="8"/>
  <c r="R94" i="8"/>
  <c r="R95" i="8" s="1"/>
  <c r="Q94" i="8"/>
  <c r="P94" i="8"/>
  <c r="O94" i="8"/>
  <c r="N94" i="8"/>
  <c r="M94" i="8"/>
  <c r="L94" i="8"/>
  <c r="K94" i="8"/>
  <c r="J94" i="8"/>
  <c r="I94" i="8"/>
  <c r="H92" i="8"/>
  <c r="N77" i="8"/>
  <c r="O77" i="8" s="1"/>
  <c r="P77" i="8" s="1"/>
  <c r="Q77" i="8" s="1"/>
  <c r="R77" i="8" s="1"/>
  <c r="D77" i="8"/>
  <c r="L76" i="8"/>
  <c r="M76" i="8" s="1"/>
  <c r="N76" i="8" s="1"/>
  <c r="O76" i="8" s="1"/>
  <c r="H76" i="8"/>
  <c r="I76" i="8" s="1"/>
  <c r="J76" i="8" s="1"/>
  <c r="K76" i="8" s="1"/>
  <c r="D76" i="8"/>
  <c r="L75" i="8"/>
  <c r="M75" i="8" s="1"/>
  <c r="N75" i="8" s="1"/>
  <c r="O75" i="8" s="1"/>
  <c r="P75" i="8" s="1"/>
  <c r="Q75" i="8" s="1"/>
  <c r="R75" i="8" s="1"/>
  <c r="D75" i="8"/>
  <c r="D67" i="8"/>
  <c r="D65" i="8"/>
  <c r="D63" i="8"/>
  <c r="D62" i="8"/>
  <c r="H78" i="8" s="1"/>
  <c r="D56" i="8"/>
  <c r="O103" i="8" s="1"/>
  <c r="D47" i="8"/>
  <c r="D42" i="8"/>
  <c r="D41" i="8"/>
  <c r="D33" i="8"/>
  <c r="D32" i="8"/>
  <c r="D23" i="8"/>
  <c r="D22" i="8"/>
  <c r="D13" i="8"/>
  <c r="C12" i="3"/>
  <c r="R165" i="7"/>
  <c r="Q165" i="7"/>
  <c r="P165" i="7"/>
  <c r="O165" i="7"/>
  <c r="N165" i="7"/>
  <c r="M165" i="7"/>
  <c r="L165" i="7"/>
  <c r="K165" i="7"/>
  <c r="J165" i="7"/>
  <c r="I165" i="7"/>
  <c r="H165" i="7"/>
  <c r="H162" i="7"/>
  <c r="L153" i="7"/>
  <c r="H153" i="7"/>
  <c r="R146" i="7"/>
  <c r="Q146" i="7"/>
  <c r="P146" i="7"/>
  <c r="O146" i="7"/>
  <c r="N146" i="7"/>
  <c r="M146" i="7"/>
  <c r="L146" i="7"/>
  <c r="K146" i="7"/>
  <c r="J146" i="7"/>
  <c r="I146" i="7"/>
  <c r="H146" i="7"/>
  <c r="H143" i="7"/>
  <c r="H145" i="7" s="1"/>
  <c r="R103" i="7"/>
  <c r="L103" i="7"/>
  <c r="K103" i="7"/>
  <c r="J103" i="7"/>
  <c r="R94" i="7"/>
  <c r="Q94" i="7"/>
  <c r="P94" i="7"/>
  <c r="O94" i="7"/>
  <c r="N94" i="7"/>
  <c r="M94" i="7"/>
  <c r="L94" i="7"/>
  <c r="K94" i="7"/>
  <c r="J94" i="7"/>
  <c r="I94" i="7"/>
  <c r="O77" i="7"/>
  <c r="P77" i="7" s="1"/>
  <c r="Q77" i="7" s="1"/>
  <c r="R77" i="7" s="1"/>
  <c r="N77" i="7"/>
  <c r="D77" i="7"/>
  <c r="H76" i="7"/>
  <c r="I76" i="7" s="1"/>
  <c r="J76" i="7" s="1"/>
  <c r="K76" i="7" s="1"/>
  <c r="L76" i="7" s="1"/>
  <c r="D76" i="7"/>
  <c r="L75" i="7"/>
  <c r="M75" i="7" s="1"/>
  <c r="N75" i="7" s="1"/>
  <c r="O75" i="7" s="1"/>
  <c r="P75" i="7" s="1"/>
  <c r="Q75" i="7" s="1"/>
  <c r="R75" i="7" s="1"/>
  <c r="D75" i="7"/>
  <c r="D65" i="7"/>
  <c r="D63" i="7"/>
  <c r="D62" i="7"/>
  <c r="H78" i="7" s="1"/>
  <c r="H92" i="7" s="1"/>
  <c r="D56" i="7"/>
  <c r="O103" i="7" s="1"/>
  <c r="D47" i="7"/>
  <c r="D42" i="7"/>
  <c r="D43" i="7" s="1"/>
  <c r="D41" i="7"/>
  <c r="D33" i="7"/>
  <c r="D32" i="7"/>
  <c r="D23" i="7"/>
  <c r="D22" i="7"/>
  <c r="D13" i="7"/>
  <c r="L4" i="3"/>
  <c r="K4" i="3"/>
  <c r="J4" i="3"/>
  <c r="L3" i="3"/>
  <c r="D12" i="3" s="1"/>
  <c r="K3" i="3"/>
  <c r="J3" i="3"/>
  <c r="F5" i="3"/>
  <c r="E5" i="3"/>
  <c r="D5" i="3"/>
  <c r="F4" i="3"/>
  <c r="E4" i="3"/>
  <c r="D4" i="3"/>
  <c r="F3" i="3"/>
  <c r="E3" i="3"/>
  <c r="D3" i="3"/>
  <c r="I4" i="3"/>
  <c r="I3" i="3"/>
  <c r="F123" i="2"/>
  <c r="C3" i="3" s="1"/>
  <c r="C5" i="3"/>
  <c r="C4" i="3"/>
  <c r="R165" i="6"/>
  <c r="Q165" i="6"/>
  <c r="P165" i="6"/>
  <c r="O165" i="6"/>
  <c r="N165" i="6"/>
  <c r="M165" i="6"/>
  <c r="L165" i="6"/>
  <c r="K165" i="6"/>
  <c r="J165" i="6"/>
  <c r="I165" i="6"/>
  <c r="H165" i="6"/>
  <c r="H162" i="6"/>
  <c r="R153" i="6"/>
  <c r="Q153" i="6"/>
  <c r="P153" i="6"/>
  <c r="O153" i="6"/>
  <c r="N153" i="6"/>
  <c r="M153" i="6"/>
  <c r="L153" i="6"/>
  <c r="J153" i="6"/>
  <c r="I153" i="6"/>
  <c r="H153" i="6"/>
  <c r="H151" i="6"/>
  <c r="R146" i="6"/>
  <c r="Q146" i="6"/>
  <c r="P146" i="6"/>
  <c r="O146" i="6"/>
  <c r="N146" i="6"/>
  <c r="M146" i="6"/>
  <c r="L146" i="6"/>
  <c r="K146" i="6"/>
  <c r="J146" i="6"/>
  <c r="I146" i="6"/>
  <c r="H146" i="6"/>
  <c r="H145" i="6"/>
  <c r="H143" i="6"/>
  <c r="L103" i="6"/>
  <c r="K103" i="6"/>
  <c r="J103" i="6"/>
  <c r="H103" i="6"/>
  <c r="P77" i="6"/>
  <c r="Q77" i="6" s="1"/>
  <c r="R77" i="6" s="1"/>
  <c r="O77" i="6"/>
  <c r="N77" i="6"/>
  <c r="D77" i="6"/>
  <c r="H76" i="6"/>
  <c r="I76" i="6" s="1"/>
  <c r="J76" i="6" s="1"/>
  <c r="K76" i="6" s="1"/>
  <c r="L76" i="6" s="1"/>
  <c r="M76" i="6" s="1"/>
  <c r="N76" i="6" s="1"/>
  <c r="O76" i="6" s="1"/>
  <c r="P76" i="6" s="1"/>
  <c r="Q76" i="6" s="1"/>
  <c r="R76" i="6" s="1"/>
  <c r="D76" i="6"/>
  <c r="L75" i="6"/>
  <c r="M75" i="6" s="1"/>
  <c r="N75" i="6" s="1"/>
  <c r="O75" i="6" s="1"/>
  <c r="P75" i="6" s="1"/>
  <c r="Q75" i="6" s="1"/>
  <c r="R75" i="6" s="1"/>
  <c r="D75" i="6"/>
  <c r="D65" i="6"/>
  <c r="K153" i="6" s="1"/>
  <c r="D63" i="6"/>
  <c r="D62" i="6"/>
  <c r="H78" i="6" s="1"/>
  <c r="H92" i="6" s="1"/>
  <c r="D56" i="6"/>
  <c r="O103" i="6" s="1"/>
  <c r="D47" i="6"/>
  <c r="D42" i="6"/>
  <c r="D43" i="6" s="1"/>
  <c r="D41" i="6"/>
  <c r="D33" i="6"/>
  <c r="D32" i="6"/>
  <c r="D23" i="6"/>
  <c r="D22" i="6"/>
  <c r="D13" i="6"/>
  <c r="R165" i="5"/>
  <c r="Q165" i="5"/>
  <c r="P165" i="5"/>
  <c r="O165" i="5"/>
  <c r="N165" i="5"/>
  <c r="M165" i="5"/>
  <c r="L165" i="5"/>
  <c r="K165" i="5"/>
  <c r="J165" i="5"/>
  <c r="I165" i="5"/>
  <c r="H165" i="5"/>
  <c r="H162" i="5"/>
  <c r="R153" i="5"/>
  <c r="Q153" i="5"/>
  <c r="N153" i="5"/>
  <c r="M153" i="5"/>
  <c r="L153" i="5"/>
  <c r="K153" i="5"/>
  <c r="J153" i="5"/>
  <c r="I153" i="5"/>
  <c r="H153" i="5"/>
  <c r="R146" i="5"/>
  <c r="Q146" i="5"/>
  <c r="P146" i="5"/>
  <c r="O146" i="5"/>
  <c r="N146" i="5"/>
  <c r="M146" i="5"/>
  <c r="L146" i="5"/>
  <c r="K146" i="5"/>
  <c r="J146" i="5"/>
  <c r="I146" i="5"/>
  <c r="H146" i="5"/>
  <c r="H143" i="5"/>
  <c r="H145" i="5" s="1"/>
  <c r="J103" i="5"/>
  <c r="I103" i="5"/>
  <c r="H103" i="5"/>
  <c r="I78" i="5"/>
  <c r="P77" i="5"/>
  <c r="Q77" i="5" s="1"/>
  <c r="R77" i="5" s="1"/>
  <c r="O77" i="5"/>
  <c r="N77" i="5"/>
  <c r="D77" i="5"/>
  <c r="H76" i="5"/>
  <c r="I76" i="5" s="1"/>
  <c r="J76" i="5" s="1"/>
  <c r="K76" i="5" s="1"/>
  <c r="L76" i="5" s="1"/>
  <c r="M76" i="5" s="1"/>
  <c r="N76" i="5" s="1"/>
  <c r="D76" i="5"/>
  <c r="L75" i="5"/>
  <c r="M75" i="5" s="1"/>
  <c r="N75" i="5" s="1"/>
  <c r="O75" i="5" s="1"/>
  <c r="P75" i="5" s="1"/>
  <c r="Q75" i="5" s="1"/>
  <c r="R75" i="5" s="1"/>
  <c r="D75" i="5"/>
  <c r="D65" i="5"/>
  <c r="P153" i="5" s="1"/>
  <c r="D63" i="5"/>
  <c r="D62" i="5"/>
  <c r="H78" i="5" s="1"/>
  <c r="D56" i="5"/>
  <c r="O103" i="5" s="1"/>
  <c r="D47" i="5"/>
  <c r="D42" i="5"/>
  <c r="D43" i="5" s="1"/>
  <c r="D41" i="5"/>
  <c r="D33" i="5"/>
  <c r="D32" i="5"/>
  <c r="D23" i="5"/>
  <c r="D22" i="5"/>
  <c r="D13" i="5"/>
  <c r="R165" i="4"/>
  <c r="Q165" i="4"/>
  <c r="P165" i="4"/>
  <c r="O165" i="4"/>
  <c r="N165" i="4"/>
  <c r="M165" i="4"/>
  <c r="L165" i="4"/>
  <c r="K165" i="4"/>
  <c r="J165" i="4"/>
  <c r="I165" i="4"/>
  <c r="H165" i="4"/>
  <c r="H162" i="4"/>
  <c r="R153" i="4"/>
  <c r="Q153" i="4"/>
  <c r="P153" i="4"/>
  <c r="O153" i="4"/>
  <c r="N153" i="4"/>
  <c r="M153" i="4"/>
  <c r="L153" i="4"/>
  <c r="K153" i="4"/>
  <c r="J153" i="4"/>
  <c r="I153" i="4"/>
  <c r="H153" i="4"/>
  <c r="Q151" i="4"/>
  <c r="P151" i="4"/>
  <c r="R146" i="4"/>
  <c r="Q146" i="4"/>
  <c r="P146" i="4"/>
  <c r="O146" i="4"/>
  <c r="N146" i="4"/>
  <c r="M146" i="4"/>
  <c r="L146" i="4"/>
  <c r="K146" i="4"/>
  <c r="J146" i="4"/>
  <c r="I146" i="4"/>
  <c r="H146" i="4"/>
  <c r="R143" i="4"/>
  <c r="Q143" i="4"/>
  <c r="Q145" i="4" s="1"/>
  <c r="P143" i="4"/>
  <c r="P145" i="4" s="1"/>
  <c r="O143" i="4"/>
  <c r="O151" i="4" s="1"/>
  <c r="N143" i="4"/>
  <c r="N151" i="4" s="1"/>
  <c r="M143" i="4"/>
  <c r="M151" i="4" s="1"/>
  <c r="L143" i="4"/>
  <c r="L151" i="4" s="1"/>
  <c r="K143" i="4"/>
  <c r="J143" i="4"/>
  <c r="J145" i="4" s="1"/>
  <c r="I143" i="4"/>
  <c r="I145" i="4" s="1"/>
  <c r="H143" i="4"/>
  <c r="H151" i="4" s="1"/>
  <c r="R103" i="4"/>
  <c r="Q103" i="4"/>
  <c r="J103" i="4"/>
  <c r="I103" i="4"/>
  <c r="H103" i="4"/>
  <c r="I78" i="4"/>
  <c r="N77" i="4"/>
  <c r="O77" i="4" s="1"/>
  <c r="P77" i="4" s="1"/>
  <c r="Q77" i="4" s="1"/>
  <c r="R77" i="4" s="1"/>
  <c r="D77" i="4"/>
  <c r="K76" i="4"/>
  <c r="L76" i="4" s="1"/>
  <c r="M76" i="4" s="1"/>
  <c r="N76" i="4" s="1"/>
  <c r="H76" i="4"/>
  <c r="I76" i="4" s="1"/>
  <c r="J76" i="4" s="1"/>
  <c r="D76" i="4"/>
  <c r="L75" i="4"/>
  <c r="M75" i="4" s="1"/>
  <c r="N75" i="4" s="1"/>
  <c r="O75" i="4" s="1"/>
  <c r="P75" i="4" s="1"/>
  <c r="Q75" i="4" s="1"/>
  <c r="R75" i="4" s="1"/>
  <c r="D75" i="4"/>
  <c r="D65" i="4"/>
  <c r="D63" i="4"/>
  <c r="D62" i="4"/>
  <c r="H78" i="4" s="1"/>
  <c r="D56" i="4"/>
  <c r="O103" i="4" s="1"/>
  <c r="D47" i="4"/>
  <c r="D41" i="4"/>
  <c r="D33" i="4"/>
  <c r="D32" i="4"/>
  <c r="D23" i="4"/>
  <c r="D22" i="4"/>
  <c r="D13" i="4"/>
  <c r="D42" i="4" s="1"/>
  <c r="D43" i="4" s="1"/>
  <c r="J94" i="2"/>
  <c r="K94" i="2"/>
  <c r="L94" i="2"/>
  <c r="M94" i="2"/>
  <c r="N94" i="2"/>
  <c r="O94" i="2"/>
  <c r="P94" i="2"/>
  <c r="Q94" i="2"/>
  <c r="R94" i="2"/>
  <c r="I94" i="2"/>
  <c r="D62" i="2"/>
  <c r="R165" i="2"/>
  <c r="Q165" i="2"/>
  <c r="P165" i="2"/>
  <c r="O165" i="2"/>
  <c r="N165" i="2"/>
  <c r="M165" i="2"/>
  <c r="L165" i="2"/>
  <c r="K165" i="2"/>
  <c r="J165" i="2"/>
  <c r="I165" i="2"/>
  <c r="H165" i="2"/>
  <c r="H162" i="2"/>
  <c r="H153" i="2"/>
  <c r="R146" i="2"/>
  <c r="Q146" i="2"/>
  <c r="P146" i="2"/>
  <c r="O146" i="2"/>
  <c r="N146" i="2"/>
  <c r="M146" i="2"/>
  <c r="L146" i="2"/>
  <c r="K146" i="2"/>
  <c r="J146" i="2"/>
  <c r="I146" i="2"/>
  <c r="H146" i="2"/>
  <c r="H143" i="2"/>
  <c r="H151" i="2" s="1"/>
  <c r="H156" i="2" s="1"/>
  <c r="N77" i="2"/>
  <c r="O77" i="2" s="1"/>
  <c r="P77" i="2" s="1"/>
  <c r="Q77" i="2" s="1"/>
  <c r="R77" i="2" s="1"/>
  <c r="D77" i="2"/>
  <c r="H76" i="2"/>
  <c r="I76" i="2" s="1"/>
  <c r="J76" i="2" s="1"/>
  <c r="K76" i="2" s="1"/>
  <c r="D76" i="2"/>
  <c r="L75" i="2"/>
  <c r="M75" i="2" s="1"/>
  <c r="N75" i="2" s="1"/>
  <c r="O75" i="2" s="1"/>
  <c r="P75" i="2" s="1"/>
  <c r="Q75" i="2" s="1"/>
  <c r="R75" i="2" s="1"/>
  <c r="D75" i="2"/>
  <c r="D65" i="2"/>
  <c r="K153" i="2" s="1"/>
  <c r="D63" i="2"/>
  <c r="D56" i="2"/>
  <c r="L103" i="2" s="1"/>
  <c r="D47" i="2"/>
  <c r="D41" i="2"/>
  <c r="D33" i="2"/>
  <c r="D32" i="2"/>
  <c r="D23" i="2"/>
  <c r="D22" i="2"/>
  <c r="D13" i="2"/>
  <c r="D42" i="2" s="1"/>
  <c r="D43" i="2" s="1"/>
  <c r="D42" i="1"/>
  <c r="D56" i="1"/>
  <c r="I99" i="1" s="1"/>
  <c r="P76" i="8" l="1"/>
  <c r="Q76" i="8" s="1"/>
  <c r="R76" i="8" s="1"/>
  <c r="Q143" i="8"/>
  <c r="R143" i="8"/>
  <c r="N95" i="8"/>
  <c r="D38" i="8"/>
  <c r="D39" i="8" s="1"/>
  <c r="R102" i="8" s="1"/>
  <c r="R104" i="8" s="1"/>
  <c r="R109" i="8" s="1"/>
  <c r="M95" i="8"/>
  <c r="L95" i="8"/>
  <c r="K95" i="8"/>
  <c r="O95" i="8"/>
  <c r="H98" i="8"/>
  <c r="H99" i="8" s="1"/>
  <c r="H108" i="8" s="1"/>
  <c r="D78" i="8"/>
  <c r="H150" i="8"/>
  <c r="H152" i="8" s="1"/>
  <c r="H154" i="8" s="1"/>
  <c r="I78" i="8"/>
  <c r="I95" i="8"/>
  <c r="H93" i="8"/>
  <c r="H96" i="8"/>
  <c r="J95" i="8"/>
  <c r="Q153" i="8"/>
  <c r="I153" i="8"/>
  <c r="N153" i="8"/>
  <c r="P153" i="8"/>
  <c r="O153" i="8"/>
  <c r="R153" i="8"/>
  <c r="J153" i="8"/>
  <c r="P95" i="8"/>
  <c r="H103" i="8"/>
  <c r="P103" i="8"/>
  <c r="M103" i="8"/>
  <c r="N103" i="8"/>
  <c r="H93" i="7"/>
  <c r="H96" i="7" s="1"/>
  <c r="H142" i="7"/>
  <c r="H144" i="7" s="1"/>
  <c r="H147" i="7" s="1"/>
  <c r="H161" i="7" s="1"/>
  <c r="N95" i="7"/>
  <c r="D38" i="7"/>
  <c r="D39" i="7" s="1"/>
  <c r="R102" i="7" s="1"/>
  <c r="R104" i="7" s="1"/>
  <c r="R109" i="7" s="1"/>
  <c r="M95" i="7"/>
  <c r="K95" i="7"/>
  <c r="L95" i="7"/>
  <c r="P95" i="7"/>
  <c r="O95" i="7"/>
  <c r="Q153" i="7"/>
  <c r="I153" i="7"/>
  <c r="P153" i="7"/>
  <c r="O153" i="7"/>
  <c r="N153" i="7"/>
  <c r="M153" i="7"/>
  <c r="K153" i="7"/>
  <c r="R153" i="7"/>
  <c r="J153" i="7"/>
  <c r="I95" i="7"/>
  <c r="R95" i="7"/>
  <c r="J95" i="7"/>
  <c r="J102" i="7" s="1"/>
  <c r="J104" i="7" s="1"/>
  <c r="J109" i="7" s="1"/>
  <c r="H98" i="7"/>
  <c r="D78" i="7"/>
  <c r="H150" i="7"/>
  <c r="H152" i="7" s="1"/>
  <c r="H154" i="7" s="1"/>
  <c r="I78" i="7"/>
  <c r="M76" i="7"/>
  <c r="N76" i="7" s="1"/>
  <c r="O76" i="7" s="1"/>
  <c r="P76" i="7" s="1"/>
  <c r="Q76" i="7" s="1"/>
  <c r="R76" i="7" s="1"/>
  <c r="D67" i="7"/>
  <c r="Q95" i="7"/>
  <c r="H103" i="7"/>
  <c r="P103" i="7"/>
  <c r="H151" i="7"/>
  <c r="I103" i="7"/>
  <c r="Q103" i="7"/>
  <c r="M103" i="7"/>
  <c r="N103" i="7"/>
  <c r="P103" i="6"/>
  <c r="R103" i="6"/>
  <c r="L103" i="5"/>
  <c r="H151" i="5"/>
  <c r="K103" i="5"/>
  <c r="P103" i="5"/>
  <c r="Q103" i="5"/>
  <c r="O153" i="5"/>
  <c r="R103" i="5"/>
  <c r="H145" i="4"/>
  <c r="O145" i="4"/>
  <c r="L103" i="4"/>
  <c r="L145" i="4"/>
  <c r="N145" i="4"/>
  <c r="P103" i="4"/>
  <c r="M145" i="4"/>
  <c r="I151" i="4"/>
  <c r="I156" i="4" s="1"/>
  <c r="H93" i="6"/>
  <c r="H96" i="6"/>
  <c r="H142" i="6"/>
  <c r="H144" i="6" s="1"/>
  <c r="H147" i="6" s="1"/>
  <c r="H161" i="6" s="1"/>
  <c r="D38" i="6"/>
  <c r="D39" i="6" s="1"/>
  <c r="D67" i="6"/>
  <c r="H98" i="6"/>
  <c r="H99" i="6" s="1"/>
  <c r="H108" i="6" s="1"/>
  <c r="D78" i="6"/>
  <c r="H150" i="6"/>
  <c r="H152" i="6" s="1"/>
  <c r="H154" i="6" s="1"/>
  <c r="I78" i="6"/>
  <c r="I103" i="6"/>
  <c r="Q103" i="6"/>
  <c r="M103" i="6"/>
  <c r="N103" i="6"/>
  <c r="D38" i="5"/>
  <c r="D39" i="5" s="1"/>
  <c r="D67" i="5"/>
  <c r="O76" i="5"/>
  <c r="P76" i="5" s="1"/>
  <c r="Q76" i="5" s="1"/>
  <c r="R76" i="5" s="1"/>
  <c r="I150" i="5"/>
  <c r="J78" i="5"/>
  <c r="H98" i="5"/>
  <c r="D78" i="5"/>
  <c r="H150" i="5"/>
  <c r="H152" i="5" s="1"/>
  <c r="H154" i="5" s="1"/>
  <c r="I92" i="5"/>
  <c r="H92" i="5"/>
  <c r="M103" i="5"/>
  <c r="N103" i="5"/>
  <c r="O76" i="4"/>
  <c r="P76" i="4" s="1"/>
  <c r="Q76" i="4" s="1"/>
  <c r="R76" i="4" s="1"/>
  <c r="D38" i="4"/>
  <c r="D39" i="4" s="1"/>
  <c r="D67" i="4"/>
  <c r="R145" i="4"/>
  <c r="R151" i="4"/>
  <c r="J151" i="4"/>
  <c r="K145" i="4"/>
  <c r="K151" i="4"/>
  <c r="I150" i="4"/>
  <c r="I92" i="4"/>
  <c r="J78" i="4"/>
  <c r="H98" i="4"/>
  <c r="D78" i="4"/>
  <c r="H150" i="4"/>
  <c r="H152" i="4" s="1"/>
  <c r="H154" i="4" s="1"/>
  <c r="H92" i="4"/>
  <c r="K103" i="4"/>
  <c r="M103" i="4"/>
  <c r="N103" i="4"/>
  <c r="I153" i="2"/>
  <c r="O153" i="2"/>
  <c r="P153" i="2"/>
  <c r="Q153" i="2"/>
  <c r="L153" i="2"/>
  <c r="N153" i="2"/>
  <c r="H78" i="2"/>
  <c r="H98" i="2" s="1"/>
  <c r="L76" i="2"/>
  <c r="M76" i="2" s="1"/>
  <c r="N76" i="2" s="1"/>
  <c r="O76" i="2" s="1"/>
  <c r="P76" i="2" s="1"/>
  <c r="Q76" i="2" s="1"/>
  <c r="R76" i="2" s="1"/>
  <c r="H145" i="2"/>
  <c r="J103" i="2"/>
  <c r="O103" i="2"/>
  <c r="R103" i="2"/>
  <c r="D67" i="2"/>
  <c r="D38" i="2"/>
  <c r="D39" i="2" s="1"/>
  <c r="Q103" i="2"/>
  <c r="I103" i="2"/>
  <c r="P103" i="2"/>
  <c r="H103" i="2"/>
  <c r="K103" i="2"/>
  <c r="M103" i="2"/>
  <c r="N103" i="2"/>
  <c r="M153" i="2"/>
  <c r="J153" i="2"/>
  <c r="R153" i="2"/>
  <c r="P99" i="1"/>
  <c r="N99" i="1"/>
  <c r="M99" i="1"/>
  <c r="L99" i="1"/>
  <c r="O99" i="1"/>
  <c r="H99" i="1"/>
  <c r="K99" i="1"/>
  <c r="R99" i="1"/>
  <c r="J99" i="1"/>
  <c r="Q99" i="1"/>
  <c r="P102" i="8" l="1"/>
  <c r="P104" i="8" s="1"/>
  <c r="P109" i="8" s="1"/>
  <c r="R145" i="8"/>
  <c r="R151" i="8"/>
  <c r="H156" i="8"/>
  <c r="H157" i="8" s="1"/>
  <c r="H160" i="8" s="1"/>
  <c r="H163" i="8" s="1"/>
  <c r="H164" i="8" s="1"/>
  <c r="H166" i="8" s="1"/>
  <c r="H168" i="8" s="1"/>
  <c r="Q102" i="8"/>
  <c r="Q104" i="8" s="1"/>
  <c r="Q109" i="8" s="1"/>
  <c r="L143" i="8"/>
  <c r="H102" i="8"/>
  <c r="H104" i="8" s="1"/>
  <c r="H109" i="8" s="1"/>
  <c r="D40" i="8"/>
  <c r="D54" i="8" s="1"/>
  <c r="J143" i="8"/>
  <c r="J98" i="8"/>
  <c r="J102" i="8"/>
  <c r="J104" i="8" s="1"/>
  <c r="J109" i="8" s="1"/>
  <c r="Q145" i="8"/>
  <c r="Q151" i="8"/>
  <c r="I150" i="8"/>
  <c r="J78" i="8"/>
  <c r="I92" i="8"/>
  <c r="M102" i="8"/>
  <c r="M104" i="8" s="1"/>
  <c r="M109" i="8" s="1"/>
  <c r="M143" i="8"/>
  <c r="P143" i="8"/>
  <c r="N143" i="8"/>
  <c r="N102" i="8"/>
  <c r="N104" i="8" s="1"/>
  <c r="N109" i="8" s="1"/>
  <c r="I143" i="8"/>
  <c r="I98" i="8"/>
  <c r="O102" i="8"/>
  <c r="O104" i="8" s="1"/>
  <c r="O109" i="8" s="1"/>
  <c r="O143" i="8"/>
  <c r="K102" i="8"/>
  <c r="K104" i="8" s="1"/>
  <c r="K109" i="8" s="1"/>
  <c r="K143" i="8"/>
  <c r="I102" i="8"/>
  <c r="I104" i="8" s="1"/>
  <c r="I109" i="8" s="1"/>
  <c r="L102" i="8"/>
  <c r="L104" i="8" s="1"/>
  <c r="L109" i="8" s="1"/>
  <c r="K102" i="7"/>
  <c r="K104" i="7" s="1"/>
  <c r="K109" i="7" s="1"/>
  <c r="M143" i="7"/>
  <c r="M102" i="7"/>
  <c r="M104" i="7" s="1"/>
  <c r="M109" i="7" s="1"/>
  <c r="L102" i="7"/>
  <c r="L104" i="7" s="1"/>
  <c r="L109" i="7" s="1"/>
  <c r="O102" i="7"/>
  <c r="O104" i="7" s="1"/>
  <c r="O109" i="7" s="1"/>
  <c r="O143" i="7"/>
  <c r="P143" i="7"/>
  <c r="H102" i="7"/>
  <c r="H104" i="7" s="1"/>
  <c r="H109" i="7" s="1"/>
  <c r="D40" i="7"/>
  <c r="D54" i="7" s="1"/>
  <c r="Q143" i="7"/>
  <c r="N143" i="7"/>
  <c r="N102" i="7"/>
  <c r="N104" i="7" s="1"/>
  <c r="N109" i="7" s="1"/>
  <c r="J98" i="7"/>
  <c r="J143" i="7"/>
  <c r="I102" i="7"/>
  <c r="I104" i="7" s="1"/>
  <c r="I109" i="7" s="1"/>
  <c r="R143" i="7"/>
  <c r="L143" i="7"/>
  <c r="H99" i="7"/>
  <c r="H108" i="7" s="1"/>
  <c r="Q102" i="7"/>
  <c r="Q104" i="7" s="1"/>
  <c r="Q109" i="7" s="1"/>
  <c r="P102" i="7"/>
  <c r="P104" i="7" s="1"/>
  <c r="P109" i="7" s="1"/>
  <c r="H156" i="7"/>
  <c r="H157" i="7" s="1"/>
  <c r="H160" i="7" s="1"/>
  <c r="H163" i="7" s="1"/>
  <c r="H164" i="7" s="1"/>
  <c r="H166" i="7" s="1"/>
  <c r="H168" i="7" s="1"/>
  <c r="I150" i="7"/>
  <c r="J78" i="7"/>
  <c r="I92" i="7"/>
  <c r="I143" i="7"/>
  <c r="I98" i="7"/>
  <c r="K143" i="7"/>
  <c r="I152" i="4"/>
  <c r="I154" i="4" s="1"/>
  <c r="I157" i="4" s="1"/>
  <c r="I160" i="4" s="1"/>
  <c r="I150" i="6"/>
  <c r="J78" i="6"/>
  <c r="I92" i="6"/>
  <c r="P94" i="6"/>
  <c r="M94" i="6"/>
  <c r="O94" i="6"/>
  <c r="N94" i="6"/>
  <c r="R94" i="6"/>
  <c r="J94" i="6"/>
  <c r="K94" i="6"/>
  <c r="I94" i="6"/>
  <c r="Q94" i="6"/>
  <c r="L94" i="6"/>
  <c r="H156" i="6"/>
  <c r="H157" i="6" s="1"/>
  <c r="H160" i="6" s="1"/>
  <c r="H163" i="6" s="1"/>
  <c r="H164" i="6" s="1"/>
  <c r="H166" i="6" s="1"/>
  <c r="H168" i="6" s="1"/>
  <c r="H102" i="6"/>
  <c r="H104" i="6" s="1"/>
  <c r="H109" i="6" s="1"/>
  <c r="D40" i="6"/>
  <c r="D54" i="6" s="1"/>
  <c r="H93" i="5"/>
  <c r="H96" i="5"/>
  <c r="H99" i="5" s="1"/>
  <c r="H108" i="5" s="1"/>
  <c r="H142" i="5"/>
  <c r="H144" i="5" s="1"/>
  <c r="H147" i="5" s="1"/>
  <c r="H161" i="5" s="1"/>
  <c r="I93" i="5"/>
  <c r="I142" i="5"/>
  <c r="H102" i="5"/>
  <c r="H104" i="5" s="1"/>
  <c r="H109" i="5" s="1"/>
  <c r="D40" i="5"/>
  <c r="D54" i="5" s="1"/>
  <c r="J150" i="5"/>
  <c r="J92" i="5"/>
  <c r="K78" i="5"/>
  <c r="P94" i="5"/>
  <c r="M94" i="5"/>
  <c r="O94" i="5"/>
  <c r="N94" i="5"/>
  <c r="R94" i="5"/>
  <c r="J94" i="5"/>
  <c r="I94" i="5"/>
  <c r="Q94" i="5"/>
  <c r="L94" i="5"/>
  <c r="K94" i="5"/>
  <c r="H156" i="5"/>
  <c r="H157" i="5" s="1"/>
  <c r="H160" i="5" s="1"/>
  <c r="H156" i="4"/>
  <c r="H157" i="4" s="1"/>
  <c r="H160" i="4" s="1"/>
  <c r="H102" i="4"/>
  <c r="H104" i="4" s="1"/>
  <c r="H109" i="4" s="1"/>
  <c r="D40" i="4"/>
  <c r="D54" i="4" s="1"/>
  <c r="I142" i="4"/>
  <c r="I144" i="4" s="1"/>
  <c r="I147" i="4" s="1"/>
  <c r="I161" i="4" s="1"/>
  <c r="I93" i="4"/>
  <c r="P94" i="4"/>
  <c r="O94" i="4"/>
  <c r="N94" i="4"/>
  <c r="L94" i="4"/>
  <c r="Q94" i="4"/>
  <c r="I94" i="4"/>
  <c r="R94" i="4"/>
  <c r="M94" i="4"/>
  <c r="J94" i="4"/>
  <c r="K94" i="4"/>
  <c r="H93" i="4"/>
  <c r="H96" i="4" s="1"/>
  <c r="H99" i="4" s="1"/>
  <c r="H108" i="4" s="1"/>
  <c r="H142" i="4"/>
  <c r="H144" i="4" s="1"/>
  <c r="H147" i="4" s="1"/>
  <c r="H161" i="4" s="1"/>
  <c r="J150" i="4"/>
  <c r="J152" i="4" s="1"/>
  <c r="J154" i="4" s="1"/>
  <c r="J92" i="4"/>
  <c r="K78" i="4"/>
  <c r="I78" i="2"/>
  <c r="J78" i="2" s="1"/>
  <c r="D78" i="2"/>
  <c r="H150" i="2"/>
  <c r="H152" i="2" s="1"/>
  <c r="H154" i="2" s="1"/>
  <c r="H92" i="2"/>
  <c r="H142" i="2"/>
  <c r="H144" i="2" s="1"/>
  <c r="H147" i="2" s="1"/>
  <c r="H161" i="2" s="1"/>
  <c r="H93" i="2"/>
  <c r="H96" i="2" s="1"/>
  <c r="H99" i="2" s="1"/>
  <c r="H108" i="2" s="1"/>
  <c r="I92" i="2"/>
  <c r="I142" i="2" s="1"/>
  <c r="I150" i="2"/>
  <c r="H102" i="2"/>
  <c r="H104" i="2" s="1"/>
  <c r="H109" i="2" s="1"/>
  <c r="D40" i="2"/>
  <c r="D54" i="2" s="1"/>
  <c r="D41" i="1"/>
  <c r="M151" i="8" l="1"/>
  <c r="M145" i="8"/>
  <c r="P145" i="8"/>
  <c r="P151" i="8"/>
  <c r="O151" i="8"/>
  <c r="O145" i="8"/>
  <c r="J145" i="8"/>
  <c r="J151" i="8"/>
  <c r="H169" i="8"/>
  <c r="L145" i="8"/>
  <c r="L151" i="8"/>
  <c r="I145" i="8"/>
  <c r="I151" i="8"/>
  <c r="I156" i="8" s="1"/>
  <c r="N151" i="8"/>
  <c r="N145" i="8"/>
  <c r="I93" i="8"/>
  <c r="I96" i="8" s="1"/>
  <c r="I99" i="8" s="1"/>
  <c r="I108" i="8" s="1"/>
  <c r="I111" i="8" s="1"/>
  <c r="I112" i="8" s="1"/>
  <c r="I142" i="8"/>
  <c r="I144" i="8" s="1"/>
  <c r="K145" i="8"/>
  <c r="K151" i="8"/>
  <c r="J150" i="8"/>
  <c r="J92" i="8"/>
  <c r="K78" i="8"/>
  <c r="L113" i="8"/>
  <c r="Q113" i="8"/>
  <c r="K113" i="8"/>
  <c r="I113" i="8"/>
  <c r="H110" i="8"/>
  <c r="H111" i="8" s="1"/>
  <c r="H112" i="8" s="1"/>
  <c r="H114" i="8" s="1"/>
  <c r="H116" i="8" s="1"/>
  <c r="R113" i="8"/>
  <c r="J113" i="8"/>
  <c r="M113" i="8"/>
  <c r="P113" i="8"/>
  <c r="O113" i="8"/>
  <c r="N113" i="8"/>
  <c r="H113" i="8"/>
  <c r="I93" i="7"/>
  <c r="I142" i="7"/>
  <c r="I144" i="7" s="1"/>
  <c r="L113" i="7"/>
  <c r="Q113" i="7"/>
  <c r="I113" i="7"/>
  <c r="K113" i="7"/>
  <c r="P113" i="7"/>
  <c r="R113" i="7"/>
  <c r="J113" i="7"/>
  <c r="H110" i="7"/>
  <c r="H111" i="7" s="1"/>
  <c r="H112" i="7" s="1"/>
  <c r="H114" i="7" s="1"/>
  <c r="H116" i="7" s="1"/>
  <c r="N113" i="7"/>
  <c r="M113" i="7"/>
  <c r="O113" i="7"/>
  <c r="H113" i="7"/>
  <c r="R145" i="7"/>
  <c r="R151" i="7"/>
  <c r="H169" i="7"/>
  <c r="N151" i="7"/>
  <c r="N145" i="7"/>
  <c r="M151" i="7"/>
  <c r="M145" i="7"/>
  <c r="L151" i="7"/>
  <c r="L145" i="7"/>
  <c r="P145" i="7"/>
  <c r="P151" i="7"/>
  <c r="I145" i="7"/>
  <c r="I151" i="7"/>
  <c r="I156" i="7" s="1"/>
  <c r="Q145" i="7"/>
  <c r="Q151" i="7"/>
  <c r="J150" i="7"/>
  <c r="J92" i="7"/>
  <c r="K78" i="7"/>
  <c r="K145" i="7"/>
  <c r="K151" i="7"/>
  <c r="I96" i="7"/>
  <c r="I99" i="7" s="1"/>
  <c r="I108" i="7" s="1"/>
  <c r="I111" i="7" s="1"/>
  <c r="I112" i="7" s="1"/>
  <c r="J145" i="7"/>
  <c r="J151" i="7"/>
  <c r="J156" i="7" s="1"/>
  <c r="O151" i="7"/>
  <c r="O145" i="7"/>
  <c r="I163" i="4"/>
  <c r="I164" i="4" s="1"/>
  <c r="H169" i="6"/>
  <c r="N95" i="6"/>
  <c r="N143" i="6" s="1"/>
  <c r="O95" i="6"/>
  <c r="O143" i="6" s="1"/>
  <c r="M95" i="6"/>
  <c r="M143" i="6" s="1"/>
  <c r="L113" i="6"/>
  <c r="K113" i="6"/>
  <c r="Q113" i="6"/>
  <c r="R113" i="6"/>
  <c r="J113" i="6"/>
  <c r="I113" i="6"/>
  <c r="H110" i="6"/>
  <c r="H111" i="6" s="1"/>
  <c r="H112" i="6" s="1"/>
  <c r="H114" i="6" s="1"/>
  <c r="H116" i="6" s="1"/>
  <c r="N113" i="6"/>
  <c r="O113" i="6"/>
  <c r="P113" i="6"/>
  <c r="M113" i="6"/>
  <c r="H113" i="6"/>
  <c r="K95" i="6"/>
  <c r="K143" i="6" s="1"/>
  <c r="J150" i="6"/>
  <c r="J92" i="6"/>
  <c r="K78" i="6"/>
  <c r="L95" i="6"/>
  <c r="P102" i="6"/>
  <c r="P104" i="6" s="1"/>
  <c r="P109" i="6" s="1"/>
  <c r="P95" i="6"/>
  <c r="P143" i="6" s="1"/>
  <c r="I142" i="6"/>
  <c r="I93" i="6"/>
  <c r="J95" i="6"/>
  <c r="J143" i="6" s="1"/>
  <c r="Q95" i="6"/>
  <c r="I95" i="6"/>
  <c r="I143" i="6" s="1"/>
  <c r="R95" i="6"/>
  <c r="R143" i="6" s="1"/>
  <c r="L113" i="5"/>
  <c r="Q113" i="5"/>
  <c r="K113" i="5"/>
  <c r="I113" i="5"/>
  <c r="R113" i="5"/>
  <c r="J113" i="5"/>
  <c r="H110" i="5"/>
  <c r="H111" i="5" s="1"/>
  <c r="H112" i="5" s="1"/>
  <c r="H114" i="5" s="1"/>
  <c r="H116" i="5" s="1"/>
  <c r="N113" i="5"/>
  <c r="O113" i="5"/>
  <c r="M113" i="5"/>
  <c r="H113" i="5"/>
  <c r="P113" i="5"/>
  <c r="Q95" i="5"/>
  <c r="Q143" i="5" s="1"/>
  <c r="I95" i="5"/>
  <c r="J95" i="5"/>
  <c r="J143" i="5" s="1"/>
  <c r="R95" i="5"/>
  <c r="R143" i="5" s="1"/>
  <c r="N95" i="5"/>
  <c r="N143" i="5" s="1"/>
  <c r="J93" i="5"/>
  <c r="J142" i="5"/>
  <c r="K95" i="5"/>
  <c r="K143" i="5" s="1"/>
  <c r="M95" i="5"/>
  <c r="L95" i="5"/>
  <c r="L143" i="5" s="1"/>
  <c r="P95" i="5"/>
  <c r="P143" i="5" s="1"/>
  <c r="K92" i="5"/>
  <c r="K150" i="5"/>
  <c r="L78" i="5"/>
  <c r="H163" i="5"/>
  <c r="H164" i="5" s="1"/>
  <c r="H166" i="5" s="1"/>
  <c r="H168" i="5" s="1"/>
  <c r="O95" i="5"/>
  <c r="O143" i="5" s="1"/>
  <c r="I166" i="4"/>
  <c r="I167" i="4" s="1"/>
  <c r="I168" i="4"/>
  <c r="I169" i="4" s="1"/>
  <c r="O95" i="4"/>
  <c r="O102" i="4" s="1"/>
  <c r="O104" i="4" s="1"/>
  <c r="O109" i="4" s="1"/>
  <c r="R95" i="4"/>
  <c r="L113" i="4"/>
  <c r="K113" i="4"/>
  <c r="R113" i="4"/>
  <c r="J113" i="4"/>
  <c r="P113" i="4"/>
  <c r="H113" i="4"/>
  <c r="Q113" i="4"/>
  <c r="H110" i="4"/>
  <c r="H111" i="4" s="1"/>
  <c r="H112" i="4" s="1"/>
  <c r="H114" i="4" s="1"/>
  <c r="H116" i="4" s="1"/>
  <c r="M113" i="4"/>
  <c r="I113" i="4"/>
  <c r="O113" i="4"/>
  <c r="N113" i="4"/>
  <c r="L95" i="4"/>
  <c r="N95" i="4"/>
  <c r="H163" i="4"/>
  <c r="H164" i="4" s="1"/>
  <c r="H166" i="4" s="1"/>
  <c r="H168" i="4" s="1"/>
  <c r="I95" i="4"/>
  <c r="Q95" i="4"/>
  <c r="Q102" i="4" s="1"/>
  <c r="Q104" i="4" s="1"/>
  <c r="Q109" i="4" s="1"/>
  <c r="J156" i="4"/>
  <c r="J157" i="4" s="1"/>
  <c r="J160" i="4" s="1"/>
  <c r="K95" i="4"/>
  <c r="K102" i="4" s="1"/>
  <c r="K104" i="4" s="1"/>
  <c r="K109" i="4" s="1"/>
  <c r="K92" i="4"/>
  <c r="L78" i="4"/>
  <c r="K150" i="4"/>
  <c r="J95" i="4"/>
  <c r="J102" i="4" s="1"/>
  <c r="J104" i="4" s="1"/>
  <c r="J109" i="4" s="1"/>
  <c r="P95" i="4"/>
  <c r="J93" i="4"/>
  <c r="J142" i="4"/>
  <c r="J144" i="4" s="1"/>
  <c r="J147" i="4" s="1"/>
  <c r="J161" i="4" s="1"/>
  <c r="M95" i="4"/>
  <c r="H157" i="2"/>
  <c r="H160" i="2" s="1"/>
  <c r="H163" i="2" s="1"/>
  <c r="H164" i="2" s="1"/>
  <c r="H166" i="2" s="1"/>
  <c r="H168" i="2" s="1"/>
  <c r="H169" i="2" s="1"/>
  <c r="H170" i="2" s="1"/>
  <c r="I95" i="2"/>
  <c r="I98" i="2" s="1"/>
  <c r="L95" i="2"/>
  <c r="M95" i="2"/>
  <c r="O95" i="2"/>
  <c r="P95" i="2"/>
  <c r="Q95" i="2"/>
  <c r="N113" i="2"/>
  <c r="M113" i="2"/>
  <c r="L113" i="2"/>
  <c r="P113" i="2"/>
  <c r="H113" i="2"/>
  <c r="Q113" i="2"/>
  <c r="O113" i="2"/>
  <c r="H110" i="2"/>
  <c r="H111" i="2" s="1"/>
  <c r="H112" i="2" s="1"/>
  <c r="J113" i="2"/>
  <c r="K113" i="2"/>
  <c r="I113" i="2"/>
  <c r="R113" i="2"/>
  <c r="R95" i="2"/>
  <c r="K78" i="2"/>
  <c r="J150" i="2"/>
  <c r="J92" i="2"/>
  <c r="J142" i="2" s="1"/>
  <c r="N95" i="2"/>
  <c r="I93" i="2"/>
  <c r="J95" i="2"/>
  <c r="K95" i="2"/>
  <c r="I159" i="1"/>
  <c r="J159" i="1"/>
  <c r="K159" i="1"/>
  <c r="L159" i="1"/>
  <c r="M159" i="1"/>
  <c r="N159" i="1"/>
  <c r="O159" i="1"/>
  <c r="P159" i="1"/>
  <c r="Q159" i="1"/>
  <c r="R159" i="1"/>
  <c r="H159" i="1"/>
  <c r="D33" i="1"/>
  <c r="D32" i="1"/>
  <c r="H149" i="1"/>
  <c r="I142" i="1"/>
  <c r="J142" i="1"/>
  <c r="K142" i="1"/>
  <c r="L142" i="1"/>
  <c r="M142" i="1"/>
  <c r="N142" i="1"/>
  <c r="O142" i="1"/>
  <c r="P142" i="1"/>
  <c r="Q142" i="1"/>
  <c r="R142" i="1"/>
  <c r="H142" i="1"/>
  <c r="H139" i="1"/>
  <c r="H141" i="1" s="1"/>
  <c r="D63" i="1"/>
  <c r="D62" i="1" s="1"/>
  <c r="D65" i="1"/>
  <c r="I149" i="1" s="1"/>
  <c r="D75" i="1"/>
  <c r="L75" i="1"/>
  <c r="M75" i="1" s="1"/>
  <c r="N75" i="1" s="1"/>
  <c r="O75" i="1" s="1"/>
  <c r="P75" i="1" s="1"/>
  <c r="Q75" i="1" s="1"/>
  <c r="R75" i="1" s="1"/>
  <c r="H76" i="1"/>
  <c r="I76" i="1" s="1"/>
  <c r="J76" i="1" s="1"/>
  <c r="K76" i="1" s="1"/>
  <c r="D77" i="1"/>
  <c r="N77" i="1"/>
  <c r="O77" i="1" s="1"/>
  <c r="P77" i="1" s="1"/>
  <c r="Q77" i="1" s="1"/>
  <c r="R77" i="1" s="1"/>
  <c r="H156" i="1"/>
  <c r="J152" i="8" l="1"/>
  <c r="J154" i="8" s="1"/>
  <c r="I152" i="8"/>
  <c r="I154" i="8" s="1"/>
  <c r="I147" i="8"/>
  <c r="I161" i="8" s="1"/>
  <c r="I114" i="8"/>
  <c r="I115" i="8" s="1"/>
  <c r="I116" i="8"/>
  <c r="I117" i="8" s="1"/>
  <c r="H117" i="8"/>
  <c r="K92" i="8"/>
  <c r="K150" i="8"/>
  <c r="K152" i="8" s="1"/>
  <c r="K154" i="8" s="1"/>
  <c r="L78" i="8"/>
  <c r="K98" i="8"/>
  <c r="J93" i="8"/>
  <c r="J142" i="8"/>
  <c r="J144" i="8" s="1"/>
  <c r="J147" i="8" s="1"/>
  <c r="J161" i="8" s="1"/>
  <c r="J96" i="8"/>
  <c r="J99" i="8" s="1"/>
  <c r="J108" i="8" s="1"/>
  <c r="J111" i="8" s="1"/>
  <c r="J112" i="8" s="1"/>
  <c r="J156" i="8"/>
  <c r="J157" i="8" s="1"/>
  <c r="J160" i="8" s="1"/>
  <c r="I157" i="8"/>
  <c r="I160" i="8" s="1"/>
  <c r="I163" i="8" s="1"/>
  <c r="I164" i="8" s="1"/>
  <c r="H170" i="8"/>
  <c r="I114" i="7"/>
  <c r="I115" i="7" s="1"/>
  <c r="I116" i="7" s="1"/>
  <c r="I117" i="7" s="1"/>
  <c r="H117" i="7"/>
  <c r="K156" i="7"/>
  <c r="K92" i="7"/>
  <c r="K150" i="7"/>
  <c r="K152" i="7" s="1"/>
  <c r="K154" i="7" s="1"/>
  <c r="L78" i="7"/>
  <c r="K98" i="7"/>
  <c r="J152" i="7"/>
  <c r="J154" i="7" s="1"/>
  <c r="J157" i="7" s="1"/>
  <c r="J160" i="7" s="1"/>
  <c r="J163" i="7" s="1"/>
  <c r="J164" i="7" s="1"/>
  <c r="I152" i="7"/>
  <c r="I154" i="7" s="1"/>
  <c r="I157" i="7" s="1"/>
  <c r="I160" i="7" s="1"/>
  <c r="I163" i="7" s="1"/>
  <c r="I164" i="7" s="1"/>
  <c r="I147" i="7"/>
  <c r="I161" i="7" s="1"/>
  <c r="J93" i="7"/>
  <c r="J142" i="7"/>
  <c r="J144" i="7" s="1"/>
  <c r="J147" i="7" s="1"/>
  <c r="J161" i="7" s="1"/>
  <c r="J96" i="7"/>
  <c r="J99" i="7" s="1"/>
  <c r="J108" i="7" s="1"/>
  <c r="J111" i="7" s="1"/>
  <c r="J112" i="7" s="1"/>
  <c r="H170" i="7"/>
  <c r="R145" i="6"/>
  <c r="R151" i="6"/>
  <c r="M151" i="6"/>
  <c r="M145" i="6"/>
  <c r="Q102" i="6"/>
  <c r="Q104" i="6" s="1"/>
  <c r="Q109" i="6" s="1"/>
  <c r="Q143" i="6"/>
  <c r="J145" i="6"/>
  <c r="J151" i="6"/>
  <c r="J152" i="6" s="1"/>
  <c r="J154" i="6" s="1"/>
  <c r="N151" i="6"/>
  <c r="N145" i="6"/>
  <c r="L102" i="6"/>
  <c r="L104" i="6" s="1"/>
  <c r="L109" i="6" s="1"/>
  <c r="L143" i="6"/>
  <c r="K145" i="6"/>
  <c r="K151" i="6"/>
  <c r="I145" i="6"/>
  <c r="I151" i="6"/>
  <c r="O151" i="6"/>
  <c r="O145" i="6"/>
  <c r="I144" i="6"/>
  <c r="P151" i="6"/>
  <c r="P145" i="6"/>
  <c r="L151" i="5"/>
  <c r="L145" i="5"/>
  <c r="M102" i="5"/>
  <c r="M104" i="5" s="1"/>
  <c r="M109" i="5" s="1"/>
  <c r="M143" i="5"/>
  <c r="Q145" i="5"/>
  <c r="Q151" i="5"/>
  <c r="J144" i="5"/>
  <c r="J145" i="5"/>
  <c r="J151" i="5"/>
  <c r="P145" i="5"/>
  <c r="P151" i="5"/>
  <c r="I102" i="5"/>
  <c r="I104" i="5" s="1"/>
  <c r="I109" i="5" s="1"/>
  <c r="I143" i="5"/>
  <c r="K145" i="5"/>
  <c r="K151" i="5"/>
  <c r="K152" i="5" s="1"/>
  <c r="K154" i="5" s="1"/>
  <c r="N151" i="5"/>
  <c r="N145" i="5"/>
  <c r="O151" i="5"/>
  <c r="O145" i="5"/>
  <c r="R145" i="5"/>
  <c r="R151" i="5"/>
  <c r="H117" i="6"/>
  <c r="I96" i="6"/>
  <c r="I98" i="6"/>
  <c r="K98" i="6"/>
  <c r="I102" i="6"/>
  <c r="I104" i="6" s="1"/>
  <c r="I109" i="6" s="1"/>
  <c r="K102" i="6"/>
  <c r="K104" i="6" s="1"/>
  <c r="K109" i="6" s="1"/>
  <c r="O102" i="6"/>
  <c r="O104" i="6" s="1"/>
  <c r="O109" i="6" s="1"/>
  <c r="J98" i="6"/>
  <c r="K92" i="6"/>
  <c r="K150" i="6"/>
  <c r="L78" i="6"/>
  <c r="N102" i="6"/>
  <c r="N104" i="6" s="1"/>
  <c r="N109" i="6" s="1"/>
  <c r="J102" i="6"/>
  <c r="J104" i="6" s="1"/>
  <c r="J109" i="6" s="1"/>
  <c r="J93" i="6"/>
  <c r="J96" i="6" s="1"/>
  <c r="J142" i="6"/>
  <c r="J144" i="6" s="1"/>
  <c r="H170" i="6"/>
  <c r="R102" i="6"/>
  <c r="R104" i="6" s="1"/>
  <c r="R109" i="6" s="1"/>
  <c r="M102" i="6"/>
  <c r="M104" i="6" s="1"/>
  <c r="M109" i="6" s="1"/>
  <c r="H117" i="5"/>
  <c r="L92" i="5"/>
  <c r="M78" i="5"/>
  <c r="L150" i="5"/>
  <c r="K98" i="5"/>
  <c r="K102" i="5"/>
  <c r="K104" i="5" s="1"/>
  <c r="K109" i="5" s="1"/>
  <c r="L98" i="5"/>
  <c r="L102" i="5"/>
  <c r="L104" i="5" s="1"/>
  <c r="L109" i="5" s="1"/>
  <c r="K142" i="5"/>
  <c r="K144" i="5" s="1"/>
  <c r="K93" i="5"/>
  <c r="K96" i="5" s="1"/>
  <c r="J96" i="5"/>
  <c r="J98" i="5"/>
  <c r="J99" i="5" s="1"/>
  <c r="J108" i="5" s="1"/>
  <c r="J111" i="5" s="1"/>
  <c r="J112" i="5" s="1"/>
  <c r="H169" i="5"/>
  <c r="I96" i="5"/>
  <c r="I98" i="5"/>
  <c r="I99" i="5" s="1"/>
  <c r="I108" i="5" s="1"/>
  <c r="I111" i="5" s="1"/>
  <c r="I112" i="5" s="1"/>
  <c r="N102" i="5"/>
  <c r="N104" i="5" s="1"/>
  <c r="N109" i="5" s="1"/>
  <c r="R102" i="5"/>
  <c r="R104" i="5" s="1"/>
  <c r="R109" i="5" s="1"/>
  <c r="Q102" i="5"/>
  <c r="Q104" i="5" s="1"/>
  <c r="Q109" i="5" s="1"/>
  <c r="O102" i="5"/>
  <c r="O104" i="5" s="1"/>
  <c r="O109" i="5" s="1"/>
  <c r="P102" i="5"/>
  <c r="P104" i="5" s="1"/>
  <c r="P109" i="5" s="1"/>
  <c r="J102" i="5"/>
  <c r="J104" i="5" s="1"/>
  <c r="J109" i="5" s="1"/>
  <c r="H117" i="4"/>
  <c r="K142" i="4"/>
  <c r="K144" i="4" s="1"/>
  <c r="K147" i="4" s="1"/>
  <c r="K161" i="4" s="1"/>
  <c r="K93" i="4"/>
  <c r="K96" i="4" s="1"/>
  <c r="L98" i="4"/>
  <c r="L102" i="4"/>
  <c r="L104" i="4" s="1"/>
  <c r="L109" i="4" s="1"/>
  <c r="K98" i="4"/>
  <c r="N102" i="4"/>
  <c r="N104" i="4" s="1"/>
  <c r="N109" i="4" s="1"/>
  <c r="P102" i="4"/>
  <c r="P104" i="4" s="1"/>
  <c r="P109" i="4" s="1"/>
  <c r="K152" i="4"/>
  <c r="K154" i="4" s="1"/>
  <c r="K156" i="4"/>
  <c r="K157" i="4" s="1"/>
  <c r="K160" i="4" s="1"/>
  <c r="K163" i="4" s="1"/>
  <c r="K164" i="4" s="1"/>
  <c r="I96" i="4"/>
  <c r="I98" i="4"/>
  <c r="H169" i="4"/>
  <c r="J163" i="4"/>
  <c r="J164" i="4" s="1"/>
  <c r="R102" i="4"/>
  <c r="R104" i="4" s="1"/>
  <c r="R109" i="4" s="1"/>
  <c r="J96" i="4"/>
  <c r="J98" i="4"/>
  <c r="J99" i="4" s="1"/>
  <c r="J108" i="4" s="1"/>
  <c r="J111" i="4" s="1"/>
  <c r="J112" i="4" s="1"/>
  <c r="M102" i="4"/>
  <c r="M104" i="4" s="1"/>
  <c r="M109" i="4" s="1"/>
  <c r="L92" i="4"/>
  <c r="L150" i="4"/>
  <c r="M78" i="4"/>
  <c r="M98" i="4" s="1"/>
  <c r="I102" i="4"/>
  <c r="I104" i="4" s="1"/>
  <c r="I109" i="4" s="1"/>
  <c r="H114" i="2"/>
  <c r="H116" i="2" s="1"/>
  <c r="J102" i="2"/>
  <c r="J104" i="2" s="1"/>
  <c r="J109" i="2" s="1"/>
  <c r="J98" i="2"/>
  <c r="R102" i="2"/>
  <c r="R104" i="2" s="1"/>
  <c r="R109" i="2" s="1"/>
  <c r="K102" i="2"/>
  <c r="K104" i="2" s="1"/>
  <c r="K109" i="2" s="1"/>
  <c r="K98" i="2"/>
  <c r="H117" i="2"/>
  <c r="H172" i="2"/>
  <c r="L78" i="2"/>
  <c r="L98" i="2" s="1"/>
  <c r="K150" i="2"/>
  <c r="K92" i="2"/>
  <c r="K142" i="2" s="1"/>
  <c r="Q143" i="2"/>
  <c r="M143" i="2"/>
  <c r="R143" i="2"/>
  <c r="Q102" i="2"/>
  <c r="Q104" i="2" s="1"/>
  <c r="Q109" i="2" s="1"/>
  <c r="M102" i="2"/>
  <c r="M104" i="2" s="1"/>
  <c r="M109" i="2" s="1"/>
  <c r="J143" i="2"/>
  <c r="P143" i="2"/>
  <c r="L143" i="2"/>
  <c r="P102" i="2"/>
  <c r="P104" i="2" s="1"/>
  <c r="P109" i="2" s="1"/>
  <c r="L102" i="2"/>
  <c r="L104" i="2" s="1"/>
  <c r="L109" i="2" s="1"/>
  <c r="N143" i="2"/>
  <c r="O143" i="2"/>
  <c r="I143" i="2"/>
  <c r="I144" i="2" s="1"/>
  <c r="I96" i="2"/>
  <c r="I99" i="2" s="1"/>
  <c r="I108" i="2" s="1"/>
  <c r="N102" i="2"/>
  <c r="N104" i="2" s="1"/>
  <c r="N109" i="2" s="1"/>
  <c r="O102" i="2"/>
  <c r="O104" i="2" s="1"/>
  <c r="O109" i="2" s="1"/>
  <c r="I102" i="2"/>
  <c r="I104" i="2" s="1"/>
  <c r="I109" i="2" s="1"/>
  <c r="K143" i="2"/>
  <c r="J93" i="2"/>
  <c r="J96" i="2" s="1"/>
  <c r="H78" i="1"/>
  <c r="P149" i="1"/>
  <c r="M149" i="1"/>
  <c r="O149" i="1"/>
  <c r="N149" i="1"/>
  <c r="L149" i="1"/>
  <c r="K149" i="1"/>
  <c r="R149" i="1"/>
  <c r="J149" i="1"/>
  <c r="Q149" i="1"/>
  <c r="H147" i="1"/>
  <c r="L76" i="1"/>
  <c r="M76" i="1" s="1"/>
  <c r="N76" i="1" s="1"/>
  <c r="O76" i="1" s="1"/>
  <c r="P76" i="1" s="1"/>
  <c r="Q76" i="1" s="1"/>
  <c r="R76" i="1" s="1"/>
  <c r="D76" i="1"/>
  <c r="K156" i="8" l="1"/>
  <c r="K157" i="8" s="1"/>
  <c r="K160" i="8" s="1"/>
  <c r="H118" i="8"/>
  <c r="H172" i="8"/>
  <c r="I166" i="8"/>
  <c r="I167" i="8" s="1"/>
  <c r="I168" i="8" s="1"/>
  <c r="K142" i="8"/>
  <c r="K144" i="8" s="1"/>
  <c r="K147" i="8" s="1"/>
  <c r="K161" i="8" s="1"/>
  <c r="K93" i="8"/>
  <c r="K96" i="8"/>
  <c r="K99" i="8" s="1"/>
  <c r="K108" i="8" s="1"/>
  <c r="K111" i="8" s="1"/>
  <c r="K112" i="8" s="1"/>
  <c r="J114" i="8"/>
  <c r="J115" i="8" s="1"/>
  <c r="J116" i="8" s="1"/>
  <c r="J163" i="8"/>
  <c r="J164" i="8" s="1"/>
  <c r="L92" i="8"/>
  <c r="M78" i="8"/>
  <c r="L150" i="8"/>
  <c r="L98" i="8"/>
  <c r="K157" i="7"/>
  <c r="K160" i="7" s="1"/>
  <c r="I166" i="7"/>
  <c r="I167" i="7" s="1"/>
  <c r="I168" i="7"/>
  <c r="J166" i="7"/>
  <c r="J167" i="7" s="1"/>
  <c r="J168" i="7"/>
  <c r="J169" i="7" s="1"/>
  <c r="K142" i="7"/>
  <c r="K144" i="7" s="1"/>
  <c r="K147" i="7" s="1"/>
  <c r="K161" i="7" s="1"/>
  <c r="K163" i="7" s="1"/>
  <c r="K164" i="7" s="1"/>
  <c r="K93" i="7"/>
  <c r="K96" i="7"/>
  <c r="K99" i="7" s="1"/>
  <c r="K108" i="7" s="1"/>
  <c r="K111" i="7" s="1"/>
  <c r="K112" i="7" s="1"/>
  <c r="J114" i="7"/>
  <c r="J115" i="7" s="1"/>
  <c r="J116" i="7" s="1"/>
  <c r="H118" i="7"/>
  <c r="M78" i="7"/>
  <c r="L92" i="7"/>
  <c r="L150" i="7"/>
  <c r="L98" i="7"/>
  <c r="H172" i="7"/>
  <c r="Q145" i="6"/>
  <c r="Q151" i="6"/>
  <c r="L145" i="6"/>
  <c r="L151" i="6"/>
  <c r="J156" i="6"/>
  <c r="J157" i="6" s="1"/>
  <c r="J160" i="6" s="1"/>
  <c r="J163" i="6" s="1"/>
  <c r="J164" i="6" s="1"/>
  <c r="I147" i="6"/>
  <c r="I161" i="6" s="1"/>
  <c r="I156" i="6"/>
  <c r="I152" i="6"/>
  <c r="I154" i="6" s="1"/>
  <c r="J147" i="6"/>
  <c r="J161" i="6" s="1"/>
  <c r="K156" i="5"/>
  <c r="K157" i="5" s="1"/>
  <c r="K160" i="5" s="1"/>
  <c r="M145" i="5"/>
  <c r="M151" i="5"/>
  <c r="K147" i="5"/>
  <c r="K161" i="5" s="1"/>
  <c r="J147" i="5"/>
  <c r="J161" i="5" s="1"/>
  <c r="I145" i="5"/>
  <c r="I151" i="5"/>
  <c r="I144" i="5"/>
  <c r="I147" i="5" s="1"/>
  <c r="I161" i="5" s="1"/>
  <c r="J156" i="5"/>
  <c r="J152" i="5"/>
  <c r="J154" i="5" s="1"/>
  <c r="I99" i="4"/>
  <c r="I108" i="4" s="1"/>
  <c r="I111" i="4" s="1"/>
  <c r="I112" i="4" s="1"/>
  <c r="I99" i="6"/>
  <c r="I108" i="6" s="1"/>
  <c r="I111" i="6" s="1"/>
  <c r="I112" i="6" s="1"/>
  <c r="J166" i="6"/>
  <c r="J167" i="6" s="1"/>
  <c r="J168" i="6"/>
  <c r="J169" i="6" s="1"/>
  <c r="L92" i="6"/>
  <c r="L150" i="6"/>
  <c r="M78" i="6"/>
  <c r="H172" i="6"/>
  <c r="K142" i="6"/>
  <c r="K144" i="6" s="1"/>
  <c r="K147" i="6" s="1"/>
  <c r="K161" i="6" s="1"/>
  <c r="K93" i="6"/>
  <c r="K96" i="6" s="1"/>
  <c r="K99" i="6" s="1"/>
  <c r="K108" i="6" s="1"/>
  <c r="K111" i="6" s="1"/>
  <c r="K112" i="6" s="1"/>
  <c r="H118" i="6"/>
  <c r="J99" i="6"/>
  <c r="J108" i="6" s="1"/>
  <c r="J111" i="6" s="1"/>
  <c r="J112" i="6" s="1"/>
  <c r="K152" i="6"/>
  <c r="K154" i="6" s="1"/>
  <c r="K156" i="6"/>
  <c r="K157" i="6" s="1"/>
  <c r="K160" i="6" s="1"/>
  <c r="L98" i="6"/>
  <c r="L152" i="5"/>
  <c r="L154" i="5" s="1"/>
  <c r="L156" i="5"/>
  <c r="L157" i="5" s="1"/>
  <c r="L160" i="5" s="1"/>
  <c r="L163" i="5" s="1"/>
  <c r="L164" i="5" s="1"/>
  <c r="M92" i="5"/>
  <c r="N78" i="5"/>
  <c r="M150" i="5"/>
  <c r="K99" i="5"/>
  <c r="K108" i="5" s="1"/>
  <c r="K111" i="5" s="1"/>
  <c r="K112" i="5" s="1"/>
  <c r="M98" i="5"/>
  <c r="K163" i="5"/>
  <c r="K164" i="5" s="1"/>
  <c r="H170" i="5"/>
  <c r="J114" i="5"/>
  <c r="J115" i="5" s="1"/>
  <c r="J116" i="5" s="1"/>
  <c r="J117" i="5" s="1"/>
  <c r="I114" i="5"/>
  <c r="I115" i="5" s="1"/>
  <c r="I116" i="5"/>
  <c r="L142" i="5"/>
  <c r="L144" i="5" s="1"/>
  <c r="L147" i="5" s="1"/>
  <c r="L161" i="5" s="1"/>
  <c r="L93" i="5"/>
  <c r="L96" i="5" s="1"/>
  <c r="L99" i="5" s="1"/>
  <c r="L108" i="5" s="1"/>
  <c r="L111" i="5" s="1"/>
  <c r="L112" i="5" s="1"/>
  <c r="H118" i="5"/>
  <c r="L152" i="4"/>
  <c r="L154" i="4" s="1"/>
  <c r="L156" i="4"/>
  <c r="L157" i="4" s="1"/>
  <c r="L160" i="4" s="1"/>
  <c r="L142" i="4"/>
  <c r="L144" i="4" s="1"/>
  <c r="L147" i="4" s="1"/>
  <c r="L161" i="4" s="1"/>
  <c r="L93" i="4"/>
  <c r="L96" i="4"/>
  <c r="L99" i="4" s="1"/>
  <c r="L108" i="4" s="1"/>
  <c r="L111" i="4" s="1"/>
  <c r="L112" i="4" s="1"/>
  <c r="K166" i="4"/>
  <c r="K167" i="4" s="1"/>
  <c r="K168" i="4"/>
  <c r="K169" i="4" s="1"/>
  <c r="K99" i="4"/>
  <c r="K108" i="4" s="1"/>
  <c r="K111" i="4" s="1"/>
  <c r="K112" i="4" s="1"/>
  <c r="I114" i="4"/>
  <c r="I115" i="4" s="1"/>
  <c r="I116" i="4"/>
  <c r="M92" i="4"/>
  <c r="N78" i="4"/>
  <c r="M150" i="4"/>
  <c r="J166" i="4"/>
  <c r="J167" i="4" s="1"/>
  <c r="J168" i="4" s="1"/>
  <c r="H170" i="4"/>
  <c r="J114" i="4"/>
  <c r="J115" i="4" s="1"/>
  <c r="J116" i="4" s="1"/>
  <c r="J117" i="4" s="1"/>
  <c r="H118" i="4"/>
  <c r="J99" i="2"/>
  <c r="J108" i="2" s="1"/>
  <c r="J111" i="2" s="1"/>
  <c r="J112" i="2" s="1"/>
  <c r="I111" i="2"/>
  <c r="I112" i="2" s="1"/>
  <c r="I114" i="2" s="1"/>
  <c r="I115" i="2" s="1"/>
  <c r="I116" i="2" s="1"/>
  <c r="K144" i="2"/>
  <c r="K93" i="2"/>
  <c r="K96" i="2" s="1"/>
  <c r="K99" i="2" s="1"/>
  <c r="K108" i="2" s="1"/>
  <c r="J144" i="2"/>
  <c r="I151" i="2"/>
  <c r="I145" i="2"/>
  <c r="I147" i="2" s="1"/>
  <c r="I161" i="2" s="1"/>
  <c r="J151" i="2"/>
  <c r="J145" i="2"/>
  <c r="Q151" i="2"/>
  <c r="Q156" i="2" s="1"/>
  <c r="Q145" i="2"/>
  <c r="O151" i="2"/>
  <c r="O156" i="2" s="1"/>
  <c r="O145" i="2"/>
  <c r="L145" i="2"/>
  <c r="L151" i="2"/>
  <c r="L156" i="2" s="1"/>
  <c r="L150" i="2"/>
  <c r="M78" i="2"/>
  <c r="M98" i="2" s="1"/>
  <c r="L92" i="2"/>
  <c r="L142" i="2" s="1"/>
  <c r="R151" i="2"/>
  <c r="R156" i="2" s="1"/>
  <c r="R145" i="2"/>
  <c r="K145" i="2"/>
  <c r="K151" i="2"/>
  <c r="N145" i="2"/>
  <c r="N151" i="2"/>
  <c r="N156" i="2" s="1"/>
  <c r="P151" i="2"/>
  <c r="P156" i="2" s="1"/>
  <c r="P145" i="2"/>
  <c r="M145" i="2"/>
  <c r="M151" i="2"/>
  <c r="M156" i="2" s="1"/>
  <c r="H118" i="2"/>
  <c r="H146" i="1"/>
  <c r="H91" i="1"/>
  <c r="H138" i="1" s="1"/>
  <c r="D78" i="1"/>
  <c r="I78" i="1"/>
  <c r="H148" i="1"/>
  <c r="H150" i="1" s="1"/>
  <c r="I169" i="8" l="1"/>
  <c r="J117" i="8"/>
  <c r="M92" i="8"/>
  <c r="N78" i="8"/>
  <c r="M150" i="8"/>
  <c r="M98" i="8"/>
  <c r="J166" i="8"/>
  <c r="J167" i="8" s="1"/>
  <c r="J168" i="8"/>
  <c r="J169" i="8" s="1"/>
  <c r="H120" i="8"/>
  <c r="I118" i="8"/>
  <c r="J118" i="8" s="1"/>
  <c r="L142" i="8"/>
  <c r="L144" i="8" s="1"/>
  <c r="L147" i="8" s="1"/>
  <c r="L161" i="8" s="1"/>
  <c r="L93" i="8"/>
  <c r="L96" i="8" s="1"/>
  <c r="L99" i="8" s="1"/>
  <c r="L108" i="8" s="1"/>
  <c r="L111" i="8" s="1"/>
  <c r="L112" i="8" s="1"/>
  <c r="K114" i="8"/>
  <c r="K115" i="8" s="1"/>
  <c r="K116" i="8" s="1"/>
  <c r="K117" i="8" s="1"/>
  <c r="L152" i="8"/>
  <c r="L154" i="8" s="1"/>
  <c r="L156" i="8"/>
  <c r="L157" i="8" s="1"/>
  <c r="L160" i="8" s="1"/>
  <c r="L163" i="8" s="1"/>
  <c r="L164" i="8" s="1"/>
  <c r="K163" i="8"/>
  <c r="K164" i="8" s="1"/>
  <c r="K114" i="7"/>
  <c r="K115" i="7" s="1"/>
  <c r="K116" i="7" s="1"/>
  <c r="K166" i="7"/>
  <c r="K167" i="7" s="1"/>
  <c r="K168" i="7"/>
  <c r="K169" i="7" s="1"/>
  <c r="J117" i="7"/>
  <c r="H120" i="7"/>
  <c r="I118" i="7"/>
  <c r="J118" i="7" s="1"/>
  <c r="M92" i="7"/>
  <c r="N78" i="7"/>
  <c r="M150" i="7"/>
  <c r="M98" i="7"/>
  <c r="I169" i="7"/>
  <c r="L152" i="7"/>
  <c r="L154" i="7" s="1"/>
  <c r="L156" i="7"/>
  <c r="L157" i="7" s="1"/>
  <c r="L160" i="7" s="1"/>
  <c r="L142" i="7"/>
  <c r="L144" i="7" s="1"/>
  <c r="L147" i="7" s="1"/>
  <c r="L161" i="7" s="1"/>
  <c r="L93" i="7"/>
  <c r="L96" i="7"/>
  <c r="L99" i="7" s="1"/>
  <c r="L108" i="7" s="1"/>
  <c r="L111" i="7" s="1"/>
  <c r="L112" i="7" s="1"/>
  <c r="I157" i="6"/>
  <c r="I160" i="6" s="1"/>
  <c r="I163" i="6"/>
  <c r="I164" i="6" s="1"/>
  <c r="I166" i="6" s="1"/>
  <c r="I167" i="6" s="1"/>
  <c r="I168" i="6" s="1"/>
  <c r="I169" i="6" s="1"/>
  <c r="I170" i="6" s="1"/>
  <c r="I152" i="5"/>
  <c r="I154" i="5" s="1"/>
  <c r="I156" i="5"/>
  <c r="I157" i="5" s="1"/>
  <c r="I160" i="5" s="1"/>
  <c r="I163" i="5" s="1"/>
  <c r="I164" i="5" s="1"/>
  <c r="I166" i="5" s="1"/>
  <c r="I167" i="5" s="1"/>
  <c r="I168" i="5" s="1"/>
  <c r="I169" i="5" s="1"/>
  <c r="J157" i="5"/>
  <c r="J160" i="5" s="1"/>
  <c r="J163" i="5" s="1"/>
  <c r="J164" i="5" s="1"/>
  <c r="J166" i="5" s="1"/>
  <c r="J167" i="5" s="1"/>
  <c r="J168" i="5" s="1"/>
  <c r="J169" i="5" s="1"/>
  <c r="K114" i="6"/>
  <c r="K115" i="6" s="1"/>
  <c r="K116" i="6" s="1"/>
  <c r="K117" i="6" s="1"/>
  <c r="L152" i="6"/>
  <c r="L154" i="6" s="1"/>
  <c r="L156" i="6"/>
  <c r="L157" i="6" s="1"/>
  <c r="L160" i="6" s="1"/>
  <c r="L142" i="6"/>
  <c r="L144" i="6" s="1"/>
  <c r="L147" i="6" s="1"/>
  <c r="L161" i="6" s="1"/>
  <c r="L93" i="6"/>
  <c r="L96" i="6" s="1"/>
  <c r="L99" i="6" s="1"/>
  <c r="L108" i="6" s="1"/>
  <c r="L111" i="6" s="1"/>
  <c r="L112" i="6" s="1"/>
  <c r="J116" i="6"/>
  <c r="J117" i="6" s="1"/>
  <c r="J114" i="6"/>
  <c r="J115" i="6" s="1"/>
  <c r="H120" i="6"/>
  <c r="I114" i="6"/>
  <c r="I115" i="6" s="1"/>
  <c r="I116" i="6"/>
  <c r="I172" i="6"/>
  <c r="K163" i="6"/>
  <c r="K164" i="6" s="1"/>
  <c r="J170" i="6"/>
  <c r="M92" i="6"/>
  <c r="N78" i="6"/>
  <c r="M150" i="6"/>
  <c r="M98" i="6"/>
  <c r="L114" i="5"/>
  <c r="L115" i="5" s="1"/>
  <c r="L116" i="5" s="1"/>
  <c r="L117" i="5" s="1"/>
  <c r="O78" i="5"/>
  <c r="N150" i="5"/>
  <c r="N92" i="5"/>
  <c r="N98" i="5"/>
  <c r="L166" i="5"/>
  <c r="L167" i="5" s="1"/>
  <c r="L168" i="5" s="1"/>
  <c r="L169" i="5" s="1"/>
  <c r="I170" i="5"/>
  <c r="J170" i="5" s="1"/>
  <c r="H172" i="5"/>
  <c r="M142" i="5"/>
  <c r="M144" i="5" s="1"/>
  <c r="M147" i="5" s="1"/>
  <c r="M161" i="5" s="1"/>
  <c r="M93" i="5"/>
  <c r="M96" i="5"/>
  <c r="M99" i="5" s="1"/>
  <c r="M108" i="5" s="1"/>
  <c r="M111" i="5" s="1"/>
  <c r="M112" i="5" s="1"/>
  <c r="H120" i="5"/>
  <c r="I117" i="5"/>
  <c r="I118" i="5" s="1"/>
  <c r="J118" i="5" s="1"/>
  <c r="K114" i="5"/>
  <c r="K115" i="5" s="1"/>
  <c r="K116" i="5" s="1"/>
  <c r="K166" i="5"/>
  <c r="K167" i="5" s="1"/>
  <c r="K168" i="5"/>
  <c r="M152" i="5"/>
  <c r="M154" i="5" s="1"/>
  <c r="M156" i="5"/>
  <c r="J169" i="4"/>
  <c r="L114" i="4"/>
  <c r="L115" i="4" s="1"/>
  <c r="L116" i="4" s="1"/>
  <c r="L117" i="4" s="1"/>
  <c r="M152" i="4"/>
  <c r="M154" i="4" s="1"/>
  <c r="M156" i="4"/>
  <c r="O78" i="4"/>
  <c r="N150" i="4"/>
  <c r="N92" i="4"/>
  <c r="N98" i="4"/>
  <c r="M93" i="4"/>
  <c r="M142" i="4"/>
  <c r="M144" i="4" s="1"/>
  <c r="M147" i="4" s="1"/>
  <c r="M161" i="4" s="1"/>
  <c r="M96" i="4"/>
  <c r="M99" i="4" s="1"/>
  <c r="M108" i="4" s="1"/>
  <c r="M111" i="4" s="1"/>
  <c r="M112" i="4" s="1"/>
  <c r="H120" i="4"/>
  <c r="I117" i="4"/>
  <c r="I118" i="4" s="1"/>
  <c r="J118" i="4" s="1"/>
  <c r="L163" i="4"/>
  <c r="L164" i="4" s="1"/>
  <c r="I170" i="4"/>
  <c r="H172" i="4"/>
  <c r="K114" i="4"/>
  <c r="K115" i="4" s="1"/>
  <c r="K116" i="4" s="1"/>
  <c r="K152" i="2"/>
  <c r="K154" i="2" s="1"/>
  <c r="K156" i="2"/>
  <c r="J152" i="2"/>
  <c r="J154" i="2" s="1"/>
  <c r="J156" i="2"/>
  <c r="I152" i="2"/>
  <c r="I154" i="2" s="1"/>
  <c r="I156" i="2"/>
  <c r="I157" i="2" s="1"/>
  <c r="I160" i="2" s="1"/>
  <c r="I163" i="2" s="1"/>
  <c r="I164" i="2" s="1"/>
  <c r="I166" i="2" s="1"/>
  <c r="I167" i="2" s="1"/>
  <c r="I168" i="2" s="1"/>
  <c r="J157" i="2"/>
  <c r="J160" i="2" s="1"/>
  <c r="J163" i="2" s="1"/>
  <c r="J164" i="2" s="1"/>
  <c r="J166" i="2" s="1"/>
  <c r="J167" i="2" s="1"/>
  <c r="J168" i="2" s="1"/>
  <c r="J169" i="2" s="1"/>
  <c r="K157" i="2"/>
  <c r="K160" i="2" s="1"/>
  <c r="J114" i="2"/>
  <c r="J115" i="2" s="1"/>
  <c r="J116" i="2" s="1"/>
  <c r="J117" i="2" s="1"/>
  <c r="J147" i="2"/>
  <c r="J161" i="2" s="1"/>
  <c r="K111" i="2"/>
  <c r="K112" i="2" s="1"/>
  <c r="K114" i="2" s="1"/>
  <c r="K115" i="2" s="1"/>
  <c r="L152" i="2"/>
  <c r="L154" i="2" s="1"/>
  <c r="I117" i="2"/>
  <c r="I118" i="2" s="1"/>
  <c r="L144" i="2"/>
  <c r="L147" i="2" s="1"/>
  <c r="L161" i="2" s="1"/>
  <c r="L93" i="2"/>
  <c r="L96" i="2" s="1"/>
  <c r="N78" i="2"/>
  <c r="N98" i="2" s="1"/>
  <c r="M150" i="2"/>
  <c r="M152" i="2" s="1"/>
  <c r="M154" i="2" s="1"/>
  <c r="M92" i="2"/>
  <c r="M142" i="2" s="1"/>
  <c r="H120" i="2"/>
  <c r="K147" i="2"/>
  <c r="J78" i="1"/>
  <c r="H92" i="1"/>
  <c r="H95" i="1" s="1"/>
  <c r="I146" i="1"/>
  <c r="I91" i="1"/>
  <c r="I138" i="1" s="1"/>
  <c r="J146" i="1"/>
  <c r="J91" i="1"/>
  <c r="J138" i="1" s="1"/>
  <c r="K78" i="1"/>
  <c r="L114" i="8" l="1"/>
  <c r="L115" i="8" s="1"/>
  <c r="L116" i="8" s="1"/>
  <c r="O78" i="8"/>
  <c r="N92" i="8"/>
  <c r="N150" i="8"/>
  <c r="N98" i="8"/>
  <c r="M142" i="8"/>
  <c r="M144" i="8" s="1"/>
  <c r="M147" i="8" s="1"/>
  <c r="M161" i="8" s="1"/>
  <c r="M93" i="8"/>
  <c r="M96" i="8" s="1"/>
  <c r="M99" i="8" s="1"/>
  <c r="M108" i="8" s="1"/>
  <c r="M111" i="8" s="1"/>
  <c r="M112" i="8" s="1"/>
  <c r="K118" i="8"/>
  <c r="I120" i="8"/>
  <c r="L166" i="8"/>
  <c r="L167" i="8" s="1"/>
  <c r="L168" i="8" s="1"/>
  <c r="L169" i="8" s="1"/>
  <c r="K166" i="8"/>
  <c r="K167" i="8" s="1"/>
  <c r="K168" i="8"/>
  <c r="K169" i="8" s="1"/>
  <c r="M152" i="8"/>
  <c r="M154" i="8" s="1"/>
  <c r="M156" i="8"/>
  <c r="I170" i="8"/>
  <c r="L114" i="7"/>
  <c r="L115" i="7" s="1"/>
  <c r="L116" i="7" s="1"/>
  <c r="K117" i="7"/>
  <c r="L163" i="7"/>
  <c r="L164" i="7" s="1"/>
  <c r="O78" i="7"/>
  <c r="N150" i="7"/>
  <c r="N92" i="7"/>
  <c r="N98" i="7"/>
  <c r="M142" i="7"/>
  <c r="M144" i="7" s="1"/>
  <c r="M147" i="7" s="1"/>
  <c r="M161" i="7" s="1"/>
  <c r="M93" i="7"/>
  <c r="M96" i="7"/>
  <c r="M99" i="7"/>
  <c r="M108" i="7" s="1"/>
  <c r="M111" i="7" s="1"/>
  <c r="M112" i="7" s="1"/>
  <c r="K118" i="7"/>
  <c r="I170" i="7"/>
  <c r="M152" i="7"/>
  <c r="M154" i="7" s="1"/>
  <c r="M156" i="7"/>
  <c r="M157" i="7" s="1"/>
  <c r="M160" i="7" s="1"/>
  <c r="M163" i="7" s="1"/>
  <c r="M164" i="7" s="1"/>
  <c r="I120" i="7"/>
  <c r="J120" i="7" s="1"/>
  <c r="J170" i="4"/>
  <c r="K170" i="4" s="1"/>
  <c r="M157" i="4"/>
  <c r="M160" i="4" s="1"/>
  <c r="M163" i="4" s="1"/>
  <c r="M164" i="4" s="1"/>
  <c r="L114" i="6"/>
  <c r="L115" i="6" s="1"/>
  <c r="L116" i="6" s="1"/>
  <c r="I117" i="6"/>
  <c r="M152" i="6"/>
  <c r="M154" i="6" s="1"/>
  <c r="M156" i="6"/>
  <c r="M157" i="6" s="1"/>
  <c r="M160" i="6" s="1"/>
  <c r="M93" i="6"/>
  <c r="M96" i="6" s="1"/>
  <c r="M99" i="6" s="1"/>
  <c r="M108" i="6" s="1"/>
  <c r="M111" i="6" s="1"/>
  <c r="M112" i="6" s="1"/>
  <c r="M142" i="6"/>
  <c r="M144" i="6" s="1"/>
  <c r="M147" i="6" s="1"/>
  <c r="M161" i="6" s="1"/>
  <c r="K166" i="6"/>
  <c r="K167" i="6" s="1"/>
  <c r="K168" i="6"/>
  <c r="O78" i="6"/>
  <c r="N92" i="6"/>
  <c r="N150" i="6"/>
  <c r="N98" i="6"/>
  <c r="J172" i="6"/>
  <c r="L163" i="6"/>
  <c r="L164" i="6" s="1"/>
  <c r="K117" i="5"/>
  <c r="K118" i="5"/>
  <c r="L118" i="5" s="1"/>
  <c r="M114" i="5"/>
  <c r="M115" i="5" s="1"/>
  <c r="M116" i="5"/>
  <c r="M117" i="5" s="1"/>
  <c r="P78" i="5"/>
  <c r="O150" i="5"/>
  <c r="O92" i="5"/>
  <c r="O98" i="5"/>
  <c r="K169" i="5"/>
  <c r="N142" i="5"/>
  <c r="N144" i="5" s="1"/>
  <c r="N147" i="5" s="1"/>
  <c r="N161" i="5" s="1"/>
  <c r="N93" i="5"/>
  <c r="N96" i="5"/>
  <c r="N99" i="5" s="1"/>
  <c r="N108" i="5" s="1"/>
  <c r="N111" i="5" s="1"/>
  <c r="N112" i="5" s="1"/>
  <c r="N152" i="5"/>
  <c r="N154" i="5" s="1"/>
  <c r="N156" i="5"/>
  <c r="N157" i="5" s="1"/>
  <c r="N160" i="5" s="1"/>
  <c r="I172" i="5"/>
  <c r="J172" i="5" s="1"/>
  <c r="I120" i="5"/>
  <c r="M157" i="5"/>
  <c r="M160" i="5" s="1"/>
  <c r="M163" i="5" s="1"/>
  <c r="M164" i="5" s="1"/>
  <c r="K117" i="4"/>
  <c r="K118" i="4" s="1"/>
  <c r="L118" i="4" s="1"/>
  <c r="M114" i="4"/>
  <c r="M115" i="4" s="1"/>
  <c r="M116" i="4"/>
  <c r="M117" i="4" s="1"/>
  <c r="L166" i="4"/>
  <c r="L167" i="4" s="1"/>
  <c r="L168" i="4" s="1"/>
  <c r="M166" i="4"/>
  <c r="M167" i="4" s="1"/>
  <c r="M168" i="4" s="1"/>
  <c r="M169" i="4" s="1"/>
  <c r="P78" i="4"/>
  <c r="O150" i="4"/>
  <c r="O92" i="4"/>
  <c r="O98" i="4"/>
  <c r="I120" i="4"/>
  <c r="I172" i="4"/>
  <c r="J172" i="4" s="1"/>
  <c r="N93" i="4"/>
  <c r="N142" i="4"/>
  <c r="N144" i="4" s="1"/>
  <c r="N147" i="4" s="1"/>
  <c r="N161" i="4" s="1"/>
  <c r="N96" i="4"/>
  <c r="N99" i="4" s="1"/>
  <c r="N108" i="4" s="1"/>
  <c r="N111" i="4" s="1"/>
  <c r="N112" i="4" s="1"/>
  <c r="N152" i="4"/>
  <c r="N154" i="4" s="1"/>
  <c r="N156" i="4"/>
  <c r="N157" i="4" s="1"/>
  <c r="N160" i="4" s="1"/>
  <c r="K161" i="2"/>
  <c r="K163" i="2" s="1"/>
  <c r="K164" i="2" s="1"/>
  <c r="K166" i="2" s="1"/>
  <c r="K167" i="2" s="1"/>
  <c r="K168" i="2" s="1"/>
  <c r="K169" i="2" s="1"/>
  <c r="M157" i="2"/>
  <c r="M160" i="2" s="1"/>
  <c r="L157" i="2"/>
  <c r="L160" i="2" s="1"/>
  <c r="K116" i="2"/>
  <c r="K117" i="2" s="1"/>
  <c r="L99" i="2"/>
  <c r="L108" i="2" s="1"/>
  <c r="L111" i="2" s="1"/>
  <c r="L112" i="2" s="1"/>
  <c r="L114" i="2" s="1"/>
  <c r="L115" i="2" s="1"/>
  <c r="L116" i="2" s="1"/>
  <c r="L163" i="2"/>
  <c r="L164" i="2" s="1"/>
  <c r="L166" i="2" s="1"/>
  <c r="L167" i="2" s="1"/>
  <c r="L168" i="2" s="1"/>
  <c r="L169" i="2" s="1"/>
  <c r="J118" i="2"/>
  <c r="K118" i="2" s="1"/>
  <c r="I169" i="2"/>
  <c r="M144" i="2"/>
  <c r="M147" i="2" s="1"/>
  <c r="M93" i="2"/>
  <c r="M96" i="2" s="1"/>
  <c r="N150" i="2"/>
  <c r="N152" i="2" s="1"/>
  <c r="N154" i="2" s="1"/>
  <c r="N92" i="2"/>
  <c r="N142" i="2" s="1"/>
  <c r="O78" i="2"/>
  <c r="O98" i="2" s="1"/>
  <c r="I120" i="2"/>
  <c r="J120" i="2" s="1"/>
  <c r="I92" i="1"/>
  <c r="K146" i="1"/>
  <c r="K91" i="1"/>
  <c r="K138" i="1" s="1"/>
  <c r="J92" i="1"/>
  <c r="L78" i="1"/>
  <c r="M114" i="8" l="1"/>
  <c r="M115" i="8" s="1"/>
  <c r="M116" i="8" s="1"/>
  <c r="L117" i="8"/>
  <c r="P78" i="8"/>
  <c r="O150" i="8"/>
  <c r="O92" i="8"/>
  <c r="O98" i="8"/>
  <c r="N152" i="8"/>
  <c r="N154" i="8" s="1"/>
  <c r="N156" i="8"/>
  <c r="J170" i="8"/>
  <c r="K170" i="8" s="1"/>
  <c r="L170" i="8" s="1"/>
  <c r="I172" i="8"/>
  <c r="L118" i="8"/>
  <c r="J120" i="8"/>
  <c r="K120" i="8" s="1"/>
  <c r="N142" i="8"/>
  <c r="N144" i="8" s="1"/>
  <c r="N147" i="8" s="1"/>
  <c r="N161" i="8" s="1"/>
  <c r="N93" i="8"/>
  <c r="N96" i="8"/>
  <c r="N99" i="8" s="1"/>
  <c r="N108" i="8" s="1"/>
  <c r="N111" i="8" s="1"/>
  <c r="N112" i="8" s="1"/>
  <c r="M157" i="8"/>
  <c r="M160" i="8" s="1"/>
  <c r="M163" i="8" s="1"/>
  <c r="M164" i="8" s="1"/>
  <c r="K120" i="7"/>
  <c r="L117" i="7"/>
  <c r="P78" i="7"/>
  <c r="O150" i="7"/>
  <c r="O92" i="7"/>
  <c r="O98" i="7"/>
  <c r="M166" i="7"/>
  <c r="M167" i="7" s="1"/>
  <c r="M168" i="7"/>
  <c r="M169" i="7" s="1"/>
  <c r="J170" i="7"/>
  <c r="K170" i="7" s="1"/>
  <c r="I172" i="7"/>
  <c r="L118" i="7"/>
  <c r="M114" i="7"/>
  <c r="M115" i="7" s="1"/>
  <c r="M116" i="7" s="1"/>
  <c r="N99" i="7"/>
  <c r="N108" i="7" s="1"/>
  <c r="N111" i="7" s="1"/>
  <c r="N112" i="7" s="1"/>
  <c r="N152" i="7"/>
  <c r="N154" i="7" s="1"/>
  <c r="N156" i="7"/>
  <c r="L166" i="7"/>
  <c r="L167" i="7" s="1"/>
  <c r="L168" i="7" s="1"/>
  <c r="N142" i="7"/>
  <c r="N144" i="7" s="1"/>
  <c r="N147" i="7" s="1"/>
  <c r="N161" i="7" s="1"/>
  <c r="N93" i="7"/>
  <c r="N96" i="7"/>
  <c r="M114" i="6"/>
  <c r="M115" i="6" s="1"/>
  <c r="M116" i="6"/>
  <c r="M117" i="6" s="1"/>
  <c r="L117" i="6"/>
  <c r="N152" i="6"/>
  <c r="N154" i="6" s="1"/>
  <c r="N156" i="6"/>
  <c r="K169" i="6"/>
  <c r="L166" i="6"/>
  <c r="L167" i="6" s="1"/>
  <c r="L168" i="6" s="1"/>
  <c r="L169" i="6" s="1"/>
  <c r="I118" i="6"/>
  <c r="N142" i="6"/>
  <c r="N144" i="6" s="1"/>
  <c r="N147" i="6" s="1"/>
  <c r="N161" i="6" s="1"/>
  <c r="N93" i="6"/>
  <c r="N96" i="6"/>
  <c r="N99" i="6" s="1"/>
  <c r="N108" i="6" s="1"/>
  <c r="N111" i="6" s="1"/>
  <c r="N112" i="6" s="1"/>
  <c r="P78" i="6"/>
  <c r="O150" i="6"/>
  <c r="O92" i="6"/>
  <c r="O98" i="6"/>
  <c r="M163" i="6"/>
  <c r="M164" i="6" s="1"/>
  <c r="N114" i="5"/>
  <c r="N115" i="5" s="1"/>
  <c r="N116" i="5"/>
  <c r="N117" i="5" s="1"/>
  <c r="N163" i="5"/>
  <c r="N164" i="5" s="1"/>
  <c r="M118" i="5"/>
  <c r="O93" i="5"/>
  <c r="O96" i="5" s="1"/>
  <c r="O99" i="5" s="1"/>
  <c r="O108" i="5" s="1"/>
  <c r="O111" i="5" s="1"/>
  <c r="O112" i="5" s="1"/>
  <c r="O142" i="5"/>
  <c r="O144" i="5" s="1"/>
  <c r="O147" i="5" s="1"/>
  <c r="O161" i="5" s="1"/>
  <c r="P150" i="5"/>
  <c r="Q78" i="5"/>
  <c r="P92" i="5"/>
  <c r="P98" i="5"/>
  <c r="K170" i="5"/>
  <c r="M166" i="5"/>
  <c r="M167" i="5" s="1"/>
  <c r="M168" i="5"/>
  <c r="J120" i="5"/>
  <c r="O156" i="5"/>
  <c r="O152" i="5"/>
  <c r="O154" i="5" s="1"/>
  <c r="K172" i="4"/>
  <c r="N114" i="4"/>
  <c r="N115" i="4" s="1"/>
  <c r="N116" i="4"/>
  <c r="N117" i="4" s="1"/>
  <c r="P150" i="4"/>
  <c r="Q78" i="4"/>
  <c r="P92" i="4"/>
  <c r="P98" i="4"/>
  <c r="L169" i="4"/>
  <c r="O152" i="4"/>
  <c r="O154" i="4" s="1"/>
  <c r="O156" i="4"/>
  <c r="O157" i="4" s="1"/>
  <c r="O160" i="4" s="1"/>
  <c r="J120" i="4"/>
  <c r="O142" i="4"/>
  <c r="O144" i="4" s="1"/>
  <c r="O147" i="4" s="1"/>
  <c r="O161" i="4" s="1"/>
  <c r="O93" i="4"/>
  <c r="O96" i="4" s="1"/>
  <c r="O99" i="4" s="1"/>
  <c r="O108" i="4" s="1"/>
  <c r="O111" i="4" s="1"/>
  <c r="O112" i="4" s="1"/>
  <c r="N163" i="4"/>
  <c r="N164" i="4" s="1"/>
  <c r="M118" i="4"/>
  <c r="M161" i="2"/>
  <c r="M163" i="2" s="1"/>
  <c r="M164" i="2" s="1"/>
  <c r="M166" i="2" s="1"/>
  <c r="M167" i="2" s="1"/>
  <c r="M168" i="2" s="1"/>
  <c r="M169" i="2" s="1"/>
  <c r="N157" i="2"/>
  <c r="N160" i="2" s="1"/>
  <c r="M99" i="2"/>
  <c r="M108" i="2" s="1"/>
  <c r="M111" i="2" s="1"/>
  <c r="M112" i="2" s="1"/>
  <c r="M114" i="2" s="1"/>
  <c r="M115" i="2" s="1"/>
  <c r="M116" i="2" s="1"/>
  <c r="L117" i="2"/>
  <c r="O150" i="2"/>
  <c r="O152" i="2" s="1"/>
  <c r="O154" i="2" s="1"/>
  <c r="P78" i="2"/>
  <c r="P98" i="2" s="1"/>
  <c r="O92" i="2"/>
  <c r="O142" i="2" s="1"/>
  <c r="N144" i="2"/>
  <c r="N147" i="2" s="1"/>
  <c r="N93" i="2"/>
  <c r="N96" i="2" s="1"/>
  <c r="K120" i="2"/>
  <c r="I170" i="2"/>
  <c r="L146" i="1"/>
  <c r="L91" i="1"/>
  <c r="L138" i="1" s="1"/>
  <c r="K92" i="1"/>
  <c r="M78" i="1"/>
  <c r="M117" i="8" l="1"/>
  <c r="M118" i="8"/>
  <c r="N114" i="8"/>
  <c r="N115" i="8" s="1"/>
  <c r="N116" i="8"/>
  <c r="N117" i="8" s="1"/>
  <c r="O93" i="8"/>
  <c r="O96" i="8" s="1"/>
  <c r="O99" i="8" s="1"/>
  <c r="O108" i="8" s="1"/>
  <c r="O111" i="8" s="1"/>
  <c r="O112" i="8" s="1"/>
  <c r="O142" i="8"/>
  <c r="O144" i="8" s="1"/>
  <c r="O147" i="8" s="1"/>
  <c r="O161" i="8" s="1"/>
  <c r="J172" i="8"/>
  <c r="K172" i="8" s="1"/>
  <c r="P150" i="8"/>
  <c r="Q78" i="8"/>
  <c r="P92" i="8"/>
  <c r="P98" i="8"/>
  <c r="M166" i="8"/>
  <c r="M167" i="8" s="1"/>
  <c r="M168" i="8" s="1"/>
  <c r="O152" i="8"/>
  <c r="O154" i="8" s="1"/>
  <c r="O156" i="8"/>
  <c r="O157" i="8" s="1"/>
  <c r="O160" i="8" s="1"/>
  <c r="L120" i="8"/>
  <c r="M120" i="8" s="1"/>
  <c r="N157" i="8"/>
  <c r="N160" i="8" s="1"/>
  <c r="N163" i="8" s="1"/>
  <c r="N164" i="8" s="1"/>
  <c r="M117" i="7"/>
  <c r="N114" i="7"/>
  <c r="N115" i="7" s="1"/>
  <c r="N116" i="7"/>
  <c r="N117" i="7" s="1"/>
  <c r="O93" i="7"/>
  <c r="O142" i="7"/>
  <c r="O144" i="7" s="1"/>
  <c r="O147" i="7" s="1"/>
  <c r="O161" i="7" s="1"/>
  <c r="O96" i="7"/>
  <c r="O99" i="7" s="1"/>
  <c r="O108" i="7" s="1"/>
  <c r="O111" i="7" s="1"/>
  <c r="O112" i="7" s="1"/>
  <c r="L169" i="7"/>
  <c r="L170" i="7" s="1"/>
  <c r="M170" i="7" s="1"/>
  <c r="M118" i="7"/>
  <c r="P150" i="7"/>
  <c r="Q78" i="7"/>
  <c r="P92" i="7"/>
  <c r="P98" i="7"/>
  <c r="J172" i="7"/>
  <c r="K172" i="7" s="1"/>
  <c r="L120" i="7"/>
  <c r="O152" i="7"/>
  <c r="O154" i="7" s="1"/>
  <c r="O156" i="7"/>
  <c r="O157" i="7" s="1"/>
  <c r="O160" i="7" s="1"/>
  <c r="O163" i="7" s="1"/>
  <c r="O164" i="7" s="1"/>
  <c r="N157" i="7"/>
  <c r="N160" i="7" s="1"/>
  <c r="N163" i="7" s="1"/>
  <c r="N164" i="7" s="1"/>
  <c r="O163" i="4"/>
  <c r="O164" i="4" s="1"/>
  <c r="N118" i="4"/>
  <c r="O93" i="6"/>
  <c r="O142" i="6"/>
  <c r="O144" i="6" s="1"/>
  <c r="O147" i="6" s="1"/>
  <c r="O161" i="6" s="1"/>
  <c r="O96" i="6"/>
  <c r="O99" i="6"/>
  <c r="O108" i="6" s="1"/>
  <c r="O111" i="6" s="1"/>
  <c r="O112" i="6" s="1"/>
  <c r="N114" i="6"/>
  <c r="N115" i="6" s="1"/>
  <c r="N116" i="6"/>
  <c r="O156" i="6"/>
  <c r="O152" i="6"/>
  <c r="O154" i="6" s="1"/>
  <c r="P150" i="6"/>
  <c r="P92" i="6"/>
  <c r="Q78" i="6"/>
  <c r="P98" i="6"/>
  <c r="M166" i="6"/>
  <c r="M167" i="6" s="1"/>
  <c r="M168" i="6"/>
  <c r="M169" i="6" s="1"/>
  <c r="K170" i="6"/>
  <c r="J118" i="6"/>
  <c r="K118" i="6" s="1"/>
  <c r="L118" i="6" s="1"/>
  <c r="M118" i="6" s="1"/>
  <c r="I120" i="6"/>
  <c r="N157" i="6"/>
  <c r="N160" i="6" s="1"/>
  <c r="N163" i="6" s="1"/>
  <c r="N164" i="6" s="1"/>
  <c r="O114" i="5"/>
  <c r="O115" i="5" s="1"/>
  <c r="O116" i="5"/>
  <c r="L170" i="5"/>
  <c r="K172" i="5"/>
  <c r="N118" i="5"/>
  <c r="P152" i="5"/>
  <c r="P154" i="5" s="1"/>
  <c r="P156" i="5"/>
  <c r="O157" i="5"/>
  <c r="O160" i="5" s="1"/>
  <c r="O163" i="5" s="1"/>
  <c r="O164" i="5" s="1"/>
  <c r="P93" i="5"/>
  <c r="P142" i="5"/>
  <c r="P144" i="5" s="1"/>
  <c r="P147" i="5" s="1"/>
  <c r="P161" i="5" s="1"/>
  <c r="P96" i="5"/>
  <c r="P99" i="5" s="1"/>
  <c r="P108" i="5" s="1"/>
  <c r="P111" i="5" s="1"/>
  <c r="P112" i="5" s="1"/>
  <c r="N166" i="5"/>
  <c r="N167" i="5" s="1"/>
  <c r="N168" i="5" s="1"/>
  <c r="K120" i="5"/>
  <c r="M120" i="5" s="1"/>
  <c r="L120" i="5"/>
  <c r="M169" i="5"/>
  <c r="Q150" i="5"/>
  <c r="R78" i="5"/>
  <c r="Q92" i="5"/>
  <c r="Q98" i="5"/>
  <c r="O114" i="4"/>
  <c r="O115" i="4" s="1"/>
  <c r="O116" i="4"/>
  <c r="O117" i="4" s="1"/>
  <c r="O118" i="4" s="1"/>
  <c r="K120" i="4"/>
  <c r="L120" i="4" s="1"/>
  <c r="L170" i="4"/>
  <c r="P152" i="4"/>
  <c r="P154" i="4" s="1"/>
  <c r="P156" i="4"/>
  <c r="P157" i="4" s="1"/>
  <c r="P160" i="4" s="1"/>
  <c r="P163" i="4" s="1"/>
  <c r="P164" i="4" s="1"/>
  <c r="O166" i="4"/>
  <c r="O167" i="4" s="1"/>
  <c r="O168" i="4" s="1"/>
  <c r="O169" i="4" s="1"/>
  <c r="N166" i="4"/>
  <c r="N167" i="4" s="1"/>
  <c r="N168" i="4" s="1"/>
  <c r="P93" i="4"/>
  <c r="P96" i="4" s="1"/>
  <c r="P99" i="4" s="1"/>
  <c r="P108" i="4" s="1"/>
  <c r="P111" i="4" s="1"/>
  <c r="P112" i="4" s="1"/>
  <c r="P142" i="4"/>
  <c r="P144" i="4" s="1"/>
  <c r="P147" i="4" s="1"/>
  <c r="P161" i="4" s="1"/>
  <c r="Q150" i="4"/>
  <c r="Q92" i="4"/>
  <c r="R78" i="4"/>
  <c r="Q98" i="4"/>
  <c r="N161" i="2"/>
  <c r="N163" i="2" s="1"/>
  <c r="N164" i="2" s="1"/>
  <c r="N166" i="2" s="1"/>
  <c r="N167" i="2" s="1"/>
  <c r="N168" i="2" s="1"/>
  <c r="N169" i="2" s="1"/>
  <c r="O157" i="2"/>
  <c r="O160" i="2" s="1"/>
  <c r="N99" i="2"/>
  <c r="N108" i="2" s="1"/>
  <c r="N111" i="2" s="1"/>
  <c r="N112" i="2" s="1"/>
  <c r="N114" i="2" s="1"/>
  <c r="N115" i="2" s="1"/>
  <c r="N116" i="2" s="1"/>
  <c r="N117" i="2" s="1"/>
  <c r="M117" i="2"/>
  <c r="L118" i="2"/>
  <c r="M118" i="2" s="1"/>
  <c r="P92" i="2"/>
  <c r="P142" i="2" s="1"/>
  <c r="P150" i="2"/>
  <c r="P152" i="2" s="1"/>
  <c r="P154" i="2" s="1"/>
  <c r="Q78" i="2"/>
  <c r="Q98" i="2" s="1"/>
  <c r="J170" i="2"/>
  <c r="K170" i="2" s="1"/>
  <c r="L170" i="2" s="1"/>
  <c r="M170" i="2" s="1"/>
  <c r="I172" i="2"/>
  <c r="O144" i="2"/>
  <c r="O147" i="2" s="1"/>
  <c r="O93" i="2"/>
  <c r="O96" i="2"/>
  <c r="M146" i="1"/>
  <c r="M91" i="1"/>
  <c r="M138" i="1" s="1"/>
  <c r="L92" i="1"/>
  <c r="N78" i="1"/>
  <c r="M169" i="8" l="1"/>
  <c r="O114" i="8"/>
  <c r="O115" i="8" s="1"/>
  <c r="O116" i="8" s="1"/>
  <c r="O117" i="8" s="1"/>
  <c r="P93" i="8"/>
  <c r="P142" i="8"/>
  <c r="P144" i="8" s="1"/>
  <c r="P147" i="8" s="1"/>
  <c r="P161" i="8" s="1"/>
  <c r="P96" i="8"/>
  <c r="P99" i="8" s="1"/>
  <c r="P108" i="8" s="1"/>
  <c r="P111" i="8" s="1"/>
  <c r="P112" i="8" s="1"/>
  <c r="N166" i="8"/>
  <c r="N167" i="8" s="1"/>
  <c r="N168" i="8" s="1"/>
  <c r="N169" i="8" s="1"/>
  <c r="Q150" i="8"/>
  <c r="Q92" i="8"/>
  <c r="R78" i="8"/>
  <c r="Q98" i="8"/>
  <c r="N118" i="8"/>
  <c r="N120" i="8" s="1"/>
  <c r="L172" i="8"/>
  <c r="O163" i="8"/>
  <c r="O164" i="8" s="1"/>
  <c r="P152" i="8"/>
  <c r="P154" i="8" s="1"/>
  <c r="P156" i="8"/>
  <c r="M120" i="7"/>
  <c r="O114" i="7"/>
  <c r="O115" i="7" s="1"/>
  <c r="O116" i="7"/>
  <c r="O117" i="7" s="1"/>
  <c r="P93" i="7"/>
  <c r="P142" i="7"/>
  <c r="P144" i="7" s="1"/>
  <c r="P147" i="7" s="1"/>
  <c r="P161" i="7" s="1"/>
  <c r="P96" i="7"/>
  <c r="P99" i="7" s="1"/>
  <c r="P108" i="7" s="1"/>
  <c r="P111" i="7" s="1"/>
  <c r="P112" i="7" s="1"/>
  <c r="L172" i="7"/>
  <c r="M172" i="7" s="1"/>
  <c r="O166" i="7"/>
  <c r="O167" i="7" s="1"/>
  <c r="O168" i="7" s="1"/>
  <c r="O169" i="7" s="1"/>
  <c r="P152" i="7"/>
  <c r="P154" i="7" s="1"/>
  <c r="P156" i="7"/>
  <c r="P157" i="7" s="1"/>
  <c r="P160" i="7" s="1"/>
  <c r="N118" i="7"/>
  <c r="N120" i="7" s="1"/>
  <c r="N166" i="7"/>
  <c r="N167" i="7" s="1"/>
  <c r="N168" i="7" s="1"/>
  <c r="Q150" i="7"/>
  <c r="R78" i="7"/>
  <c r="Q92" i="7"/>
  <c r="Q98" i="7"/>
  <c r="N117" i="6"/>
  <c r="O114" i="6"/>
  <c r="O115" i="6" s="1"/>
  <c r="O116" i="6"/>
  <c r="O117" i="6" s="1"/>
  <c r="Q150" i="6"/>
  <c r="R78" i="6"/>
  <c r="Q92" i="6"/>
  <c r="Q98" i="6"/>
  <c r="N118" i="6"/>
  <c r="L170" i="6"/>
  <c r="M170" i="6" s="1"/>
  <c r="K172" i="6"/>
  <c r="P152" i="6"/>
  <c r="P154" i="6" s="1"/>
  <c r="P156" i="6"/>
  <c r="P157" i="6" s="1"/>
  <c r="P160" i="6" s="1"/>
  <c r="J120" i="6"/>
  <c r="P93" i="6"/>
  <c r="P142" i="6"/>
  <c r="P144" i="6" s="1"/>
  <c r="P147" i="6" s="1"/>
  <c r="P161" i="6" s="1"/>
  <c r="P96" i="6"/>
  <c r="P99" i="6" s="1"/>
  <c r="P108" i="6" s="1"/>
  <c r="P111" i="6" s="1"/>
  <c r="P112" i="6" s="1"/>
  <c r="N166" i="6"/>
  <c r="N167" i="6" s="1"/>
  <c r="N168" i="6" s="1"/>
  <c r="N169" i="6" s="1"/>
  <c r="O157" i="6"/>
  <c r="O160" i="6" s="1"/>
  <c r="O163" i="6" s="1"/>
  <c r="O164" i="6" s="1"/>
  <c r="N169" i="5"/>
  <c r="P114" i="5"/>
  <c r="P115" i="5" s="1"/>
  <c r="P116" i="5"/>
  <c r="P117" i="5" s="1"/>
  <c r="O118" i="5"/>
  <c r="P118" i="5" s="1"/>
  <c r="L172" i="5"/>
  <c r="M172" i="5" s="1"/>
  <c r="N120" i="5"/>
  <c r="O117" i="5"/>
  <c r="Q142" i="5"/>
  <c r="Q144" i="5" s="1"/>
  <c r="Q147" i="5" s="1"/>
  <c r="Q161" i="5" s="1"/>
  <c r="Q93" i="5"/>
  <c r="Q96" i="5"/>
  <c r="Q99" i="5" s="1"/>
  <c r="Q108" i="5" s="1"/>
  <c r="Q111" i="5" s="1"/>
  <c r="Q112" i="5" s="1"/>
  <c r="O166" i="5"/>
  <c r="O167" i="5" s="1"/>
  <c r="O168" i="5" s="1"/>
  <c r="O169" i="5" s="1"/>
  <c r="M170" i="5"/>
  <c r="N170" i="5" s="1"/>
  <c r="R150" i="5"/>
  <c r="R92" i="5"/>
  <c r="R98" i="5"/>
  <c r="Q152" i="5"/>
  <c r="Q154" i="5" s="1"/>
  <c r="Q156" i="5"/>
  <c r="P157" i="5"/>
  <c r="P160" i="5" s="1"/>
  <c r="P163" i="5" s="1"/>
  <c r="P164" i="5" s="1"/>
  <c r="P114" i="4"/>
  <c r="P115" i="4" s="1"/>
  <c r="P116" i="4"/>
  <c r="P117" i="4" s="1"/>
  <c r="P118" i="4" s="1"/>
  <c r="N169" i="4"/>
  <c r="P166" i="4"/>
  <c r="P167" i="4" s="1"/>
  <c r="P168" i="4" s="1"/>
  <c r="R150" i="4"/>
  <c r="R92" i="4"/>
  <c r="R98" i="4"/>
  <c r="Q93" i="4"/>
  <c r="Q96" i="4" s="1"/>
  <c r="Q99" i="4" s="1"/>
  <c r="Q108" i="4" s="1"/>
  <c r="Q111" i="4" s="1"/>
  <c r="Q112" i="4" s="1"/>
  <c r="Q142" i="4"/>
  <c r="Q144" i="4" s="1"/>
  <c r="Q147" i="4" s="1"/>
  <c r="Q161" i="4" s="1"/>
  <c r="M170" i="4"/>
  <c r="L172" i="4"/>
  <c r="Q152" i="4"/>
  <c r="Q154" i="4" s="1"/>
  <c r="Q156" i="4"/>
  <c r="Q157" i="4" s="1"/>
  <c r="Q160" i="4" s="1"/>
  <c r="M120" i="4"/>
  <c r="N120" i="4"/>
  <c r="O161" i="2"/>
  <c r="O163" i="2" s="1"/>
  <c r="O164" i="2" s="1"/>
  <c r="O166" i="2" s="1"/>
  <c r="O167" i="2" s="1"/>
  <c r="O168" i="2" s="1"/>
  <c r="O169" i="2" s="1"/>
  <c r="P157" i="2"/>
  <c r="P160" i="2" s="1"/>
  <c r="O99" i="2"/>
  <c r="O108" i="2" s="1"/>
  <c r="O111" i="2" s="1"/>
  <c r="O112" i="2" s="1"/>
  <c r="O114" i="2" s="1"/>
  <c r="O115" i="2" s="1"/>
  <c r="O116" i="2" s="1"/>
  <c r="O117" i="2" s="1"/>
  <c r="L120" i="2"/>
  <c r="M120" i="2" s="1"/>
  <c r="J172" i="2"/>
  <c r="N170" i="2"/>
  <c r="Q92" i="2"/>
  <c r="Q142" i="2" s="1"/>
  <c r="Q150" i="2"/>
  <c r="Q152" i="2" s="1"/>
  <c r="Q154" i="2" s="1"/>
  <c r="R78" i="2"/>
  <c r="R98" i="2" s="1"/>
  <c r="P144" i="2"/>
  <c r="P147" i="2" s="1"/>
  <c r="P93" i="2"/>
  <c r="P96" i="2" s="1"/>
  <c r="N118" i="2"/>
  <c r="N146" i="1"/>
  <c r="N91" i="1"/>
  <c r="N138" i="1" s="1"/>
  <c r="M92" i="1"/>
  <c r="O78" i="1"/>
  <c r="P114" i="8" l="1"/>
  <c r="P115" i="8" s="1"/>
  <c r="P116" i="8"/>
  <c r="P117" i="8" s="1"/>
  <c r="P157" i="8"/>
  <c r="P160" i="8" s="1"/>
  <c r="P163" i="8" s="1"/>
  <c r="P164" i="8" s="1"/>
  <c r="O118" i="8"/>
  <c r="P118" i="8" s="1"/>
  <c r="Q93" i="8"/>
  <c r="Q96" i="8" s="1"/>
  <c r="Q99" i="8" s="1"/>
  <c r="Q108" i="8" s="1"/>
  <c r="Q111" i="8" s="1"/>
  <c r="Q112" i="8" s="1"/>
  <c r="Q142" i="8"/>
  <c r="Q144" i="8" s="1"/>
  <c r="Q147" i="8" s="1"/>
  <c r="Q161" i="8" s="1"/>
  <c r="M170" i="8"/>
  <c r="N170" i="8" s="1"/>
  <c r="O166" i="8"/>
  <c r="O167" i="8" s="1"/>
  <c r="O168" i="8" s="1"/>
  <c r="O169" i="8" s="1"/>
  <c r="R150" i="8"/>
  <c r="R92" i="8"/>
  <c r="R98" i="8"/>
  <c r="Q152" i="8"/>
  <c r="Q154" i="8" s="1"/>
  <c r="Q156" i="8"/>
  <c r="Q157" i="8" s="1"/>
  <c r="Q160" i="8" s="1"/>
  <c r="P114" i="7"/>
  <c r="P115" i="7" s="1"/>
  <c r="P116" i="7"/>
  <c r="P117" i="7" s="1"/>
  <c r="N169" i="7"/>
  <c r="Q152" i="7"/>
  <c r="Q154" i="7" s="1"/>
  <c r="Q156" i="7"/>
  <c r="Q157" i="7" s="1"/>
  <c r="Q160" i="7" s="1"/>
  <c r="Q163" i="7" s="1"/>
  <c r="Q164" i="7" s="1"/>
  <c r="O120" i="7"/>
  <c r="O118" i="7"/>
  <c r="P118" i="7" s="1"/>
  <c r="Q93" i="7"/>
  <c r="Q142" i="7"/>
  <c r="Q144" i="7" s="1"/>
  <c r="Q147" i="7" s="1"/>
  <c r="Q161" i="7" s="1"/>
  <c r="Q96" i="7"/>
  <c r="Q99" i="7" s="1"/>
  <c r="Q108" i="7" s="1"/>
  <c r="Q111" i="7" s="1"/>
  <c r="Q112" i="7" s="1"/>
  <c r="P163" i="7"/>
  <c r="P164" i="7" s="1"/>
  <c r="R150" i="7"/>
  <c r="R92" i="7"/>
  <c r="R98" i="7"/>
  <c r="P163" i="6"/>
  <c r="P164" i="6" s="1"/>
  <c r="O120" i="5"/>
  <c r="Q163" i="4"/>
  <c r="Q164" i="4" s="1"/>
  <c r="O166" i="6"/>
  <c r="O167" i="6" s="1"/>
  <c r="O168" i="6" s="1"/>
  <c r="O169" i="6" s="1"/>
  <c r="Q93" i="6"/>
  <c r="Q96" i="6" s="1"/>
  <c r="Q99" i="6" s="1"/>
  <c r="Q108" i="6" s="1"/>
  <c r="Q111" i="6" s="1"/>
  <c r="Q112" i="6" s="1"/>
  <c r="Q142" i="6"/>
  <c r="Q144" i="6" s="1"/>
  <c r="Q147" i="6" s="1"/>
  <c r="Q161" i="6" s="1"/>
  <c r="R150" i="6"/>
  <c r="R92" i="6"/>
  <c r="R98" i="6"/>
  <c r="K120" i="6"/>
  <c r="N170" i="6"/>
  <c r="P114" i="6"/>
  <c r="P115" i="6" s="1"/>
  <c r="P116" i="6"/>
  <c r="P117" i="6" s="1"/>
  <c r="P166" i="6"/>
  <c r="P167" i="6" s="1"/>
  <c r="P168" i="6" s="1"/>
  <c r="P169" i="6" s="1"/>
  <c r="Q152" i="6"/>
  <c r="Q154" i="6" s="1"/>
  <c r="Q156" i="6"/>
  <c r="Q157" i="6" s="1"/>
  <c r="Q160" i="6" s="1"/>
  <c r="L172" i="6"/>
  <c r="M172" i="6" s="1"/>
  <c r="O118" i="6"/>
  <c r="N172" i="5"/>
  <c r="Q114" i="5"/>
  <c r="Q115" i="5" s="1"/>
  <c r="Q116" i="5"/>
  <c r="Q117" i="5" s="1"/>
  <c r="Q118" i="5" s="1"/>
  <c r="O170" i="5"/>
  <c r="R93" i="5"/>
  <c r="R142" i="5"/>
  <c r="R144" i="5" s="1"/>
  <c r="R147" i="5" s="1"/>
  <c r="R161" i="5" s="1"/>
  <c r="R96" i="5"/>
  <c r="R99" i="5" s="1"/>
  <c r="R108" i="5" s="1"/>
  <c r="R111" i="5" s="1"/>
  <c r="R112" i="5" s="1"/>
  <c r="P166" i="5"/>
  <c r="P167" i="5" s="1"/>
  <c r="P168" i="5" s="1"/>
  <c r="P169" i="5" s="1"/>
  <c r="P120" i="5"/>
  <c r="R152" i="5"/>
  <c r="R154" i="5" s="1"/>
  <c r="R156" i="5"/>
  <c r="R157" i="5" s="1"/>
  <c r="R160" i="5" s="1"/>
  <c r="Q157" i="5"/>
  <c r="Q160" i="5" s="1"/>
  <c r="Q163" i="5" s="1"/>
  <c r="Q164" i="5" s="1"/>
  <c r="P169" i="4"/>
  <c r="Q114" i="4"/>
  <c r="Q115" i="4" s="1"/>
  <c r="Q116" i="4"/>
  <c r="Q117" i="4" s="1"/>
  <c r="Q118" i="4" s="1"/>
  <c r="Q166" i="4"/>
  <c r="Q167" i="4" s="1"/>
  <c r="Q168" i="4" s="1"/>
  <c r="Q169" i="4" s="1"/>
  <c r="M172" i="4"/>
  <c r="N170" i="4"/>
  <c r="O170" i="4" s="1"/>
  <c r="R93" i="4"/>
  <c r="R142" i="4"/>
  <c r="R144" i="4" s="1"/>
  <c r="R147" i="4" s="1"/>
  <c r="R161" i="4" s="1"/>
  <c r="R96" i="4"/>
  <c r="R99" i="4" s="1"/>
  <c r="R108" i="4" s="1"/>
  <c r="R111" i="4" s="1"/>
  <c r="R112" i="4" s="1"/>
  <c r="R152" i="4"/>
  <c r="R154" i="4" s="1"/>
  <c r="R156" i="4"/>
  <c r="O120" i="4"/>
  <c r="P161" i="2"/>
  <c r="P163" i="2" s="1"/>
  <c r="P164" i="2" s="1"/>
  <c r="P166" i="2" s="1"/>
  <c r="P167" i="2" s="1"/>
  <c r="P168" i="2" s="1"/>
  <c r="P169" i="2" s="1"/>
  <c r="Q157" i="2"/>
  <c r="Q160" i="2" s="1"/>
  <c r="P99" i="2"/>
  <c r="P108" i="2" s="1"/>
  <c r="P111" i="2" s="1"/>
  <c r="P112" i="2" s="1"/>
  <c r="P114" i="2" s="1"/>
  <c r="P115" i="2" s="1"/>
  <c r="P116" i="2" s="1"/>
  <c r="P117" i="2" s="1"/>
  <c r="O118" i="2"/>
  <c r="R150" i="2"/>
  <c r="R152" i="2" s="1"/>
  <c r="R154" i="2" s="1"/>
  <c r="R92" i="2"/>
  <c r="R142" i="2" s="1"/>
  <c r="Q93" i="2"/>
  <c r="Q96" i="2" s="1"/>
  <c r="Q144" i="2"/>
  <c r="Q147" i="2" s="1"/>
  <c r="K172" i="2"/>
  <c r="N120" i="2"/>
  <c r="O170" i="2"/>
  <c r="O146" i="1"/>
  <c r="O91" i="1"/>
  <c r="O138" i="1" s="1"/>
  <c r="N92" i="1"/>
  <c r="P78" i="1"/>
  <c r="O120" i="8" l="1"/>
  <c r="P120" i="8" s="1"/>
  <c r="Q114" i="8"/>
  <c r="Q115" i="8" s="1"/>
  <c r="Q116" i="8"/>
  <c r="Q117" i="8" s="1"/>
  <c r="Q118" i="8" s="1"/>
  <c r="Q120" i="8" s="1"/>
  <c r="P166" i="8"/>
  <c r="P167" i="8" s="1"/>
  <c r="P168" i="8" s="1"/>
  <c r="P169" i="8" s="1"/>
  <c r="Q163" i="8"/>
  <c r="Q164" i="8" s="1"/>
  <c r="R99" i="8"/>
  <c r="R108" i="8" s="1"/>
  <c r="R111" i="8" s="1"/>
  <c r="R112" i="8" s="1"/>
  <c r="R152" i="8"/>
  <c r="R154" i="8" s="1"/>
  <c r="R156" i="8"/>
  <c r="O170" i="8"/>
  <c r="R93" i="8"/>
  <c r="R142" i="8"/>
  <c r="R144" i="8" s="1"/>
  <c r="R147" i="8" s="1"/>
  <c r="R161" i="8" s="1"/>
  <c r="R96" i="8"/>
  <c r="M172" i="8"/>
  <c r="Q114" i="7"/>
  <c r="Q115" i="7" s="1"/>
  <c r="Q116" i="7"/>
  <c r="Q117" i="7" s="1"/>
  <c r="N170" i="7"/>
  <c r="P166" i="7"/>
  <c r="P167" i="7" s="1"/>
  <c r="P168" i="7" s="1"/>
  <c r="R152" i="7"/>
  <c r="R154" i="7" s="1"/>
  <c r="R156" i="7"/>
  <c r="R157" i="7" s="1"/>
  <c r="R160" i="7" s="1"/>
  <c r="Q118" i="7"/>
  <c r="R93" i="7"/>
  <c r="R142" i="7"/>
  <c r="R144" i="7" s="1"/>
  <c r="R147" i="7" s="1"/>
  <c r="R161" i="7" s="1"/>
  <c r="R96" i="7"/>
  <c r="R99" i="7" s="1"/>
  <c r="R108" i="7" s="1"/>
  <c r="R111" i="7" s="1"/>
  <c r="R112" i="7" s="1"/>
  <c r="Q166" i="7"/>
  <c r="Q167" i="7" s="1"/>
  <c r="Q168" i="7" s="1"/>
  <c r="Q169" i="7" s="1"/>
  <c r="P120" i="7"/>
  <c r="Q120" i="7" s="1"/>
  <c r="O172" i="5"/>
  <c r="P170" i="4"/>
  <c r="N172" i="4"/>
  <c r="R157" i="4"/>
  <c r="R160" i="4" s="1"/>
  <c r="R163" i="4" s="1"/>
  <c r="R164" i="4" s="1"/>
  <c r="R168" i="4" s="1"/>
  <c r="Q114" i="6"/>
  <c r="Q115" i="6" s="1"/>
  <c r="Q116" i="6"/>
  <c r="Q117" i="6" s="1"/>
  <c r="N172" i="6"/>
  <c r="O172" i="6" s="1"/>
  <c r="P172" i="6" s="1"/>
  <c r="P118" i="6"/>
  <c r="Q118" i="6" s="1"/>
  <c r="L120" i="6"/>
  <c r="M120" i="6" s="1"/>
  <c r="Q163" i="6"/>
  <c r="Q164" i="6" s="1"/>
  <c r="R93" i="6"/>
  <c r="R96" i="6" s="1"/>
  <c r="R99" i="6" s="1"/>
  <c r="R108" i="6" s="1"/>
  <c r="R111" i="6" s="1"/>
  <c r="R112" i="6" s="1"/>
  <c r="R142" i="6"/>
  <c r="R144" i="6" s="1"/>
  <c r="R147" i="6" s="1"/>
  <c r="R161" i="6" s="1"/>
  <c r="O170" i="6"/>
  <c r="P170" i="6" s="1"/>
  <c r="R152" i="6"/>
  <c r="R154" i="6" s="1"/>
  <c r="R156" i="6"/>
  <c r="R157" i="6" s="1"/>
  <c r="R160" i="6" s="1"/>
  <c r="R114" i="5"/>
  <c r="R115" i="5" s="1"/>
  <c r="R116" i="5" s="1"/>
  <c r="Q120" i="5"/>
  <c r="Q166" i="5"/>
  <c r="Q167" i="5" s="1"/>
  <c r="Q168" i="5" s="1"/>
  <c r="Q169" i="5" s="1"/>
  <c r="R163" i="5"/>
  <c r="R164" i="5" s="1"/>
  <c r="P170" i="5"/>
  <c r="P172" i="5" s="1"/>
  <c r="R114" i="4"/>
  <c r="R115" i="4" s="1"/>
  <c r="R116" i="4" s="1"/>
  <c r="Q170" i="4"/>
  <c r="R166" i="4"/>
  <c r="R167" i="4" s="1"/>
  <c r="O172" i="4"/>
  <c r="P172" i="4" s="1"/>
  <c r="P120" i="4"/>
  <c r="Q120" i="4" s="1"/>
  <c r="Q161" i="2"/>
  <c r="Q163" i="2" s="1"/>
  <c r="Q164" i="2" s="1"/>
  <c r="Q166" i="2" s="1"/>
  <c r="Q167" i="2" s="1"/>
  <c r="Q168" i="2" s="1"/>
  <c r="Q169" i="2" s="1"/>
  <c r="R157" i="2"/>
  <c r="R160" i="2" s="1"/>
  <c r="Q99" i="2"/>
  <c r="Q108" i="2" s="1"/>
  <c r="Q111" i="2" s="1"/>
  <c r="Q112" i="2" s="1"/>
  <c r="Q114" i="2" s="1"/>
  <c r="Q115" i="2" s="1"/>
  <c r="Q116" i="2" s="1"/>
  <c r="Q117" i="2" s="1"/>
  <c r="P118" i="2"/>
  <c r="R144" i="2"/>
  <c r="R147" i="2" s="1"/>
  <c r="R93" i="2"/>
  <c r="R96" i="2" s="1"/>
  <c r="P170" i="2"/>
  <c r="L172" i="2"/>
  <c r="O120" i="2"/>
  <c r="P120" i="2" s="1"/>
  <c r="P146" i="1"/>
  <c r="P91" i="1"/>
  <c r="P138" i="1" s="1"/>
  <c r="O92" i="1"/>
  <c r="Q78" i="1"/>
  <c r="R157" i="8" l="1"/>
  <c r="R160" i="8" s="1"/>
  <c r="N172" i="8"/>
  <c r="O172" i="8"/>
  <c r="R114" i="8"/>
  <c r="R115" i="8" s="1"/>
  <c r="R116" i="8" s="1"/>
  <c r="Q166" i="8"/>
  <c r="Q167" i="8" s="1"/>
  <c r="Q168" i="8" s="1"/>
  <c r="Q169" i="8" s="1"/>
  <c r="P170" i="8"/>
  <c r="R163" i="8"/>
  <c r="R164" i="8" s="1"/>
  <c r="P169" i="7"/>
  <c r="R114" i="7"/>
  <c r="R115" i="7" s="1"/>
  <c r="R116" i="7" s="1"/>
  <c r="O170" i="7"/>
  <c r="P170" i="7" s="1"/>
  <c r="Q170" i="7" s="1"/>
  <c r="N172" i="7"/>
  <c r="R163" i="7"/>
  <c r="R164" i="7" s="1"/>
  <c r="N120" i="6"/>
  <c r="O120" i="6"/>
  <c r="P120" i="6" s="1"/>
  <c r="R114" i="6"/>
  <c r="R115" i="6" s="1"/>
  <c r="R116" i="6" s="1"/>
  <c r="Q166" i="6"/>
  <c r="Q167" i="6" s="1"/>
  <c r="Q168" i="6" s="1"/>
  <c r="Q169" i="6" s="1"/>
  <c r="Q170" i="6" s="1"/>
  <c r="R163" i="6"/>
  <c r="R164" i="6" s="1"/>
  <c r="Q120" i="6"/>
  <c r="R117" i="5"/>
  <c r="F123" i="5"/>
  <c r="F126" i="5"/>
  <c r="Q172" i="5"/>
  <c r="Q170" i="5"/>
  <c r="R166" i="5"/>
  <c r="R167" i="5" s="1"/>
  <c r="R168" i="5" s="1"/>
  <c r="R117" i="4"/>
  <c r="F123" i="4"/>
  <c r="F126" i="4"/>
  <c r="R169" i="4"/>
  <c r="R170" i="4" s="1"/>
  <c r="F175" i="4"/>
  <c r="F178" i="4"/>
  <c r="Q172" i="4"/>
  <c r="R161" i="2"/>
  <c r="R163" i="2" s="1"/>
  <c r="R164" i="2" s="1"/>
  <c r="R166" i="2" s="1"/>
  <c r="R167" i="2" s="1"/>
  <c r="R168" i="2" s="1"/>
  <c r="R99" i="2"/>
  <c r="R108" i="2" s="1"/>
  <c r="R111" i="2" s="1"/>
  <c r="R112" i="2" s="1"/>
  <c r="R114" i="2" s="1"/>
  <c r="R115" i="2" s="1"/>
  <c r="R116" i="2" s="1"/>
  <c r="Q170" i="2"/>
  <c r="Q118" i="2"/>
  <c r="M172" i="2"/>
  <c r="N172" i="2" s="1"/>
  <c r="O172" i="2" s="1"/>
  <c r="P172" i="2" s="1"/>
  <c r="Q172" i="2" s="1"/>
  <c r="Q146" i="1"/>
  <c r="Q91" i="1"/>
  <c r="Q138" i="1" s="1"/>
  <c r="P92" i="1"/>
  <c r="R78" i="1"/>
  <c r="P172" i="8" l="1"/>
  <c r="R117" i="8"/>
  <c r="F123" i="8"/>
  <c r="F126" i="8"/>
  <c r="Q170" i="8"/>
  <c r="Q172" i="8" s="1"/>
  <c r="R166" i="8"/>
  <c r="R167" i="8" s="1"/>
  <c r="R168" i="8"/>
  <c r="R117" i="7"/>
  <c r="F123" i="7"/>
  <c r="F126" i="7"/>
  <c r="O172" i="7"/>
  <c r="P172" i="7" s="1"/>
  <c r="Q172" i="7" s="1"/>
  <c r="R166" i="7"/>
  <c r="R167" i="7" s="1"/>
  <c r="R168" i="7"/>
  <c r="Q172" i="6"/>
  <c r="R117" i="6"/>
  <c r="F123" i="6"/>
  <c r="F126" i="6"/>
  <c r="R166" i="6"/>
  <c r="R167" i="6" s="1"/>
  <c r="R168" i="6"/>
  <c r="R169" i="5"/>
  <c r="R170" i="5" s="1"/>
  <c r="R172" i="5" s="1"/>
  <c r="F178" i="5"/>
  <c r="F175" i="5"/>
  <c r="F125" i="5"/>
  <c r="R118" i="5"/>
  <c r="R120" i="5" s="1"/>
  <c r="F133" i="5" s="1"/>
  <c r="F185" i="4"/>
  <c r="F186" i="4" s="1"/>
  <c r="F177" i="4"/>
  <c r="F125" i="4"/>
  <c r="R118" i="4"/>
  <c r="R120" i="4" s="1"/>
  <c r="F133" i="4" s="1"/>
  <c r="R172" i="4"/>
  <c r="R169" i="2"/>
  <c r="F175" i="2"/>
  <c r="F178" i="2"/>
  <c r="R117" i="2"/>
  <c r="F125" i="2" s="1"/>
  <c r="F126" i="2"/>
  <c r="R172" i="2"/>
  <c r="R118" i="2"/>
  <c r="Q120" i="2"/>
  <c r="R170" i="2"/>
  <c r="R91" i="1"/>
  <c r="R138" i="1" s="1"/>
  <c r="Q92" i="1"/>
  <c r="R146" i="1"/>
  <c r="R169" i="8" l="1"/>
  <c r="F175" i="8"/>
  <c r="F178" i="8"/>
  <c r="R172" i="8"/>
  <c r="R170" i="8"/>
  <c r="F125" i="8"/>
  <c r="R118" i="8"/>
  <c r="R120" i="8" s="1"/>
  <c r="F133" i="8" s="1"/>
  <c r="R169" i="7"/>
  <c r="F178" i="7"/>
  <c r="F175" i="7"/>
  <c r="F125" i="7"/>
  <c r="R118" i="7"/>
  <c r="R120" i="7" s="1"/>
  <c r="F133" i="7" s="1"/>
  <c r="R169" i="6"/>
  <c r="F175" i="6"/>
  <c r="F178" i="6"/>
  <c r="F125" i="6"/>
  <c r="R118" i="6"/>
  <c r="R120" i="6" s="1"/>
  <c r="F133" i="6" s="1"/>
  <c r="F185" i="5"/>
  <c r="F186" i="5" s="1"/>
  <c r="F177" i="5"/>
  <c r="R120" i="2"/>
  <c r="F133" i="2" s="1"/>
  <c r="F185" i="2"/>
  <c r="F186" i="2" s="1"/>
  <c r="F177" i="2"/>
  <c r="R92" i="1"/>
  <c r="F177" i="8" l="1"/>
  <c r="F185" i="8"/>
  <c r="F186" i="8" s="1"/>
  <c r="F177" i="7"/>
  <c r="R170" i="7"/>
  <c r="R172" i="7" s="1"/>
  <c r="F185" i="7"/>
  <c r="F186" i="7" s="1"/>
  <c r="F177" i="6"/>
  <c r="R170" i="6"/>
  <c r="R172" i="6" s="1"/>
  <c r="H140" i="1"/>
  <c r="H143" i="1" s="1"/>
  <c r="D47" i="1"/>
  <c r="H154" i="1" l="1"/>
  <c r="H104" i="1"/>
  <c r="D23" i="1"/>
  <c r="D22" i="1"/>
  <c r="D13" i="1"/>
  <c r="D43" i="1" s="1"/>
  <c r="D38" i="1" l="1"/>
  <c r="D39" i="1" s="1"/>
  <c r="D40" i="1" s="1"/>
  <c r="D54" i="1" s="1"/>
  <c r="D67" i="1"/>
  <c r="H98" i="1" l="1"/>
  <c r="O93" i="1"/>
  <c r="I93" i="1"/>
  <c r="R93" i="1"/>
  <c r="M93" i="1"/>
  <c r="N93" i="1"/>
  <c r="P93" i="1"/>
  <c r="J93" i="1"/>
  <c r="Q93" i="1"/>
  <c r="K93" i="1"/>
  <c r="L93" i="1"/>
  <c r="H155" i="1"/>
  <c r="J109" i="1" l="1"/>
  <c r="R109" i="1"/>
  <c r="O109" i="1"/>
  <c r="P109" i="1"/>
  <c r="I109" i="1"/>
  <c r="Q109" i="1"/>
  <c r="K109" i="1"/>
  <c r="H109" i="1"/>
  <c r="N109" i="1"/>
  <c r="L109" i="1"/>
  <c r="M109" i="1"/>
  <c r="H106" i="1"/>
  <c r="H157" i="1"/>
  <c r="H158" i="1" s="1"/>
  <c r="H160" i="1" s="1"/>
  <c r="H162" i="1" s="1"/>
  <c r="H163" i="1" s="1"/>
  <c r="P94" i="1"/>
  <c r="N94" i="1"/>
  <c r="I94" i="1"/>
  <c r="Q94" i="1"/>
  <c r="J94" i="1"/>
  <c r="M94" i="1"/>
  <c r="R94" i="1"/>
  <c r="L94" i="1"/>
  <c r="K94" i="1"/>
  <c r="O94" i="1"/>
  <c r="I95" i="1" l="1"/>
  <c r="I139" i="1"/>
  <c r="I147" i="1" s="1"/>
  <c r="I148" i="1" s="1"/>
  <c r="I150" i="1" s="1"/>
  <c r="J95" i="1"/>
  <c r="J139" i="1"/>
  <c r="J147" i="1" s="1"/>
  <c r="J148" i="1" s="1"/>
  <c r="J150" i="1" s="1"/>
  <c r="Q95" i="1"/>
  <c r="Q139" i="1"/>
  <c r="Q147" i="1" s="1"/>
  <c r="Q148" i="1" s="1"/>
  <c r="Q150" i="1" s="1"/>
  <c r="L95" i="1"/>
  <c r="L139" i="1"/>
  <c r="L147" i="1" s="1"/>
  <c r="L148" i="1" s="1"/>
  <c r="L150" i="1" s="1"/>
  <c r="R95" i="1"/>
  <c r="R139" i="1"/>
  <c r="R147" i="1" s="1"/>
  <c r="R148" i="1" s="1"/>
  <c r="R150" i="1" s="1"/>
  <c r="M95" i="1"/>
  <c r="M139" i="1"/>
  <c r="M147" i="1" s="1"/>
  <c r="M148" i="1" s="1"/>
  <c r="M150" i="1" s="1"/>
  <c r="N95" i="1"/>
  <c r="N139" i="1"/>
  <c r="N147" i="1" s="1"/>
  <c r="N148" i="1" s="1"/>
  <c r="N150" i="1" s="1"/>
  <c r="O95" i="1"/>
  <c r="O139" i="1"/>
  <c r="O147" i="1" s="1"/>
  <c r="O148" i="1" s="1"/>
  <c r="O150" i="1" s="1"/>
  <c r="K95" i="1"/>
  <c r="K139" i="1"/>
  <c r="K147" i="1" s="1"/>
  <c r="K148" i="1" s="1"/>
  <c r="K150" i="1" s="1"/>
  <c r="P95" i="1"/>
  <c r="P139" i="1"/>
  <c r="P147" i="1" s="1"/>
  <c r="P148" i="1" s="1"/>
  <c r="P150" i="1" s="1"/>
  <c r="L98" i="1"/>
  <c r="N98" i="1"/>
  <c r="Q98" i="1"/>
  <c r="R98" i="1"/>
  <c r="I98" i="1"/>
  <c r="O98" i="1"/>
  <c r="M98" i="1"/>
  <c r="K98" i="1"/>
  <c r="J98" i="1"/>
  <c r="P98" i="1"/>
  <c r="H164" i="1"/>
  <c r="R141" i="1" l="1"/>
  <c r="P141" i="1"/>
  <c r="N141" i="1"/>
  <c r="I140" i="1"/>
  <c r="I141" i="1"/>
  <c r="K140" i="1"/>
  <c r="K141" i="1"/>
  <c r="J140" i="1"/>
  <c r="J141" i="1"/>
  <c r="O141" i="1"/>
  <c r="L140" i="1"/>
  <c r="L141" i="1"/>
  <c r="Q141" i="1"/>
  <c r="M140" i="1"/>
  <c r="M141" i="1"/>
  <c r="N140" i="1"/>
  <c r="O140" i="1"/>
  <c r="H166" i="1"/>
  <c r="I143" i="1" l="1"/>
  <c r="M143" i="1"/>
  <c r="O143" i="1"/>
  <c r="O154" i="1" s="1"/>
  <c r="J143" i="1"/>
  <c r="N143" i="1"/>
  <c r="K143" i="1"/>
  <c r="L143" i="1"/>
  <c r="P140" i="1"/>
  <c r="P143" i="1" s="1"/>
  <c r="P154" i="1" s="1"/>
  <c r="I104" i="1" l="1"/>
  <c r="Q100" i="1"/>
  <c r="Q105" i="1" s="1"/>
  <c r="N154" i="1"/>
  <c r="J104" i="1"/>
  <c r="J154" i="1"/>
  <c r="L154" i="1"/>
  <c r="M154" i="1"/>
  <c r="K154" i="1"/>
  <c r="Q140" i="1"/>
  <c r="Q143" i="1" s="1"/>
  <c r="O155" i="1"/>
  <c r="O157" i="1" s="1"/>
  <c r="O158" i="1" s="1"/>
  <c r="P155" i="1"/>
  <c r="P157" i="1" s="1"/>
  <c r="P158" i="1" s="1"/>
  <c r="R100" i="1"/>
  <c r="R105" i="1" s="1"/>
  <c r="I100" i="1"/>
  <c r="I105" i="1" s="1"/>
  <c r="P100" i="1"/>
  <c r="P105" i="1" s="1"/>
  <c r="N100" i="1"/>
  <c r="N105" i="1" s="1"/>
  <c r="M100" i="1"/>
  <c r="M105" i="1" s="1"/>
  <c r="J100" i="1"/>
  <c r="J105" i="1" s="1"/>
  <c r="O100" i="1"/>
  <c r="O105" i="1" s="1"/>
  <c r="K100" i="1"/>
  <c r="K105" i="1" s="1"/>
  <c r="L100" i="1"/>
  <c r="L105" i="1" s="1"/>
  <c r="H100" i="1"/>
  <c r="H105" i="1" s="1"/>
  <c r="H107" i="1" s="1"/>
  <c r="H108" i="1" s="1"/>
  <c r="I107" i="1" l="1"/>
  <c r="I108" i="1" s="1"/>
  <c r="I110" i="1" s="1"/>
  <c r="I111" i="1" s="1"/>
  <c r="I112" i="1" s="1"/>
  <c r="M155" i="1"/>
  <c r="M157" i="1" s="1"/>
  <c r="M158" i="1" s="1"/>
  <c r="M160" i="1" s="1"/>
  <c r="M161" i="1" s="1"/>
  <c r="M162" i="1" s="1"/>
  <c r="M163" i="1" s="1"/>
  <c r="J155" i="1"/>
  <c r="J157" i="1" s="1"/>
  <c r="J158" i="1" s="1"/>
  <c r="J160" i="1" s="1"/>
  <c r="J161" i="1" s="1"/>
  <c r="J162" i="1" s="1"/>
  <c r="L155" i="1"/>
  <c r="L157" i="1" s="1"/>
  <c r="L158" i="1" s="1"/>
  <c r="L160" i="1" s="1"/>
  <c r="L161" i="1" s="1"/>
  <c r="L162" i="1" s="1"/>
  <c r="L163" i="1" s="1"/>
  <c r="Q155" i="1"/>
  <c r="Q154" i="1"/>
  <c r="I154" i="1"/>
  <c r="N155" i="1"/>
  <c r="N157" i="1" s="1"/>
  <c r="N158" i="1" s="1"/>
  <c r="N160" i="1" s="1"/>
  <c r="N161" i="1" s="1"/>
  <c r="N162" i="1" s="1"/>
  <c r="N163" i="1" s="1"/>
  <c r="K155" i="1"/>
  <c r="K157" i="1" s="1"/>
  <c r="K158" i="1" s="1"/>
  <c r="K160" i="1" s="1"/>
  <c r="K161" i="1" s="1"/>
  <c r="K162" i="1" s="1"/>
  <c r="K163" i="1" s="1"/>
  <c r="R140" i="1"/>
  <c r="R143" i="1" s="1"/>
  <c r="P160" i="1"/>
  <c r="P161" i="1" s="1"/>
  <c r="P162" i="1" s="1"/>
  <c r="P163" i="1" s="1"/>
  <c r="O160" i="1"/>
  <c r="O161" i="1" s="1"/>
  <c r="O162" i="1" s="1"/>
  <c r="O163" i="1" s="1"/>
  <c r="J107" i="1"/>
  <c r="J108" i="1" s="1"/>
  <c r="J110" i="1" s="1"/>
  <c r="J111" i="1" s="1"/>
  <c r="J112" i="1" s="1"/>
  <c r="J113" i="1" s="1"/>
  <c r="K104" i="1"/>
  <c r="K107" i="1" s="1"/>
  <c r="H110" i="1"/>
  <c r="H112" i="1" s="1"/>
  <c r="L104" i="1"/>
  <c r="L107" i="1" s="1"/>
  <c r="L108" i="1" s="1"/>
  <c r="Q157" i="1" l="1"/>
  <c r="Q158" i="1" s="1"/>
  <c r="Q160" i="1" s="1"/>
  <c r="Q161" i="1" s="1"/>
  <c r="Q162" i="1" s="1"/>
  <c r="Q163" i="1" s="1"/>
  <c r="I155" i="1"/>
  <c r="J163" i="1"/>
  <c r="I113" i="1"/>
  <c r="H113" i="1"/>
  <c r="K108" i="1"/>
  <c r="K110" i="1" s="1"/>
  <c r="K111" i="1" s="1"/>
  <c r="K112" i="1" s="1"/>
  <c r="K113" i="1" s="1"/>
  <c r="M104" i="1"/>
  <c r="M107" i="1" s="1"/>
  <c r="L110" i="1"/>
  <c r="L111" i="1" s="1"/>
  <c r="L112" i="1" s="1"/>
  <c r="L113" i="1" s="1"/>
  <c r="I157" i="1" l="1"/>
  <c r="I158" i="1" s="1"/>
  <c r="I160" i="1" s="1"/>
  <c r="I161" i="1" s="1"/>
  <c r="I162" i="1" s="1"/>
  <c r="R154" i="1"/>
  <c r="R155" i="1"/>
  <c r="H114" i="1"/>
  <c r="I114" i="1" s="1"/>
  <c r="M108" i="1"/>
  <c r="M110" i="1" s="1"/>
  <c r="M111" i="1" s="1"/>
  <c r="M112" i="1" s="1"/>
  <c r="M113" i="1" s="1"/>
  <c r="N104" i="1"/>
  <c r="N107" i="1" s="1"/>
  <c r="I163" i="1" l="1"/>
  <c r="R157" i="1"/>
  <c r="R158" i="1" s="1"/>
  <c r="J114" i="1"/>
  <c r="K114" i="1" s="1"/>
  <c r="L114" i="1" s="1"/>
  <c r="M114" i="1" s="1"/>
  <c r="H116" i="1"/>
  <c r="N108" i="1"/>
  <c r="N110" i="1" s="1"/>
  <c r="N111" i="1" s="1"/>
  <c r="N112" i="1" s="1"/>
  <c r="N113" i="1" s="1"/>
  <c r="O104" i="1"/>
  <c r="O107" i="1" s="1"/>
  <c r="R160" i="1" l="1"/>
  <c r="R161" i="1" s="1"/>
  <c r="R162" i="1" s="1"/>
  <c r="F169" i="1" s="1"/>
  <c r="I164" i="1"/>
  <c r="I116" i="1"/>
  <c r="R104" i="1"/>
  <c r="R107" i="1" s="1"/>
  <c r="R108" i="1" s="1"/>
  <c r="N114" i="1"/>
  <c r="O108" i="1"/>
  <c r="O110" i="1" s="1"/>
  <c r="O111" i="1" s="1"/>
  <c r="O112" i="1" s="1"/>
  <c r="P104" i="1"/>
  <c r="P107" i="1" s="1"/>
  <c r="R163" i="1" l="1"/>
  <c r="F172" i="1"/>
  <c r="J164" i="1"/>
  <c r="K164" i="1" s="1"/>
  <c r="L164" i="1" s="1"/>
  <c r="M164" i="1" s="1"/>
  <c r="N164" i="1" s="1"/>
  <c r="O164" i="1" s="1"/>
  <c r="P164" i="1" s="1"/>
  <c r="Q164" i="1" s="1"/>
  <c r="I166" i="1"/>
  <c r="O113" i="1"/>
  <c r="O114" i="1" s="1"/>
  <c r="J116" i="1"/>
  <c r="R110" i="1"/>
  <c r="R111" i="1" s="1"/>
  <c r="R112" i="1" s="1"/>
  <c r="P108" i="1"/>
  <c r="P110" i="1" s="1"/>
  <c r="P111" i="1" s="1"/>
  <c r="P112" i="1" s="1"/>
  <c r="Q104" i="1"/>
  <c r="Q107" i="1" s="1"/>
  <c r="F171" i="1" l="1"/>
  <c r="F179" i="1"/>
  <c r="F180" i="1" s="1"/>
  <c r="R164" i="1"/>
  <c r="J166" i="1"/>
  <c r="K166" i="1" s="1"/>
  <c r="L166" i="1" s="1"/>
  <c r="K116" i="1"/>
  <c r="L116" i="1" s="1"/>
  <c r="M116" i="1" s="1"/>
  <c r="R113" i="1"/>
  <c r="P113" i="1"/>
  <c r="Q108" i="1"/>
  <c r="Q110" i="1" s="1"/>
  <c r="Q111" i="1" s="1"/>
  <c r="Q112" i="1" s="1"/>
  <c r="F119" i="1" s="1"/>
  <c r="M166" i="1" l="1"/>
  <c r="N166" i="1" s="1"/>
  <c r="N116" i="1"/>
  <c r="F122" i="1"/>
  <c r="P114" i="1"/>
  <c r="Q113" i="1"/>
  <c r="F121" i="1" s="1"/>
  <c r="O166" i="1" l="1"/>
  <c r="P166" i="1" s="1"/>
  <c r="Q166" i="1" s="1"/>
  <c r="R166" i="1" s="1"/>
  <c r="O116" i="1"/>
  <c r="Q114" i="1"/>
  <c r="R114" i="1" s="1"/>
  <c r="P116" i="1" l="1"/>
  <c r="Q116" i="1" s="1"/>
  <c r="R116" i="1" s="1"/>
  <c r="F12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354ACE-386E-4E06-8522-8A71CA69E08A}" keepAlive="1" name="Query - gas_prices" description="Connection to the 'gas_prices' query in the workbook." type="5" refreshedVersion="0" background="1">
    <dbPr connection="Provider=Microsoft.Mashup.OleDb.1;Data Source=$Workbook$;Location=gas_prices;Extended Properties=&quot;&quot;" command="SELECT * FROM [gas_prices]"/>
  </connection>
</connections>
</file>

<file path=xl/sharedStrings.xml><?xml version="1.0" encoding="utf-8"?>
<sst xmlns="http://schemas.openxmlformats.org/spreadsheetml/2006/main" count="1733" uniqueCount="123">
  <si>
    <t>%</t>
  </si>
  <si>
    <t>IRR via Goal Seek</t>
  </si>
  <si>
    <t>IRR</t>
  </si>
  <si>
    <t>NPV (From Discounted Cashflows)</t>
  </si>
  <si>
    <t>NPV Function</t>
  </si>
  <si>
    <t>NPV</t>
  </si>
  <si>
    <t xml:space="preserve"> </t>
  </si>
  <si>
    <t>Discounted Cashflows</t>
  </si>
  <si>
    <t>Free Cashflows</t>
  </si>
  <si>
    <t>Payable Taxes</t>
  </si>
  <si>
    <t>EBIT (Taxable Income)</t>
  </si>
  <si>
    <t>Depreciation</t>
  </si>
  <si>
    <t>Nominal Flow (EBITDA)</t>
  </si>
  <si>
    <t>Net Cashflows (Real Flow)</t>
  </si>
  <si>
    <t>CAPEX</t>
  </si>
  <si>
    <t>OPEX</t>
  </si>
  <si>
    <t>Revenue</t>
  </si>
  <si>
    <t xml:space="preserve">Year </t>
  </si>
  <si>
    <t>MWh</t>
  </si>
  <si>
    <t>O&amp;M Cost</t>
  </si>
  <si>
    <t xml:space="preserve">OPEX </t>
  </si>
  <si>
    <t>Power Revenue</t>
  </si>
  <si>
    <t>per year</t>
  </si>
  <si>
    <t>Corporate Tax Rate</t>
  </si>
  <si>
    <t>MWh/year</t>
  </si>
  <si>
    <t>hours/year</t>
  </si>
  <si>
    <t>Full Load Hours</t>
  </si>
  <si>
    <t>years</t>
  </si>
  <si>
    <t>Lifetime</t>
  </si>
  <si>
    <t>Inputs</t>
  </si>
  <si>
    <t>kW</t>
  </si>
  <si>
    <t>Heat Price</t>
  </si>
  <si>
    <t>€/kW</t>
  </si>
  <si>
    <t>Needed Installed Capacity</t>
  </si>
  <si>
    <t>Installed Capacity Heat Exchanger</t>
  </si>
  <si>
    <t>k€</t>
  </si>
  <si>
    <t>WACC</t>
  </si>
  <si>
    <t>k€/year</t>
  </si>
  <si>
    <t xml:space="preserve">Financial Model - BP </t>
  </si>
  <si>
    <t>Manufacturing Industries and Energy Communities
STEP 1</t>
  </si>
  <si>
    <t>€/MWh</t>
  </si>
  <si>
    <t>Share of Heat to other industries</t>
  </si>
  <si>
    <t>Heat to other industries</t>
  </si>
  <si>
    <t>Price increase to other industries</t>
  </si>
  <si>
    <t>Heat to Other Industries</t>
  </si>
  <si>
    <t>Heat To District Heating</t>
  </si>
  <si>
    <t>Heat Production</t>
  </si>
  <si>
    <t>Grid Connection Costs</t>
  </si>
  <si>
    <t>PB</t>
  </si>
  <si>
    <t>Pay Back Time</t>
  </si>
  <si>
    <t xml:space="preserve">Cash Flow Calculations </t>
  </si>
  <si>
    <t>Cumulated Discounted Cashflow</t>
  </si>
  <si>
    <t>Heat Delivered to Energy Community</t>
  </si>
  <si>
    <t>kWh/year</t>
  </si>
  <si>
    <t>Heat Delivered from DH to X1</t>
  </si>
  <si>
    <t>Heat Delivered from DH to X2</t>
  </si>
  <si>
    <t>Heat Delivered from DH to X3</t>
  </si>
  <si>
    <t>Total Heat Delivered from DH</t>
  </si>
  <si>
    <t>Cost of Equity</t>
  </si>
  <si>
    <t>Cost of Debt</t>
  </si>
  <si>
    <t>E/V</t>
  </si>
  <si>
    <t>D/V</t>
  </si>
  <si>
    <t>Td</t>
  </si>
  <si>
    <t>Inputs from MESS</t>
  </si>
  <si>
    <t>General Input Data</t>
  </si>
  <si>
    <t>- o/w Power Supply</t>
  </si>
  <si>
    <t>Fixed OPEX</t>
  </si>
  <si>
    <t>Total CAPEX</t>
  </si>
  <si>
    <t>- o/w Heat Exchanger</t>
  </si>
  <si>
    <t>- o/w Mechanical and Hydraulic Connection</t>
  </si>
  <si>
    <t>- o/w Cabling</t>
  </si>
  <si>
    <t>€/kW/year</t>
  </si>
  <si>
    <t>Source</t>
  </si>
  <si>
    <t>Damodoran</t>
  </si>
  <si>
    <t>CAPEX &amp; OPEX Data</t>
  </si>
  <si>
    <t>Saini et al.</t>
  </si>
  <si>
    <t>GSE</t>
  </si>
  <si>
    <t>- o/w Commissioning</t>
  </si>
  <si>
    <t>€/kWh</t>
  </si>
  <si>
    <t>Price Data</t>
  </si>
  <si>
    <t>Average Heat Price</t>
  </si>
  <si>
    <t>Scenarios</t>
  </si>
  <si>
    <t>Scenario Selection</t>
  </si>
  <si>
    <t>Price Evolution</t>
  </si>
  <si>
    <t>Support on Connection Costs</t>
  </si>
  <si>
    <t>TTF Natural Gas Prices</t>
  </si>
  <si>
    <t>TTF</t>
  </si>
  <si>
    <t>IEA</t>
  </si>
  <si>
    <t>Average Electricity Price</t>
  </si>
  <si>
    <t>Electricity Prices EU</t>
  </si>
  <si>
    <t>-</t>
  </si>
  <si>
    <t>Average District Heating Price Year 0</t>
  </si>
  <si>
    <t>Heat Price to Other Industries</t>
  </si>
  <si>
    <t>Contingencies</t>
  </si>
  <si>
    <t>Cost of Grid Connection &amp; Heat Transport</t>
  </si>
  <si>
    <t>FIP</t>
  </si>
  <si>
    <t>FIP VALUE</t>
  </si>
  <si>
    <t>FIC VALUE</t>
  </si>
  <si>
    <t>Calculations Industry</t>
  </si>
  <si>
    <t>Calculations District Heating Operator</t>
  </si>
  <si>
    <t>OPEX &amp; Costs</t>
  </si>
  <si>
    <t>Heat acquired from industry</t>
  </si>
  <si>
    <t>Heat Sold</t>
  </si>
  <si>
    <t>Original Cost of Grid Connection &amp; Heat Transport</t>
  </si>
  <si>
    <t xml:space="preserve">Total Costs of Acquiring Heat </t>
  </si>
  <si>
    <t>Revenues</t>
  </si>
  <si>
    <t>Revenues from Heat Sold</t>
  </si>
  <si>
    <t>Reduction of Heat Price when selling to DH Operator</t>
  </si>
  <si>
    <t>Financial Data Industry</t>
  </si>
  <si>
    <t>Financial Data DH Operator</t>
  </si>
  <si>
    <t>COMBO</t>
  </si>
  <si>
    <t>kWh/y</t>
  </si>
  <si>
    <t>Avg Yearly DCF</t>
  </si>
  <si>
    <t>Average yearly DCF</t>
  </si>
  <si>
    <t>DCF/MWh</t>
  </si>
  <si>
    <t>FIC</t>
  </si>
  <si>
    <t>BASE</t>
  </si>
  <si>
    <t>Increase Revenue due to FIP</t>
  </si>
  <si>
    <t>Industry</t>
  </si>
  <si>
    <t>DHO</t>
  </si>
  <si>
    <t>PBT</t>
  </si>
  <si>
    <t>AVG y DCF</t>
  </si>
  <si>
    <t>10yDCF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</si>
</sst>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_-* #,##0_-;\-* #,##0_-;_-* &quot;-&quot;??_-;_-@"/>
    <numFmt numFmtId="166" formatCode="#,##0.00;\ \(#,##0.00\);\ \-"/>
    <numFmt numFmtId="167" formatCode="#,##0.0"/>
    <numFmt numFmtId="168" formatCode="#,##0.000"/>
    <numFmt numFmtId="169" formatCode="_-* #,##0.00_-;\-* #,##0.00_-;_-* &quot;-&quot;??_-;_-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sz val="12"/>
      <color theme="0"/>
      <name val="Arial"/>
      <family val="2"/>
    </font>
    <font>
      <sz val="12"/>
      <name val="Calibri"/>
      <family val="2"/>
    </font>
    <font>
      <b/>
      <u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Calibri"/>
      <family val="2"/>
    </font>
    <font>
      <sz val="12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D794"/>
        <bgColor rgb="FFFFD794"/>
      </patternFill>
    </fill>
    <fill>
      <patternFill patternType="solid">
        <fgColor rgb="FF7F7F7F"/>
        <bgColor rgb="FF7F7F7F"/>
      </patternFill>
    </fill>
    <fill>
      <patternFill patternType="solid">
        <fgColor rgb="FF9B3333"/>
        <bgColor rgb="FF9B3333"/>
      </patternFill>
    </fill>
    <fill>
      <patternFill patternType="solid">
        <fgColor rgb="FFCCECFF"/>
        <bgColor rgb="FFCCECFF"/>
      </patternFill>
    </fill>
    <fill>
      <patternFill patternType="solid">
        <fgColor theme="6" tint="0.59999389629810485"/>
        <bgColor rgb="FFDDD9C3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164" fontId="3" fillId="2" borderId="1" xfId="0" applyNumberFormat="1" applyFont="1" applyFill="1" applyBorder="1"/>
    <xf numFmtId="0" fontId="2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165" fontId="3" fillId="0" borderId="4" xfId="0" applyNumberFormat="1" applyFont="1" applyBorder="1"/>
    <xf numFmtId="165" fontId="3" fillId="0" borderId="5" xfId="0" applyNumberFormat="1" applyFont="1" applyBorder="1"/>
    <xf numFmtId="0" fontId="3" fillId="0" borderId="0" xfId="0" applyFont="1"/>
    <xf numFmtId="165" fontId="3" fillId="0" borderId="1" xfId="0" applyNumberFormat="1" applyFont="1" applyBorder="1"/>
    <xf numFmtId="165" fontId="2" fillId="0" borderId="0" xfId="0" applyNumberFormat="1" applyFont="1"/>
    <xf numFmtId="165" fontId="2" fillId="0" borderId="6" xfId="0" applyNumberFormat="1" applyFont="1" applyBorder="1"/>
    <xf numFmtId="0" fontId="2" fillId="0" borderId="6" xfId="0" applyFont="1" applyBorder="1"/>
    <xf numFmtId="165" fontId="3" fillId="0" borderId="2" xfId="0" applyNumberFormat="1" applyFont="1" applyBorder="1"/>
    <xf numFmtId="165" fontId="3" fillId="0" borderId="0" xfId="0" applyNumberFormat="1" applyFont="1"/>
    <xf numFmtId="3" fontId="2" fillId="0" borderId="6" xfId="0" applyNumberFormat="1" applyFont="1" applyBorder="1"/>
    <xf numFmtId="0" fontId="2" fillId="0" borderId="0" xfId="0" quotePrefix="1" applyFont="1"/>
    <xf numFmtId="0" fontId="5" fillId="3" borderId="7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4" borderId="0" xfId="0" applyFont="1" applyFill="1"/>
    <xf numFmtId="3" fontId="2" fillId="0" borderId="0" xfId="0" applyNumberFormat="1" applyFont="1"/>
    <xf numFmtId="0" fontId="3" fillId="0" borderId="0" xfId="0" quotePrefix="1" applyFont="1"/>
    <xf numFmtId="165" fontId="3" fillId="0" borderId="6" xfId="0" applyNumberFormat="1" applyFont="1" applyBorder="1"/>
    <xf numFmtId="0" fontId="10" fillId="4" borderId="0" xfId="0" applyFont="1" applyFill="1"/>
    <xf numFmtId="0" fontId="9" fillId="0" borderId="0" xfId="0" quotePrefix="1" applyFont="1"/>
    <xf numFmtId="0" fontId="9" fillId="0" borderId="0" xfId="0" quotePrefix="1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10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9" fillId="5" borderId="0" xfId="0" applyFont="1" applyFill="1"/>
    <xf numFmtId="0" fontId="9" fillId="6" borderId="10" xfId="0" applyFont="1" applyFill="1" applyBorder="1" applyAlignment="1">
      <alignment horizontal="center"/>
    </xf>
    <xf numFmtId="9" fontId="9" fillId="6" borderId="10" xfId="1" applyFont="1" applyFill="1" applyBorder="1" applyAlignment="1">
      <alignment horizontal="center"/>
    </xf>
    <xf numFmtId="3" fontId="9" fillId="6" borderId="10" xfId="0" applyNumberFormat="1" applyFont="1" applyFill="1" applyBorder="1" applyAlignment="1">
      <alignment horizontal="center"/>
    </xf>
    <xf numFmtId="3" fontId="9" fillId="7" borderId="10" xfId="0" applyNumberFormat="1" applyFont="1" applyFill="1" applyBorder="1" applyAlignment="1">
      <alignment horizontal="center"/>
    </xf>
    <xf numFmtId="10" fontId="9" fillId="6" borderId="10" xfId="0" applyNumberFormat="1" applyFont="1" applyFill="1" applyBorder="1" applyAlignment="1">
      <alignment horizontal="center"/>
    </xf>
    <xf numFmtId="0" fontId="12" fillId="4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2" fillId="0" borderId="11" xfId="0" applyFont="1" applyBorder="1"/>
    <xf numFmtId="0" fontId="0" fillId="0" borderId="11" xfId="0" applyBorder="1"/>
    <xf numFmtId="166" fontId="2" fillId="0" borderId="0" xfId="0" applyNumberFormat="1" applyFont="1"/>
    <xf numFmtId="166" fontId="2" fillId="0" borderId="11" xfId="0" applyNumberFormat="1" applyFont="1" applyBorder="1"/>
    <xf numFmtId="166" fontId="3" fillId="0" borderId="0" xfId="0" applyNumberFormat="1" applyFont="1"/>
    <xf numFmtId="165" fontId="3" fillId="0" borderId="11" xfId="0" applyNumberFormat="1" applyFont="1" applyBorder="1"/>
    <xf numFmtId="166" fontId="3" fillId="0" borderId="11" xfId="0" applyNumberFormat="1" applyFont="1" applyBorder="1"/>
    <xf numFmtId="0" fontId="3" fillId="0" borderId="13" xfId="0" applyFont="1" applyBorder="1"/>
    <xf numFmtId="0" fontId="3" fillId="0" borderId="12" xfId="0" applyFont="1" applyBorder="1"/>
    <xf numFmtId="0" fontId="2" fillId="0" borderId="12" xfId="0" applyFont="1" applyBorder="1"/>
    <xf numFmtId="2" fontId="3" fillId="0" borderId="14" xfId="0" applyNumberFormat="1" applyFont="1" applyBorder="1"/>
    <xf numFmtId="0" fontId="3" fillId="0" borderId="11" xfId="0" applyFont="1" applyBorder="1"/>
    <xf numFmtId="1" fontId="9" fillId="6" borderId="10" xfId="0" applyNumberFormat="1" applyFont="1" applyFill="1" applyBorder="1" applyAlignment="1">
      <alignment horizontal="center"/>
    </xf>
    <xf numFmtId="0" fontId="16" fillId="0" borderId="11" xfId="0" applyFont="1" applyBorder="1"/>
    <xf numFmtId="3" fontId="9" fillId="6" borderId="16" xfId="0" applyNumberFormat="1" applyFont="1" applyFill="1" applyBorder="1" applyAlignment="1">
      <alignment horizontal="center"/>
    </xf>
    <xf numFmtId="0" fontId="14" fillId="0" borderId="0" xfId="0" applyFont="1"/>
    <xf numFmtId="3" fontId="17" fillId="6" borderId="15" xfId="0" applyNumberFormat="1" applyFont="1" applyFill="1" applyBorder="1" applyAlignment="1">
      <alignment horizontal="center"/>
    </xf>
    <xf numFmtId="10" fontId="9" fillId="6" borderId="10" xfId="1" applyNumberFormat="1" applyFont="1" applyFill="1" applyBorder="1" applyAlignment="1">
      <alignment horizontal="center"/>
    </xf>
    <xf numFmtId="0" fontId="2" fillId="8" borderId="0" xfId="0" applyFont="1" applyFill="1"/>
    <xf numFmtId="0" fontId="0" fillId="8" borderId="0" xfId="0" applyFill="1"/>
    <xf numFmtId="0" fontId="3" fillId="8" borderId="0" xfId="0" applyFont="1" applyFill="1"/>
    <xf numFmtId="0" fontId="9" fillId="0" borderId="0" xfId="0" quotePrefix="1" applyFont="1" applyAlignment="1">
      <alignment horizontal="left" indent="1"/>
    </xf>
    <xf numFmtId="167" fontId="9" fillId="6" borderId="10" xfId="0" applyNumberFormat="1" applyFont="1" applyFill="1" applyBorder="1" applyAlignment="1">
      <alignment horizontal="center"/>
    </xf>
    <xf numFmtId="0" fontId="15" fillId="0" borderId="0" xfId="2"/>
    <xf numFmtId="0" fontId="17" fillId="0" borderId="0" xfId="0" applyFont="1"/>
    <xf numFmtId="9" fontId="9" fillId="6" borderId="0" xfId="1" applyFont="1" applyFill="1" applyBorder="1" applyAlignment="1">
      <alignment horizontal="center"/>
    </xf>
    <xf numFmtId="4" fontId="9" fillId="6" borderId="10" xfId="0" applyNumberFormat="1" applyFont="1" applyFill="1" applyBorder="1" applyAlignment="1">
      <alignment horizontal="center"/>
    </xf>
    <xf numFmtId="168" fontId="9" fillId="6" borderId="10" xfId="0" applyNumberFormat="1" applyFont="1" applyFill="1" applyBorder="1" applyAlignment="1">
      <alignment horizontal="center"/>
    </xf>
    <xf numFmtId="0" fontId="9" fillId="9" borderId="0" xfId="0" applyFont="1" applyFill="1"/>
    <xf numFmtId="0" fontId="0" fillId="9" borderId="0" xfId="0" applyFill="1"/>
    <xf numFmtId="0" fontId="2" fillId="9" borderId="0" xfId="0" applyFont="1" applyFill="1"/>
    <xf numFmtId="0" fontId="5" fillId="9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9" fontId="9" fillId="0" borderId="0" xfId="1" applyFont="1" applyFill="1" applyBorder="1" applyAlignment="1">
      <alignment horizontal="center"/>
    </xf>
    <xf numFmtId="2" fontId="2" fillId="0" borderId="0" xfId="0" applyNumberFormat="1" applyFont="1"/>
    <xf numFmtId="4" fontId="9" fillId="6" borderId="0" xfId="0" applyNumberFormat="1" applyFont="1" applyFill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left"/>
    </xf>
    <xf numFmtId="169" fontId="3" fillId="0" borderId="5" xfId="0" applyNumberFormat="1" applyFont="1" applyBorder="1"/>
    <xf numFmtId="169" fontId="3" fillId="0" borderId="1" xfId="0" applyNumberFormat="1" applyFont="1" applyBorder="1"/>
    <xf numFmtId="164" fontId="0" fillId="0" borderId="0" xfId="1" applyNumberFormat="1" applyFont="1"/>
    <xf numFmtId="3" fontId="0" fillId="0" borderId="0" xfId="0" applyNumberFormat="1"/>
    <xf numFmtId="9" fontId="0" fillId="0" borderId="0" xfId="0" applyNumberFormat="1"/>
    <xf numFmtId="9" fontId="0" fillId="0" borderId="0" xfId="1" applyFont="1"/>
    <xf numFmtId="0" fontId="11" fillId="0" borderId="0" xfId="0" applyFont="1" applyAlignment="1">
      <alignment horizontal="center" wrapText="1"/>
    </xf>
    <xf numFmtId="0" fontId="0" fillId="0" borderId="0" xfId="0"/>
    <xf numFmtId="0" fontId="5" fillId="3" borderId="9" xfId="0" applyFont="1" applyFill="1" applyBorder="1" applyAlignment="1">
      <alignment horizontal="right"/>
    </xf>
    <xf numFmtId="0" fontId="5" fillId="3" borderId="8" xfId="0" applyFont="1" applyFill="1" applyBorder="1" applyAlignment="1">
      <alignment horizontal="right"/>
    </xf>
    <xf numFmtId="0" fontId="6" fillId="0" borderId="8" xfId="0" applyFont="1" applyBorder="1"/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SUMMARY!$C$8:$C$9</c:f>
              <c:strCache>
                <c:ptCount val="2"/>
                <c:pt idx="0">
                  <c:v>FIP</c:v>
                </c:pt>
                <c:pt idx="1">
                  <c:v>PBT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SUMMARY!$B$10:$B$14</c:f>
              <c:numCache>
                <c:formatCode>0%</c:formatCode>
                <c:ptCount val="5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</c:numCache>
            </c:numRef>
          </c:cat>
          <c:val>
            <c:numRef>
              <c:f>SUMMARY!$C$10:$C$14</c:f>
              <c:numCache>
                <c:formatCode>General</c:formatCode>
                <c:ptCount val="5"/>
                <c:pt idx="0">
                  <c:v>4.34</c:v>
                </c:pt>
                <c:pt idx="1">
                  <c:v>4.01</c:v>
                </c:pt>
                <c:pt idx="2" formatCode="0.00">
                  <c:v>3.7205003941080412</c:v>
                </c:pt>
                <c:pt idx="3">
                  <c:v>3.49</c:v>
                </c:pt>
                <c:pt idx="4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CC-1440-BF5A-BBB2BE77D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125167"/>
        <c:axId val="874126879"/>
      </c:lineChart>
      <c:lineChart>
        <c:grouping val="standard"/>
        <c:varyColors val="0"/>
        <c:ser>
          <c:idx val="1"/>
          <c:order val="1"/>
          <c:tx>
            <c:strRef>
              <c:f>SUMMARY!$D$8:$D$9</c:f>
              <c:strCache>
                <c:ptCount val="2"/>
                <c:pt idx="0">
                  <c:v>FIC</c:v>
                </c:pt>
                <c:pt idx="1">
                  <c:v>AVG y DCF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SUMMARY!$B$10:$B$14</c:f>
              <c:numCache>
                <c:formatCode>0%</c:formatCode>
                <c:ptCount val="5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</c:numCache>
            </c:numRef>
          </c:cat>
          <c:val>
            <c:numRef>
              <c:f>SUMMARY!$D$10:$D$14</c:f>
              <c:numCache>
                <c:formatCode>General</c:formatCode>
                <c:ptCount val="5"/>
                <c:pt idx="0">
                  <c:v>1.83</c:v>
                </c:pt>
                <c:pt idx="1">
                  <c:v>2.0699999999999998</c:v>
                </c:pt>
                <c:pt idx="2" formatCode="0.00">
                  <c:v>2.3135690952132277</c:v>
                </c:pt>
                <c:pt idx="3">
                  <c:v>2.56</c:v>
                </c:pt>
                <c:pt idx="4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CC-1440-BF5A-BBB2BE77D598}"/>
            </c:ext>
          </c:extLst>
        </c:ser>
        <c:ser>
          <c:idx val="2"/>
          <c:order val="2"/>
          <c:tx>
            <c:strRef>
              <c:f>SUMMARY!$E$8:$E$9</c:f>
              <c:strCache>
                <c:ptCount val="2"/>
                <c:pt idx="0">
                  <c:v>FIC</c:v>
                </c:pt>
                <c:pt idx="1">
                  <c:v>AVG y DCF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SUMMARY!$B$10:$B$14</c:f>
              <c:numCache>
                <c:formatCode>0%</c:formatCode>
                <c:ptCount val="5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</c:numCache>
            </c:numRef>
          </c:cat>
          <c:val>
            <c:numRef>
              <c:f>SUMMARY!$E$10:$E$14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C-1440-BF5A-BBB2BE77D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84671"/>
        <c:axId val="53648975"/>
      </c:lineChart>
      <c:catAx>
        <c:axId val="87412516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126879"/>
        <c:crosses val="autoZero"/>
        <c:auto val="1"/>
        <c:lblAlgn val="ctr"/>
        <c:lblOffset val="100"/>
        <c:noMultiLvlLbl val="0"/>
      </c:catAx>
      <c:valAx>
        <c:axId val="87412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125167"/>
        <c:crosses val="autoZero"/>
        <c:crossBetween val="between"/>
      </c:valAx>
      <c:valAx>
        <c:axId val="536489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4671"/>
        <c:crosses val="max"/>
        <c:crossBetween val="between"/>
      </c:valAx>
      <c:catAx>
        <c:axId val="21884671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536489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679450</xdr:colOff>
      <xdr:row>8</xdr:row>
      <xdr:rowOff>198120</xdr:rowOff>
    </xdr:from>
    <xdr:to>
      <xdr:col>21</xdr:col>
      <xdr:colOff>0</xdr:colOff>
      <xdr:row>31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16363F-A2D8-C617-ECDA-FADB837D5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378778823005777?ref=pdf_download&amp;fr=RR-2&amp;rr=84c0a7f96f29a25e" TargetMode="External"/><Relationship Id="rId2" Type="http://schemas.openxmlformats.org/officeDocument/2006/relationships/hyperlink" Target="https://www.sciencedirect.com/science/article/pii/S0378778823005777?ref=pdf_download&amp;fr=RR-2&amp;rr=84c0a7f96f29a25e" TargetMode="External"/><Relationship Id="rId1" Type="http://schemas.openxmlformats.org/officeDocument/2006/relationships/hyperlink" Target="https://www.sciencedirect.com/science/article/pii/S0378778823005777?ref=pdf_download&amp;fr=RR-2&amp;rr=84c0a7f96f29a25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378778823005777?ref=pdf_download&amp;fr=RR-2&amp;rr=84c0a7f96f29a25e" TargetMode="External"/><Relationship Id="rId2" Type="http://schemas.openxmlformats.org/officeDocument/2006/relationships/hyperlink" Target="https://www.sciencedirect.com/science/article/pii/S0378778823005777?ref=pdf_download&amp;fr=RR-2&amp;rr=84c0a7f96f29a25e" TargetMode="External"/><Relationship Id="rId1" Type="http://schemas.openxmlformats.org/officeDocument/2006/relationships/hyperlink" Target="https://www.sciencedirect.com/science/article/pii/S0378778823005777?ref=pdf_download&amp;fr=RR-2&amp;rr=84c0a7f96f29a25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378778823005777?ref=pdf_download&amp;fr=RR-2&amp;rr=84c0a7f96f29a25e" TargetMode="External"/><Relationship Id="rId2" Type="http://schemas.openxmlformats.org/officeDocument/2006/relationships/hyperlink" Target="https://www.sciencedirect.com/science/article/pii/S0378778823005777?ref=pdf_download&amp;fr=RR-2&amp;rr=84c0a7f96f29a25e" TargetMode="External"/><Relationship Id="rId1" Type="http://schemas.openxmlformats.org/officeDocument/2006/relationships/hyperlink" Target="https://www.sciencedirect.com/science/article/pii/S0378778823005777?ref=pdf_download&amp;fr=RR-2&amp;rr=84c0a7f96f29a25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378778823005777?ref=pdf_download&amp;fr=RR-2&amp;rr=84c0a7f96f29a25e" TargetMode="External"/><Relationship Id="rId2" Type="http://schemas.openxmlformats.org/officeDocument/2006/relationships/hyperlink" Target="https://www.sciencedirect.com/science/article/pii/S0378778823005777?ref=pdf_download&amp;fr=RR-2&amp;rr=84c0a7f96f29a25e" TargetMode="External"/><Relationship Id="rId1" Type="http://schemas.openxmlformats.org/officeDocument/2006/relationships/hyperlink" Target="https://www.sciencedirect.com/science/article/pii/S0378778823005777?ref=pdf_download&amp;fr=RR-2&amp;rr=84c0a7f96f29a25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378778823005777?ref=pdf_download&amp;fr=RR-2&amp;rr=84c0a7f96f29a25e" TargetMode="External"/><Relationship Id="rId2" Type="http://schemas.openxmlformats.org/officeDocument/2006/relationships/hyperlink" Target="https://www.sciencedirect.com/science/article/pii/S0378778823005777?ref=pdf_download&amp;fr=RR-2&amp;rr=84c0a7f96f29a25e" TargetMode="External"/><Relationship Id="rId1" Type="http://schemas.openxmlformats.org/officeDocument/2006/relationships/hyperlink" Target="https://www.sciencedirect.com/science/article/pii/S0378778823005777?ref=pdf_download&amp;fr=RR-2&amp;rr=84c0a7f96f29a25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378778823005777?ref=pdf_download&amp;fr=RR-2&amp;rr=84c0a7f96f29a25e" TargetMode="External"/><Relationship Id="rId2" Type="http://schemas.openxmlformats.org/officeDocument/2006/relationships/hyperlink" Target="https://www.sciencedirect.com/science/article/pii/S0378778823005777?ref=pdf_download&amp;fr=RR-2&amp;rr=84c0a7f96f29a25e" TargetMode="External"/><Relationship Id="rId1" Type="http://schemas.openxmlformats.org/officeDocument/2006/relationships/hyperlink" Target="https://www.sciencedirect.com/science/article/pii/S0378778823005777?ref=pdf_download&amp;fr=RR-2&amp;rr=84c0a7f96f29a25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378778823005777?ref=pdf_download&amp;fr=RR-2&amp;rr=84c0a7f96f29a25e" TargetMode="External"/><Relationship Id="rId2" Type="http://schemas.openxmlformats.org/officeDocument/2006/relationships/hyperlink" Target="https://www.sciencedirect.com/science/article/pii/S0378778823005777?ref=pdf_download&amp;fr=RR-2&amp;rr=84c0a7f96f29a25e" TargetMode="External"/><Relationship Id="rId1" Type="http://schemas.openxmlformats.org/officeDocument/2006/relationships/hyperlink" Target="https://www.sciencedirect.com/science/article/pii/S0378778823005777?ref=pdf_download&amp;fr=RR-2&amp;rr=84c0a7f96f29a2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933C-32C0-FE4C-A91B-CE2EDF4B6824}">
  <dimension ref="A1:AB1089"/>
  <sheetViews>
    <sheetView showGridLines="0" topLeftCell="A152" zoomScaleNormal="100" workbookViewId="0">
      <pane xSplit="7" topLeftCell="H1" activePane="topRight" state="frozen"/>
      <selection pane="topRight" activeCell="C187" sqref="C187"/>
    </sheetView>
  </sheetViews>
  <sheetFormatPr baseColWidth="10" defaultColWidth="11.1640625" defaultRowHeight="15" customHeight="1" outlineLevelRow="1" x14ac:dyDescent="0.2"/>
  <cols>
    <col min="1" max="1" width="2.1640625" customWidth="1"/>
    <col min="2" max="2" width="4.6640625" customWidth="1"/>
    <col min="3" max="3" width="47.6640625" customWidth="1"/>
    <col min="4" max="4" width="14" customWidth="1"/>
    <col min="5" max="5" width="2" customWidth="1"/>
    <col min="6" max="6" width="20.83203125" customWidth="1"/>
    <col min="7" max="7" width="11.33203125" bestFit="1" customWidth="1"/>
    <col min="8" max="8" width="13.5" customWidth="1"/>
    <col min="9" max="22" width="12.5" customWidth="1"/>
    <col min="23" max="27" width="12" customWidth="1"/>
  </cols>
  <sheetData>
    <row r="1" spans="1:27" ht="15.75" customHeight="1" x14ac:dyDescent="0.2">
      <c r="A1" s="1"/>
      <c r="B1" s="33" t="s">
        <v>38</v>
      </c>
      <c r="C1" s="33"/>
      <c r="D1" s="33"/>
      <c r="E1" s="33"/>
      <c r="F1" s="33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1.5" customHeight="1" x14ac:dyDescent="0.2">
      <c r="A3" s="31"/>
      <c r="B3" s="20"/>
      <c r="C3" s="86" t="s">
        <v>39</v>
      </c>
      <c r="D3" s="87"/>
      <c r="E3" s="87"/>
      <c r="F3" s="87"/>
      <c r="G3" s="87"/>
      <c r="H3" s="32"/>
      <c r="I3" s="32"/>
      <c r="J3" s="32"/>
      <c r="K3" s="32"/>
      <c r="L3" s="32"/>
      <c r="M3" s="32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s="41" customFormat="1" ht="25" customHeight="1" x14ac:dyDescent="0.2">
      <c r="A6" s="39"/>
      <c r="B6" s="40" t="s">
        <v>29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</row>
    <row r="7" spans="1:27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61" customFormat="1" ht="15.75" customHeight="1" outlineLevel="1" x14ac:dyDescent="0.2">
      <c r="A8" s="60"/>
      <c r="B8" s="62" t="s">
        <v>63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</row>
    <row r="9" spans="1:27" ht="15.75" customHeight="1" outlineLevel="1" x14ac:dyDescent="0.2">
      <c r="A9" s="1"/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" outlineLevel="1" x14ac:dyDescent="0.2">
      <c r="C10" t="s">
        <v>54</v>
      </c>
      <c r="D10" s="36">
        <v>66458.513999999675</v>
      </c>
      <c r="F10" t="s">
        <v>111</v>
      </c>
    </row>
    <row r="11" spans="1:27" ht="16" outlineLevel="1" x14ac:dyDescent="0.2">
      <c r="C11" t="s">
        <v>55</v>
      </c>
      <c r="D11" s="36">
        <v>63330.169000001297</v>
      </c>
      <c r="F11" t="s">
        <v>111</v>
      </c>
    </row>
    <row r="12" spans="1:27" ht="16" outlineLevel="1" x14ac:dyDescent="0.2">
      <c r="C12" s="55" t="s">
        <v>56</v>
      </c>
      <c r="D12" s="56">
        <v>180689.93499999747</v>
      </c>
      <c r="E12" s="43"/>
      <c r="F12" s="43" t="s">
        <v>111</v>
      </c>
    </row>
    <row r="13" spans="1:27" ht="16" outlineLevel="1" x14ac:dyDescent="0.2">
      <c r="C13" s="57" t="s">
        <v>57</v>
      </c>
      <c r="D13" s="58">
        <f>SUM(D10:D12)</f>
        <v>310478.61799999845</v>
      </c>
      <c r="E13" s="57"/>
      <c r="F13" s="57" t="s">
        <v>111</v>
      </c>
    </row>
    <row r="14" spans="1:27" ht="15.75" customHeight="1" outlineLevel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s="61" customFormat="1" ht="15.75" customHeight="1" outlineLevel="1" x14ac:dyDescent="0.2">
      <c r="A15" s="60"/>
      <c r="B15" s="62" t="s">
        <v>108</v>
      </c>
      <c r="C15" s="60"/>
      <c r="D15" s="60"/>
      <c r="E15" s="60"/>
      <c r="F15" s="60"/>
      <c r="G15" s="60" t="s">
        <v>72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spans="1:27" ht="15.75" customHeight="1" outlineLevel="1" x14ac:dyDescent="0.2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" outlineLevel="1" x14ac:dyDescent="0.2">
      <c r="C17" t="s">
        <v>58</v>
      </c>
      <c r="D17" s="59">
        <v>0.107</v>
      </c>
      <c r="G17" t="s">
        <v>73</v>
      </c>
    </row>
    <row r="18" spans="1:27" ht="16" outlineLevel="1" x14ac:dyDescent="0.2">
      <c r="C18" t="s">
        <v>59</v>
      </c>
      <c r="D18" s="59">
        <v>6.0499999999999998E-2</v>
      </c>
      <c r="G18" t="s">
        <v>73</v>
      </c>
    </row>
    <row r="19" spans="1:27" ht="16" outlineLevel="1" x14ac:dyDescent="0.2">
      <c r="C19" t="s">
        <v>60</v>
      </c>
      <c r="D19" s="59">
        <v>0.73529999999999995</v>
      </c>
      <c r="G19" t="s">
        <v>73</v>
      </c>
    </row>
    <row r="20" spans="1:27" ht="16" outlineLevel="1" x14ac:dyDescent="0.2">
      <c r="C20" t="s">
        <v>61</v>
      </c>
      <c r="D20" s="59">
        <v>0.26469999999999999</v>
      </c>
      <c r="G20" t="s">
        <v>73</v>
      </c>
    </row>
    <row r="21" spans="1:27" ht="16" outlineLevel="1" x14ac:dyDescent="0.2">
      <c r="C21" t="s">
        <v>62</v>
      </c>
      <c r="D21" s="35">
        <v>0.24</v>
      </c>
      <c r="G21" t="s">
        <v>73</v>
      </c>
    </row>
    <row r="22" spans="1:27" ht="16" outlineLevel="1" x14ac:dyDescent="0.2">
      <c r="C22" s="21" t="s">
        <v>36</v>
      </c>
      <c r="D22" s="38">
        <f>D19*D17+D20*D18*(1-D21)</f>
        <v>9.0848005999999995E-2</v>
      </c>
      <c r="E22" s="21"/>
      <c r="F22" s="21" t="s">
        <v>22</v>
      </c>
    </row>
    <row r="23" spans="1:27" ht="16" outlineLevel="1" x14ac:dyDescent="0.2">
      <c r="C23" s="21" t="s">
        <v>23</v>
      </c>
      <c r="D23" s="38">
        <f>D21</f>
        <v>0.24</v>
      </c>
      <c r="E23" s="21"/>
      <c r="F23" s="21"/>
    </row>
    <row r="24" spans="1:27" ht="15.75" customHeight="1" outlineLevel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61" customFormat="1" ht="15.75" customHeight="1" outlineLevel="1" x14ac:dyDescent="0.2">
      <c r="A25" s="60"/>
      <c r="B25" s="62" t="s">
        <v>109</v>
      </c>
      <c r="C25" s="60"/>
      <c r="D25" s="60"/>
      <c r="E25" s="60"/>
      <c r="F25" s="60"/>
      <c r="G25" s="60" t="s">
        <v>72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spans="1:27" ht="15.75" customHeight="1" outlineLevel="1" x14ac:dyDescent="0.2">
      <c r="A26" s="1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" outlineLevel="1" x14ac:dyDescent="0.2">
      <c r="C27" t="s">
        <v>58</v>
      </c>
      <c r="D27" s="59">
        <v>8.9399999999999993E-2</v>
      </c>
      <c r="G27" t="s">
        <v>73</v>
      </c>
    </row>
    <row r="28" spans="1:27" ht="16" outlineLevel="1" x14ac:dyDescent="0.2">
      <c r="C28" t="s">
        <v>59</v>
      </c>
      <c r="D28" s="59">
        <v>5.7500000000000002E-2</v>
      </c>
      <c r="G28" t="s">
        <v>73</v>
      </c>
    </row>
    <row r="29" spans="1:27" ht="16" outlineLevel="1" x14ac:dyDescent="0.2">
      <c r="C29" t="s">
        <v>60</v>
      </c>
      <c r="D29" s="59">
        <v>0.52649999999999997</v>
      </c>
      <c r="G29" t="s">
        <v>73</v>
      </c>
    </row>
    <row r="30" spans="1:27" ht="16" outlineLevel="1" x14ac:dyDescent="0.2">
      <c r="C30" t="s">
        <v>61</v>
      </c>
      <c r="D30" s="59">
        <v>0.47349999999999998</v>
      </c>
      <c r="G30" t="s">
        <v>73</v>
      </c>
    </row>
    <row r="31" spans="1:27" ht="16" outlineLevel="1" x14ac:dyDescent="0.2">
      <c r="C31" t="s">
        <v>62</v>
      </c>
      <c r="D31" s="35">
        <v>0.24</v>
      </c>
      <c r="G31" t="s">
        <v>73</v>
      </c>
    </row>
    <row r="32" spans="1:27" ht="16" outlineLevel="1" x14ac:dyDescent="0.2">
      <c r="C32" s="21" t="s">
        <v>36</v>
      </c>
      <c r="D32" s="38">
        <f>D29*D27+D30*D28*(1-D31)</f>
        <v>6.7761049999999989E-2</v>
      </c>
      <c r="E32" s="21"/>
      <c r="F32" s="21" t="s">
        <v>22</v>
      </c>
    </row>
    <row r="33" spans="1:27" ht="16" outlineLevel="1" x14ac:dyDescent="0.2">
      <c r="C33" s="21" t="s">
        <v>23</v>
      </c>
      <c r="D33" s="38">
        <f>D31</f>
        <v>0.24</v>
      </c>
      <c r="E33" s="21"/>
      <c r="F33" s="21"/>
    </row>
    <row r="34" spans="1:27" ht="15.75" customHeight="1" outlineLevel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61" customFormat="1" ht="15.75" customHeight="1" outlineLevel="1" x14ac:dyDescent="0.2">
      <c r="A35" s="60"/>
      <c r="B35" s="62" t="s">
        <v>64</v>
      </c>
      <c r="C35" s="60"/>
      <c r="D35" s="60"/>
      <c r="E35" s="60"/>
      <c r="F35" s="60"/>
      <c r="G35" s="60" t="s">
        <v>72</v>
      </c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spans="1:27" ht="15.75" customHeight="1" outlineLevel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outlineLevel="1" x14ac:dyDescent="0.2">
      <c r="A37" s="21"/>
      <c r="B37" s="21"/>
      <c r="C37" s="21" t="s">
        <v>28</v>
      </c>
      <c r="D37" s="34">
        <v>10</v>
      </c>
      <c r="E37" s="29"/>
      <c r="F37" s="29" t="s">
        <v>27</v>
      </c>
      <c r="G37" s="20"/>
      <c r="H37" s="21"/>
      <c r="I37" s="2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outlineLevel="1" x14ac:dyDescent="0.2">
      <c r="A38" s="21"/>
      <c r="B38" s="21"/>
      <c r="C38" s="21" t="s">
        <v>33</v>
      </c>
      <c r="D38" s="54">
        <f>D43*1000/D41</f>
        <v>72.332172677289734</v>
      </c>
      <c r="E38" s="29"/>
      <c r="F38" s="29" t="s">
        <v>30</v>
      </c>
      <c r="G38" s="20"/>
      <c r="H38" s="21"/>
      <c r="I38" s="2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outlineLevel="1" x14ac:dyDescent="0.2">
      <c r="A39" s="21"/>
      <c r="B39" s="21"/>
      <c r="C39" s="21" t="s">
        <v>34</v>
      </c>
      <c r="D39" s="54">
        <f>ROUND(D38*1.3,0)</f>
        <v>94</v>
      </c>
      <c r="E39" s="29"/>
      <c r="F39" s="29" t="s">
        <v>30</v>
      </c>
      <c r="G39" s="20"/>
      <c r="H39" s="21"/>
      <c r="I39" s="2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outlineLevel="1" x14ac:dyDescent="0.2">
      <c r="A40" s="21"/>
      <c r="B40" s="21"/>
      <c r="C40" s="21" t="s">
        <v>34</v>
      </c>
      <c r="D40" s="54">
        <f>ROUND(D39/10,0)*10</f>
        <v>90</v>
      </c>
      <c r="E40" s="29"/>
      <c r="F40" s="28" t="s">
        <v>30</v>
      </c>
      <c r="G40" s="20"/>
      <c r="H40" s="30"/>
      <c r="I40" s="3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outlineLevel="1" x14ac:dyDescent="0.2">
      <c r="A41" s="21"/>
      <c r="B41" s="21"/>
      <c r="C41" s="21" t="s">
        <v>26</v>
      </c>
      <c r="D41" s="36">
        <f>8760*0.7</f>
        <v>6132</v>
      </c>
      <c r="E41" s="29"/>
      <c r="F41" s="28" t="s">
        <v>25</v>
      </c>
      <c r="G41" s="20"/>
      <c r="H41" s="1"/>
      <c r="I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outlineLevel="1" x14ac:dyDescent="0.2">
      <c r="A42" s="21"/>
      <c r="B42" s="21"/>
      <c r="C42" s="21" t="s">
        <v>52</v>
      </c>
      <c r="D42" s="36">
        <f>D13</f>
        <v>310478.61799999845</v>
      </c>
      <c r="E42" s="29"/>
      <c r="F42" s="28" t="s">
        <v>53</v>
      </c>
      <c r="G42" s="20"/>
      <c r="H42" s="1"/>
      <c r="I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outlineLevel="1" x14ac:dyDescent="0.2">
      <c r="A43" s="21"/>
      <c r="B43" s="21"/>
      <c r="C43" s="21" t="s">
        <v>46</v>
      </c>
      <c r="D43" s="37">
        <f>(D42/(1-D66))/1000</f>
        <v>443.54088285714067</v>
      </c>
      <c r="E43" s="29"/>
      <c r="F43" s="28" t="s">
        <v>24</v>
      </c>
      <c r="G43" s="20"/>
      <c r="H43" s="1"/>
      <c r="J43" s="83"/>
      <c r="K43" s="82"/>
      <c r="M43" s="8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outlineLevel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61" customFormat="1" ht="15.75" customHeight="1" outlineLevel="1" x14ac:dyDescent="0.2">
      <c r="A45" s="60"/>
      <c r="B45" s="62" t="s">
        <v>74</v>
      </c>
      <c r="C45" s="60"/>
      <c r="D45" s="60"/>
      <c r="E45" s="60"/>
      <c r="F45" s="60"/>
      <c r="G45" s="60" t="s">
        <v>72</v>
      </c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spans="1:27" ht="15.75" customHeight="1" outlineLevel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outlineLevel="1" x14ac:dyDescent="0.2">
      <c r="A47" s="21"/>
      <c r="B47" s="21"/>
      <c r="C47" s="21" t="s">
        <v>67</v>
      </c>
      <c r="D47" s="37">
        <f>SUM(D48:D52)</f>
        <v>310</v>
      </c>
      <c r="E47" s="29"/>
      <c r="F47" s="28" t="s">
        <v>32</v>
      </c>
      <c r="G47" s="20"/>
      <c r="H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outlineLevel="1" x14ac:dyDescent="0.2">
      <c r="A48" s="21"/>
      <c r="B48" s="21"/>
      <c r="C48" s="63" t="s">
        <v>68</v>
      </c>
      <c r="D48" s="36">
        <v>90</v>
      </c>
      <c r="E48" s="29"/>
      <c r="F48" s="28" t="s">
        <v>32</v>
      </c>
      <c r="G48" s="65" t="s">
        <v>75</v>
      </c>
      <c r="H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outlineLevel="1" x14ac:dyDescent="0.2">
      <c r="A49" s="21"/>
      <c r="B49" s="21"/>
      <c r="C49" s="63" t="s">
        <v>69</v>
      </c>
      <c r="D49" s="36">
        <v>105</v>
      </c>
      <c r="E49" s="29"/>
      <c r="F49" s="28" t="s">
        <v>32</v>
      </c>
      <c r="G49" s="20"/>
      <c r="H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outlineLevel="1" x14ac:dyDescent="0.2">
      <c r="A50" s="21"/>
      <c r="B50" s="21"/>
      <c r="C50" s="63" t="s">
        <v>65</v>
      </c>
      <c r="D50" s="36">
        <v>45</v>
      </c>
      <c r="E50" s="29"/>
      <c r="F50" s="28" t="s">
        <v>32</v>
      </c>
      <c r="G50" s="20"/>
      <c r="H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outlineLevel="1" x14ac:dyDescent="0.2">
      <c r="A51" s="21"/>
      <c r="B51" s="21"/>
      <c r="C51" s="63" t="s">
        <v>70</v>
      </c>
      <c r="D51" s="36">
        <v>35</v>
      </c>
      <c r="E51" s="29"/>
      <c r="F51" s="28" t="s">
        <v>32</v>
      </c>
      <c r="G51" s="20"/>
      <c r="H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outlineLevel="1" x14ac:dyDescent="0.2">
      <c r="A52" s="21"/>
      <c r="B52" s="21"/>
      <c r="C52" s="63" t="s">
        <v>77</v>
      </c>
      <c r="D52" s="36">
        <v>35</v>
      </c>
      <c r="E52" s="29"/>
      <c r="F52" s="28" t="s">
        <v>32</v>
      </c>
      <c r="G52" s="20"/>
      <c r="H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outlineLevel="1" x14ac:dyDescent="0.2">
      <c r="A53" s="21"/>
      <c r="B53" s="21"/>
      <c r="C53" s="63" t="s">
        <v>93</v>
      </c>
      <c r="D53" s="35">
        <v>0.1</v>
      </c>
      <c r="E53" s="29"/>
      <c r="F53" s="28" t="s">
        <v>90</v>
      </c>
      <c r="G53" s="20"/>
      <c r="H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outlineLevel="1" x14ac:dyDescent="0.2">
      <c r="A54" s="21"/>
      <c r="B54" s="21"/>
      <c r="C54" s="66" t="s">
        <v>67</v>
      </c>
      <c r="D54" s="36">
        <f>(D47*D40/1000)*(1+D53)</f>
        <v>30.69</v>
      </c>
      <c r="E54" s="21"/>
      <c r="F54" s="27" t="s">
        <v>35</v>
      </c>
      <c r="G54" s="20"/>
      <c r="H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outlineLevel="1" x14ac:dyDescent="0.2">
      <c r="A55" s="21"/>
      <c r="B55" s="21"/>
      <c r="C55" s="21" t="s">
        <v>103</v>
      </c>
      <c r="D55" s="36">
        <v>10</v>
      </c>
      <c r="E55" s="21"/>
      <c r="F55" s="28" t="s">
        <v>37</v>
      </c>
      <c r="G55" s="20" t="s">
        <v>76</v>
      </c>
      <c r="H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outlineLevel="1" x14ac:dyDescent="0.2">
      <c r="A56" s="21"/>
      <c r="B56" s="21"/>
      <c r="C56" s="21" t="s">
        <v>94</v>
      </c>
      <c r="D56" s="36">
        <f>IF(OR(D85="FIC",D85="COMBO"),0,D55)</f>
        <v>10</v>
      </c>
      <c r="E56" s="29"/>
      <c r="F56" s="28" t="s">
        <v>37</v>
      </c>
      <c r="G56" s="20" t="s">
        <v>76</v>
      </c>
      <c r="H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outlineLevel="1" x14ac:dyDescent="0.2">
      <c r="A57" s="21"/>
      <c r="B57" s="21"/>
      <c r="C57" s="21" t="s">
        <v>66</v>
      </c>
      <c r="D57" s="36">
        <v>3.5</v>
      </c>
      <c r="E57" s="21"/>
      <c r="F57" s="21" t="s">
        <v>71</v>
      </c>
      <c r="G57" s="65" t="s">
        <v>75</v>
      </c>
      <c r="H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outlineLevel="1" x14ac:dyDescent="0.2">
      <c r="A58" s="21"/>
      <c r="B58" s="21"/>
      <c r="C58" s="21" t="s">
        <v>15</v>
      </c>
      <c r="D58" s="64">
        <v>2.5</v>
      </c>
      <c r="E58" s="21"/>
      <c r="F58" s="27" t="s">
        <v>40</v>
      </c>
      <c r="G58" s="65" t="s">
        <v>75</v>
      </c>
      <c r="H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outlineLevel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61" customFormat="1" ht="15.75" customHeight="1" outlineLevel="1" x14ac:dyDescent="0.2">
      <c r="A60" s="60"/>
      <c r="B60" s="62" t="s">
        <v>79</v>
      </c>
      <c r="C60" s="60"/>
      <c r="D60" s="60"/>
      <c r="E60" s="60"/>
      <c r="F60" s="60"/>
      <c r="G60" s="60" t="s">
        <v>72</v>
      </c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spans="1:27" ht="15.75" customHeight="1" outlineLevel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outlineLevel="1" x14ac:dyDescent="0.2">
      <c r="A62" s="1"/>
      <c r="B62" s="1"/>
      <c r="C62" s="21" t="s">
        <v>91</v>
      </c>
      <c r="D62" s="69">
        <f>0.0560958904038811</f>
        <v>5.6095890403881098E-2</v>
      </c>
      <c r="E62" s="21"/>
      <c r="F62" s="27" t="s">
        <v>78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outlineLevel="1" x14ac:dyDescent="0.2">
      <c r="A63" s="1"/>
      <c r="B63" s="1"/>
      <c r="C63" s="21" t="s">
        <v>95</v>
      </c>
      <c r="D63" s="69">
        <f>IF(OR(D85="FIP",D85="COMBO"),D83,0)</f>
        <v>0</v>
      </c>
      <c r="E63" s="21"/>
      <c r="F63" s="2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outlineLevel="1" x14ac:dyDescent="0.2">
      <c r="A64" s="1"/>
      <c r="B64" s="1"/>
      <c r="C64" s="21" t="s">
        <v>88</v>
      </c>
      <c r="D64" s="69">
        <v>0.30399999999999999</v>
      </c>
      <c r="E64" s="21"/>
      <c r="F64" s="27" t="s">
        <v>78</v>
      </c>
      <c r="G64" s="1"/>
      <c r="H64" s="1">
        <v>3.8889321999999997E-2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8" ht="15.75" customHeight="1" outlineLevel="1" x14ac:dyDescent="0.2">
      <c r="A65" s="1"/>
      <c r="B65" s="1"/>
      <c r="C65" s="21" t="s">
        <v>84</v>
      </c>
      <c r="D65" s="35">
        <f>IF(OR(D85="FIC",D85="COMBO"), D84,0%)</f>
        <v>0</v>
      </c>
      <c r="E65" s="21"/>
      <c r="F65" s="2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8" ht="15.75" customHeight="1" outlineLevel="1" x14ac:dyDescent="0.2">
      <c r="A66" s="21"/>
      <c r="B66" s="21"/>
      <c r="C66" s="21" t="s">
        <v>41</v>
      </c>
      <c r="D66" s="35">
        <v>0.3</v>
      </c>
      <c r="E66" s="21"/>
      <c r="F66" s="27"/>
      <c r="G66" s="21"/>
      <c r="H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8" ht="15.75" customHeight="1" outlineLevel="1" x14ac:dyDescent="0.2">
      <c r="A67" s="21"/>
      <c r="B67" s="21"/>
      <c r="C67" s="21" t="s">
        <v>42</v>
      </c>
      <c r="D67" s="36">
        <f>D43*D66</f>
        <v>133.0622648571422</v>
      </c>
      <c r="E67" s="21"/>
      <c r="F67" s="27" t="s">
        <v>24</v>
      </c>
      <c r="G67" s="21"/>
      <c r="H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8" ht="15.75" customHeight="1" outlineLevel="1" x14ac:dyDescent="0.2">
      <c r="A68" s="21"/>
      <c r="B68" s="21"/>
      <c r="C68" s="21" t="s">
        <v>43</v>
      </c>
      <c r="D68" s="35">
        <v>0</v>
      </c>
      <c r="E68" s="21"/>
      <c r="F68" s="27"/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8" ht="15.75" customHeight="1" outlineLevel="1" x14ac:dyDescent="0.2">
      <c r="A69" s="21"/>
      <c r="B69" s="21"/>
      <c r="C69" s="21" t="s">
        <v>107</v>
      </c>
      <c r="D69" s="67">
        <v>0.35</v>
      </c>
      <c r="E69" s="21"/>
      <c r="F69" s="27"/>
      <c r="G69" s="2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8" ht="15.75" customHeight="1" x14ac:dyDescent="0.2">
      <c r="A70" s="21"/>
      <c r="B70" s="21"/>
      <c r="C70" s="21"/>
      <c r="D70" s="75"/>
      <c r="E70" s="21"/>
      <c r="F70" s="27"/>
      <c r="G70" s="2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8" ht="15.75" customHeight="1" x14ac:dyDescent="0.2">
      <c r="A71" s="21"/>
      <c r="B71" s="21"/>
      <c r="G71" s="2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8" s="71" customFormat="1" ht="22" customHeight="1" x14ac:dyDescent="0.2">
      <c r="A72" s="70"/>
      <c r="B72" s="73" t="s">
        <v>83</v>
      </c>
      <c r="G72" s="70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spans="1:28" ht="16" x14ac:dyDescent="0.2">
      <c r="A73" s="21"/>
      <c r="B73" s="74"/>
      <c r="G73" s="2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8" ht="16" x14ac:dyDescent="0.2">
      <c r="A74" s="21"/>
      <c r="B74" s="74"/>
      <c r="G74" s="21"/>
      <c r="H74" s="18">
        <v>2022</v>
      </c>
      <c r="I74" s="18">
        <v>2023</v>
      </c>
      <c r="J74" s="18">
        <v>2024</v>
      </c>
      <c r="K74" s="18">
        <v>2025</v>
      </c>
      <c r="L74" s="18">
        <v>2026</v>
      </c>
      <c r="M74" s="18">
        <v>2027</v>
      </c>
      <c r="N74" s="18">
        <v>2028</v>
      </c>
      <c r="O74" s="18">
        <v>2029</v>
      </c>
      <c r="P74" s="18">
        <v>2030</v>
      </c>
      <c r="Q74" s="18">
        <v>2031</v>
      </c>
      <c r="R74" s="18">
        <v>2032</v>
      </c>
      <c r="T74" s="1"/>
      <c r="U74" s="1"/>
      <c r="V74" s="1"/>
      <c r="W74" s="1"/>
      <c r="X74" s="1"/>
      <c r="Y74" s="1"/>
      <c r="Z74" s="1"/>
      <c r="AA74" s="1"/>
      <c r="AB74" s="1"/>
    </row>
    <row r="75" spans="1:28" ht="16" x14ac:dyDescent="0.2">
      <c r="A75" s="21"/>
      <c r="B75" s="74"/>
      <c r="C75" t="s">
        <v>89</v>
      </c>
      <c r="D75" s="68">
        <f>I75</f>
        <v>116.125</v>
      </c>
      <c r="F75" t="s">
        <v>40</v>
      </c>
      <c r="G75" s="21" t="s">
        <v>87</v>
      </c>
      <c r="H75" s="76">
        <v>281.375</v>
      </c>
      <c r="I75" s="76">
        <v>116.125</v>
      </c>
      <c r="J75" s="76">
        <v>82</v>
      </c>
      <c r="K75" s="76">
        <v>84.875</v>
      </c>
      <c r="L75" s="76">
        <f>K75*(L77/K77)</f>
        <v>77.911571207430342</v>
      </c>
      <c r="M75" s="76">
        <f>L75*(M77/L77)</f>
        <v>71.355437306501557</v>
      </c>
      <c r="N75" s="76">
        <f>M75</f>
        <v>71.355437306501557</v>
      </c>
      <c r="O75" s="76">
        <f t="shared" ref="O75:R75" si="0">N75</f>
        <v>71.355437306501557</v>
      </c>
      <c r="P75" s="76">
        <f t="shared" si="0"/>
        <v>71.355437306501557</v>
      </c>
      <c r="Q75" s="76">
        <f t="shared" si="0"/>
        <v>71.355437306501557</v>
      </c>
      <c r="R75" s="76">
        <f t="shared" si="0"/>
        <v>71.355437306501557</v>
      </c>
      <c r="T75" s="1"/>
      <c r="U75" s="1"/>
      <c r="V75" s="1"/>
      <c r="W75" s="1"/>
      <c r="X75" s="1"/>
      <c r="Y75" s="1"/>
      <c r="Z75" s="1"/>
      <c r="AA75" s="1"/>
      <c r="AB75" s="1"/>
    </row>
    <row r="76" spans="1:28" ht="16" x14ac:dyDescent="0.2">
      <c r="A76" s="21"/>
      <c r="B76" s="74"/>
      <c r="C76" t="s">
        <v>83</v>
      </c>
      <c r="D76" s="68">
        <f>H76</f>
        <v>304</v>
      </c>
      <c r="F76" t="s">
        <v>40</v>
      </c>
      <c r="G76" s="21"/>
      <c r="H76" s="76">
        <f>D64*1000</f>
        <v>304</v>
      </c>
      <c r="I76" s="76">
        <f>H76*I75/H75</f>
        <v>125.46246112838739</v>
      </c>
      <c r="J76" s="76">
        <f t="shared" ref="J76:R76" si="1">I76*J75/I75</f>
        <v>88.593513993780547</v>
      </c>
      <c r="K76" s="76">
        <f t="shared" si="1"/>
        <v>91.699689027099069</v>
      </c>
      <c r="L76" s="76">
        <f t="shared" si="1"/>
        <v>84.176339927352544</v>
      </c>
      <c r="M76" s="76">
        <f t="shared" si="1"/>
        <v>77.093035774949698</v>
      </c>
      <c r="N76" s="76">
        <f t="shared" si="1"/>
        <v>77.093035774949698</v>
      </c>
      <c r="O76" s="76">
        <f t="shared" si="1"/>
        <v>77.093035774949698</v>
      </c>
      <c r="P76" s="76">
        <f t="shared" si="1"/>
        <v>77.093035774949698</v>
      </c>
      <c r="Q76" s="76">
        <f t="shared" si="1"/>
        <v>77.093035774949698</v>
      </c>
      <c r="R76" s="76">
        <f t="shared" si="1"/>
        <v>77.093035774949698</v>
      </c>
      <c r="T76" s="1"/>
      <c r="U76" s="1"/>
      <c r="V76" s="1"/>
      <c r="W76" s="1"/>
      <c r="X76" s="1"/>
      <c r="Y76" s="1"/>
      <c r="Z76" s="1"/>
      <c r="AA76" s="1"/>
      <c r="AB76" s="1"/>
    </row>
    <row r="77" spans="1:28" ht="16" x14ac:dyDescent="0.2">
      <c r="A77" s="21"/>
      <c r="B77" s="74"/>
      <c r="C77" t="s">
        <v>85</v>
      </c>
      <c r="D77" s="68">
        <f>I77</f>
        <v>37.670999999999999</v>
      </c>
      <c r="F77" t="s">
        <v>40</v>
      </c>
      <c r="G77" s="21" t="s">
        <v>86</v>
      </c>
      <c r="H77" s="76">
        <v>138.07499999999999</v>
      </c>
      <c r="I77" s="76">
        <v>37.670999999999999</v>
      </c>
      <c r="J77" s="76">
        <v>29.66</v>
      </c>
      <c r="K77" s="76">
        <v>32.299999999999997</v>
      </c>
      <c r="L77" s="76">
        <v>29.65</v>
      </c>
      <c r="M77" s="76">
        <v>27.155000000000001</v>
      </c>
      <c r="N77" s="76">
        <f>M77</f>
        <v>27.155000000000001</v>
      </c>
      <c r="O77" s="76">
        <f t="shared" ref="O77:R77" si="2">N77</f>
        <v>27.155000000000001</v>
      </c>
      <c r="P77" s="76">
        <f t="shared" si="2"/>
        <v>27.155000000000001</v>
      </c>
      <c r="Q77" s="76">
        <f t="shared" si="2"/>
        <v>27.155000000000001</v>
      </c>
      <c r="R77" s="76">
        <f t="shared" si="2"/>
        <v>27.155000000000001</v>
      </c>
      <c r="T77" s="1"/>
      <c r="U77" s="1"/>
      <c r="V77" s="1"/>
      <c r="W77" s="1"/>
      <c r="X77" s="1"/>
      <c r="Y77" s="1"/>
      <c r="Z77" s="1"/>
      <c r="AA77" s="1"/>
      <c r="AB77" s="1"/>
    </row>
    <row r="78" spans="1:28" ht="16" x14ac:dyDescent="0.2">
      <c r="A78" s="21"/>
      <c r="B78" s="74"/>
      <c r="C78" t="s">
        <v>80</v>
      </c>
      <c r="D78" s="77">
        <f>H78</f>
        <v>56.0958904038811</v>
      </c>
      <c r="F78" t="s">
        <v>40</v>
      </c>
      <c r="G78" s="21"/>
      <c r="H78" s="76">
        <f>D62*1000</f>
        <v>56.0958904038811</v>
      </c>
      <c r="I78" s="78">
        <f>H78</f>
        <v>56.0958904038811</v>
      </c>
      <c r="J78" s="76">
        <f t="shared" ref="J78:R78" si="3">I78*J77/I77</f>
        <v>44.166709388630871</v>
      </c>
      <c r="K78" s="76">
        <f t="shared" si="3"/>
        <v>48.097933690248716</v>
      </c>
      <c r="L78" s="76">
        <f t="shared" si="3"/>
        <v>44.151818387488369</v>
      </c>
      <c r="M78" s="76">
        <f t="shared" si="3"/>
        <v>40.436513602436648</v>
      </c>
      <c r="N78" s="76">
        <f t="shared" si="3"/>
        <v>40.436513602436641</v>
      </c>
      <c r="O78" s="76">
        <f t="shared" si="3"/>
        <v>40.436513602436641</v>
      </c>
      <c r="P78" s="76">
        <f t="shared" si="3"/>
        <v>40.436513602436641</v>
      </c>
      <c r="Q78" s="76">
        <f t="shared" si="3"/>
        <v>40.436513602436641</v>
      </c>
      <c r="R78" s="76">
        <f t="shared" si="3"/>
        <v>40.436513602436641</v>
      </c>
      <c r="T78" s="1"/>
      <c r="U78" s="1"/>
      <c r="V78" s="1"/>
      <c r="W78" s="1"/>
      <c r="X78" s="1"/>
      <c r="Y78" s="1"/>
      <c r="Z78" s="1"/>
      <c r="AA78" s="1"/>
      <c r="AB78" s="1"/>
    </row>
    <row r="79" spans="1:28" ht="16" x14ac:dyDescent="0.2">
      <c r="A79" s="21"/>
      <c r="B79" s="74"/>
      <c r="D79" s="77"/>
      <c r="G79" s="21"/>
      <c r="H79" s="76"/>
      <c r="I79" s="78"/>
      <c r="J79" s="76"/>
      <c r="K79" s="76"/>
      <c r="L79" s="76"/>
      <c r="M79" s="76"/>
      <c r="N79" s="76"/>
      <c r="O79" s="76"/>
      <c r="P79" s="76"/>
      <c r="Q79" s="76"/>
      <c r="R79" s="76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2">
      <c r="A80" s="21"/>
      <c r="B80" s="21"/>
      <c r="G80" s="2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71" customFormat="1" ht="22" customHeight="1" x14ac:dyDescent="0.2">
      <c r="A81" s="70"/>
      <c r="B81" s="73" t="s">
        <v>81</v>
      </c>
      <c r="G81" s="70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</row>
    <row r="82" spans="1:27" ht="16" x14ac:dyDescent="0.2">
      <c r="A82" s="21"/>
      <c r="B82" s="74"/>
      <c r="G82" s="2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" x14ac:dyDescent="0.2">
      <c r="A83" s="21"/>
      <c r="B83" s="74"/>
      <c r="C83" t="s">
        <v>96</v>
      </c>
      <c r="D83" s="35">
        <v>0.15</v>
      </c>
      <c r="G83" s="2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" x14ac:dyDescent="0.2">
      <c r="A84" s="21"/>
      <c r="B84" s="74"/>
      <c r="C84" t="s">
        <v>97</v>
      </c>
      <c r="D84" s="35">
        <v>0.6</v>
      </c>
      <c r="G84" s="2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" x14ac:dyDescent="0.2">
      <c r="A85" s="21"/>
      <c r="B85" s="74"/>
      <c r="C85" t="s">
        <v>82</v>
      </c>
      <c r="D85" s="36" t="s">
        <v>116</v>
      </c>
      <c r="G85" s="2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21"/>
      <c r="B86" s="21"/>
      <c r="C86" s="19"/>
      <c r="D86" s="21"/>
      <c r="E86" s="21"/>
      <c r="F86" s="21"/>
      <c r="G86" s="2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22"/>
      <c r="B87" s="26" t="s">
        <v>98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spans="1:27" ht="9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21"/>
      <c r="B89" s="21"/>
      <c r="C89" s="20"/>
      <c r="D89" s="19"/>
      <c r="E89" s="19"/>
      <c r="F89" s="88" t="s">
        <v>17</v>
      </c>
      <c r="G89" s="89"/>
      <c r="H89" s="18">
        <v>0</v>
      </c>
      <c r="I89" s="18">
        <v>1</v>
      </c>
      <c r="J89" s="18">
        <v>2</v>
      </c>
      <c r="K89" s="18">
        <v>3</v>
      </c>
      <c r="L89" s="18">
        <v>4</v>
      </c>
      <c r="M89" s="18">
        <v>5</v>
      </c>
      <c r="N89" s="18">
        <v>6</v>
      </c>
      <c r="O89" s="18">
        <v>7</v>
      </c>
      <c r="P89" s="18">
        <v>8</v>
      </c>
      <c r="Q89" s="18">
        <v>9</v>
      </c>
      <c r="R89" s="18">
        <v>10</v>
      </c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9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6" t="s">
        <v>16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 t="s">
        <v>31</v>
      </c>
      <c r="D92" s="1" t="s">
        <v>40</v>
      </c>
      <c r="E92" s="1"/>
      <c r="F92" s="1"/>
      <c r="G92" s="1"/>
      <c r="H92" s="44">
        <f t="shared" ref="H92:R92" si="4">IF(OR($D$85="FIC",$D$85="COMBO"),H78*(1-$D$69),H78)</f>
        <v>56.0958904038811</v>
      </c>
      <c r="I92" s="44">
        <f t="shared" si="4"/>
        <v>56.0958904038811</v>
      </c>
      <c r="J92" s="44">
        <f t="shared" si="4"/>
        <v>44.166709388630871</v>
      </c>
      <c r="K92" s="44">
        <f t="shared" si="4"/>
        <v>48.097933690248716</v>
      </c>
      <c r="L92" s="44">
        <f t="shared" si="4"/>
        <v>44.151818387488369</v>
      </c>
      <c r="M92" s="44">
        <f t="shared" si="4"/>
        <v>40.436513602436648</v>
      </c>
      <c r="N92" s="44">
        <f t="shared" si="4"/>
        <v>40.436513602436641</v>
      </c>
      <c r="O92" s="44">
        <f t="shared" si="4"/>
        <v>40.436513602436641</v>
      </c>
      <c r="P92" s="44">
        <f t="shared" si="4"/>
        <v>40.436513602436641</v>
      </c>
      <c r="Q92" s="44">
        <f t="shared" si="4"/>
        <v>40.436513602436641</v>
      </c>
      <c r="R92" s="44">
        <f t="shared" si="4"/>
        <v>40.436513602436641</v>
      </c>
      <c r="S92" s="23"/>
      <c r="T92" s="23"/>
      <c r="U92" s="23"/>
      <c r="V92" s="23"/>
      <c r="W92" s="23"/>
      <c r="X92" s="23"/>
      <c r="Y92" s="23"/>
      <c r="Z92" s="23"/>
      <c r="AA92" s="23"/>
    </row>
    <row r="93" spans="1:27" ht="15.75" customHeight="1" x14ac:dyDescent="0.2">
      <c r="A93" s="1"/>
      <c r="B93" s="1"/>
      <c r="C93" s="1" t="s">
        <v>92</v>
      </c>
      <c r="D93" s="1" t="s">
        <v>40</v>
      </c>
      <c r="E93" s="1"/>
      <c r="F93" s="1"/>
      <c r="G93" s="1"/>
      <c r="H93" s="44">
        <f>H92*(1+$D$68)</f>
        <v>56.0958904038811</v>
      </c>
      <c r="I93" s="44">
        <f t="shared" ref="I93:R93" si="5">I92*(1+$D$68)</f>
        <v>56.0958904038811</v>
      </c>
      <c r="J93" s="44">
        <f t="shared" si="5"/>
        <v>44.166709388630871</v>
      </c>
      <c r="K93" s="44">
        <f t="shared" si="5"/>
        <v>48.097933690248716</v>
      </c>
      <c r="L93" s="44">
        <f t="shared" si="5"/>
        <v>44.151818387488369</v>
      </c>
      <c r="M93" s="44">
        <f t="shared" si="5"/>
        <v>40.436513602436648</v>
      </c>
      <c r="N93" s="44">
        <f t="shared" si="5"/>
        <v>40.436513602436641</v>
      </c>
      <c r="O93" s="44">
        <f t="shared" si="5"/>
        <v>40.436513602436641</v>
      </c>
      <c r="P93" s="44">
        <f t="shared" si="5"/>
        <v>40.436513602436641</v>
      </c>
      <c r="Q93" s="44">
        <f t="shared" si="5"/>
        <v>40.436513602436641</v>
      </c>
      <c r="R93" s="44">
        <f t="shared" si="5"/>
        <v>40.436513602436641</v>
      </c>
      <c r="S93" s="23"/>
      <c r="T93" s="23"/>
      <c r="U93" s="23"/>
      <c r="V93" s="23"/>
      <c r="W93" s="23"/>
      <c r="X93" s="23"/>
      <c r="Y93" s="23"/>
      <c r="Z93" s="23"/>
      <c r="AA93" s="23"/>
    </row>
    <row r="94" spans="1:27" ht="15.75" customHeight="1" x14ac:dyDescent="0.2">
      <c r="A94" s="1"/>
      <c r="B94" s="1"/>
      <c r="C94" s="1" t="s">
        <v>44</v>
      </c>
      <c r="D94" s="1" t="s">
        <v>18</v>
      </c>
      <c r="E94" s="1"/>
      <c r="F94" s="1"/>
      <c r="G94" s="1"/>
      <c r="H94" s="44"/>
      <c r="I94" s="44">
        <f>IF(OR($D$85="BASE",$D$85="FIP"),$D$67,0)</f>
        <v>133.0622648571422</v>
      </c>
      <c r="J94" s="44">
        <f t="shared" ref="J94:R94" si="6">IF(OR($D$85="BASE",$D$85="FIP"),$D$67,0)</f>
        <v>133.0622648571422</v>
      </c>
      <c r="K94" s="44">
        <f t="shared" si="6"/>
        <v>133.0622648571422</v>
      </c>
      <c r="L94" s="44">
        <f t="shared" si="6"/>
        <v>133.0622648571422</v>
      </c>
      <c r="M94" s="44">
        <f t="shared" si="6"/>
        <v>133.0622648571422</v>
      </c>
      <c r="N94" s="44">
        <f t="shared" si="6"/>
        <v>133.0622648571422</v>
      </c>
      <c r="O94" s="44">
        <f t="shared" si="6"/>
        <v>133.0622648571422</v>
      </c>
      <c r="P94" s="44">
        <f t="shared" si="6"/>
        <v>133.0622648571422</v>
      </c>
      <c r="Q94" s="44">
        <f t="shared" si="6"/>
        <v>133.0622648571422</v>
      </c>
      <c r="R94" s="44">
        <f t="shared" si="6"/>
        <v>133.0622648571422</v>
      </c>
      <c r="S94" s="23"/>
      <c r="T94" s="23"/>
      <c r="U94" s="23"/>
      <c r="V94" s="23"/>
      <c r="W94" s="23"/>
      <c r="X94" s="23"/>
      <c r="Y94" s="23"/>
      <c r="Z94" s="23"/>
      <c r="AA94" s="23"/>
    </row>
    <row r="95" spans="1:27" ht="15.75" customHeight="1" x14ac:dyDescent="0.2">
      <c r="A95" s="1"/>
      <c r="B95" s="1"/>
      <c r="C95" s="42" t="s">
        <v>45</v>
      </c>
      <c r="D95" s="42" t="s">
        <v>18</v>
      </c>
      <c r="E95" s="43"/>
      <c r="F95" s="43"/>
      <c r="G95" s="43"/>
      <c r="H95" s="45"/>
      <c r="I95" s="45">
        <f>$D$43-I94</f>
        <v>310.47861799999851</v>
      </c>
      <c r="J95" s="45">
        <f t="shared" ref="J95:R95" si="7">$D$43-J94</f>
        <v>310.47861799999851</v>
      </c>
      <c r="K95" s="45">
        <f t="shared" si="7"/>
        <v>310.47861799999851</v>
      </c>
      <c r="L95" s="45">
        <f t="shared" si="7"/>
        <v>310.47861799999851</v>
      </c>
      <c r="M95" s="45">
        <f t="shared" si="7"/>
        <v>310.47861799999851</v>
      </c>
      <c r="N95" s="45">
        <f t="shared" si="7"/>
        <v>310.47861799999851</v>
      </c>
      <c r="O95" s="45">
        <f t="shared" si="7"/>
        <v>310.47861799999851</v>
      </c>
      <c r="P95" s="45">
        <f t="shared" si="7"/>
        <v>310.47861799999851</v>
      </c>
      <c r="Q95" s="45">
        <f t="shared" si="7"/>
        <v>310.47861799999851</v>
      </c>
      <c r="R95" s="45">
        <f t="shared" si="7"/>
        <v>310.47861799999851</v>
      </c>
      <c r="S95" s="23"/>
      <c r="T95" s="23"/>
      <c r="U95" s="23"/>
      <c r="V95" s="23"/>
      <c r="W95" s="23"/>
      <c r="X95" s="23"/>
      <c r="Y95" s="23"/>
      <c r="Z95" s="23"/>
      <c r="AA95" s="23"/>
    </row>
    <row r="96" spans="1:27" ht="15.75" customHeight="1" x14ac:dyDescent="0.2">
      <c r="A96" s="9"/>
      <c r="B96" s="9"/>
      <c r="C96" s="9" t="s">
        <v>21</v>
      </c>
      <c r="D96" s="24" t="s">
        <v>35</v>
      </c>
      <c r="E96" s="9"/>
      <c r="F96" s="9"/>
      <c r="G96" s="9"/>
      <c r="H96" s="46">
        <f>(H95*H92+H94*H93)/1000</f>
        <v>0</v>
      </c>
      <c r="I96" s="46">
        <f>(I95*I92+I94*I93)/1000</f>
        <v>24.880820754394829</v>
      </c>
      <c r="J96" s="46">
        <f t="shared" ref="J96:R96" si="8">(J95*J92+J94*J93)/1000</f>
        <v>19.589741275128102</v>
      </c>
      <c r="K96" s="46">
        <f t="shared" si="8"/>
        <v>21.33339997257713</v>
      </c>
      <c r="L96" s="46">
        <f t="shared" si="8"/>
        <v>19.583136507334729</v>
      </c>
      <c r="M96" s="46">
        <f t="shared" si="8"/>
        <v>17.935246942889528</v>
      </c>
      <c r="N96" s="46">
        <f t="shared" si="8"/>
        <v>17.935246942889528</v>
      </c>
      <c r="O96" s="46">
        <f t="shared" si="8"/>
        <v>17.935246942889528</v>
      </c>
      <c r="P96" s="46">
        <f t="shared" si="8"/>
        <v>17.935246942889528</v>
      </c>
      <c r="Q96" s="46">
        <f t="shared" si="8"/>
        <v>17.935246942889528</v>
      </c>
      <c r="R96" s="46">
        <f t="shared" si="8"/>
        <v>17.935246942889528</v>
      </c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5.75" customHeight="1" x14ac:dyDescent="0.2">
      <c r="A97" s="1"/>
      <c r="B97" s="1"/>
      <c r="C97" s="1"/>
      <c r="D97" s="1"/>
      <c r="E97" s="1"/>
      <c r="F97" s="1"/>
      <c r="G97" s="1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23"/>
      <c r="T97" s="23"/>
      <c r="U97" s="23"/>
      <c r="V97" s="23"/>
      <c r="W97" s="23"/>
      <c r="X97" s="23"/>
      <c r="Y97" s="23"/>
      <c r="Z97" s="23"/>
      <c r="AA97" s="23"/>
    </row>
    <row r="98" spans="1:27" ht="15.75" customHeight="1" x14ac:dyDescent="0.2">
      <c r="A98" s="1"/>
      <c r="B98" s="1"/>
      <c r="C98" s="42" t="s">
        <v>117</v>
      </c>
      <c r="D98" s="42" t="s">
        <v>35</v>
      </c>
      <c r="E98" s="42"/>
      <c r="F98" s="42"/>
      <c r="G98" s="42"/>
      <c r="H98" s="45">
        <f>H95*H78*$D$63/1000</f>
        <v>0</v>
      </c>
      <c r="I98" s="45">
        <f t="shared" ref="I98:R98" si="9">I95*I78*$D$63/1000</f>
        <v>0</v>
      </c>
      <c r="J98" s="45">
        <f t="shared" si="9"/>
        <v>0</v>
      </c>
      <c r="K98" s="45">
        <f t="shared" si="9"/>
        <v>0</v>
      </c>
      <c r="L98" s="45">
        <f t="shared" si="9"/>
        <v>0</v>
      </c>
      <c r="M98" s="45">
        <f t="shared" si="9"/>
        <v>0</v>
      </c>
      <c r="N98" s="45">
        <f t="shared" si="9"/>
        <v>0</v>
      </c>
      <c r="O98" s="45">
        <f t="shared" si="9"/>
        <v>0</v>
      </c>
      <c r="P98" s="45">
        <f t="shared" si="9"/>
        <v>0</v>
      </c>
      <c r="Q98" s="45">
        <f t="shared" si="9"/>
        <v>0</v>
      </c>
      <c r="R98" s="45">
        <f t="shared" si="9"/>
        <v>0</v>
      </c>
      <c r="S98" s="23"/>
      <c r="T98" s="23"/>
      <c r="U98" s="23"/>
      <c r="V98" s="23"/>
      <c r="W98" s="23"/>
      <c r="X98" s="23"/>
      <c r="Y98" s="23"/>
      <c r="Z98" s="23"/>
      <c r="AA98" s="23"/>
    </row>
    <row r="99" spans="1:27" ht="15.75" customHeight="1" x14ac:dyDescent="0.2">
      <c r="A99" s="9"/>
      <c r="B99" s="9"/>
      <c r="C99" s="9" t="s">
        <v>105</v>
      </c>
      <c r="D99" s="24" t="s">
        <v>35</v>
      </c>
      <c r="E99" s="9"/>
      <c r="F99" s="9"/>
      <c r="G99" s="9"/>
      <c r="H99" s="46">
        <f>H98+H96</f>
        <v>0</v>
      </c>
      <c r="I99" s="46">
        <f t="shared" ref="I99:R99" si="10">I98+I96</f>
        <v>24.880820754394829</v>
      </c>
      <c r="J99" s="46">
        <f t="shared" si="10"/>
        <v>19.589741275128102</v>
      </c>
      <c r="K99" s="46">
        <f t="shared" si="10"/>
        <v>21.33339997257713</v>
      </c>
      <c r="L99" s="46">
        <f t="shared" si="10"/>
        <v>19.583136507334729</v>
      </c>
      <c r="M99" s="46">
        <f t="shared" si="10"/>
        <v>17.935246942889528</v>
      </c>
      <c r="N99" s="46">
        <f t="shared" si="10"/>
        <v>17.935246942889528</v>
      </c>
      <c r="O99" s="46">
        <f t="shared" si="10"/>
        <v>17.935246942889528</v>
      </c>
      <c r="P99" s="46">
        <f t="shared" si="10"/>
        <v>17.935246942889528</v>
      </c>
      <c r="Q99" s="46">
        <f t="shared" si="10"/>
        <v>17.935246942889528</v>
      </c>
      <c r="R99" s="46">
        <f t="shared" si="10"/>
        <v>17.935246942889528</v>
      </c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6" t="s">
        <v>20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 t="s">
        <v>19</v>
      </c>
      <c r="D102" s="1" t="s">
        <v>35</v>
      </c>
      <c r="E102" s="1"/>
      <c r="F102" s="1"/>
      <c r="G102" s="1"/>
      <c r="H102" s="44">
        <f t="shared" ref="H102:R102" si="11">-($D$58*(H94+H95)/1000)-($D$57*$D$39/1000)</f>
        <v>-0.32900000000000001</v>
      </c>
      <c r="I102" s="44">
        <f t="shared" si="11"/>
        <v>-1.4378522071428517</v>
      </c>
      <c r="J102" s="44">
        <f t="shared" si="11"/>
        <v>-1.4378522071428517</v>
      </c>
      <c r="K102" s="44">
        <f t="shared" si="11"/>
        <v>-1.4378522071428517</v>
      </c>
      <c r="L102" s="44">
        <f t="shared" si="11"/>
        <v>-1.4378522071428517</v>
      </c>
      <c r="M102" s="44">
        <f t="shared" si="11"/>
        <v>-1.4378522071428517</v>
      </c>
      <c r="N102" s="44">
        <f t="shared" si="11"/>
        <v>-1.4378522071428517</v>
      </c>
      <c r="O102" s="44">
        <f t="shared" si="11"/>
        <v>-1.4378522071428517</v>
      </c>
      <c r="P102" s="44">
        <f t="shared" si="11"/>
        <v>-1.4378522071428517</v>
      </c>
      <c r="Q102" s="44">
        <f t="shared" si="11"/>
        <v>-1.4378522071428517</v>
      </c>
      <c r="R102" s="44">
        <f t="shared" si="11"/>
        <v>-1.4378522071428517</v>
      </c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 ht="15.75" customHeight="1" x14ac:dyDescent="0.2">
      <c r="A103" s="1"/>
      <c r="B103" s="1"/>
      <c r="C103" s="42" t="s">
        <v>47</v>
      </c>
      <c r="D103" s="42" t="s">
        <v>35</v>
      </c>
      <c r="E103" s="42"/>
      <c r="F103" s="42"/>
      <c r="G103" s="42"/>
      <c r="H103" s="45">
        <f>-$D$56</f>
        <v>-10</v>
      </c>
      <c r="I103" s="45">
        <f t="shared" ref="I103:R103" si="12">-$D$56</f>
        <v>-10</v>
      </c>
      <c r="J103" s="45">
        <f t="shared" si="12"/>
        <v>-10</v>
      </c>
      <c r="K103" s="45">
        <f t="shared" si="12"/>
        <v>-10</v>
      </c>
      <c r="L103" s="45">
        <f t="shared" si="12"/>
        <v>-10</v>
      </c>
      <c r="M103" s="45">
        <f t="shared" si="12"/>
        <v>-10</v>
      </c>
      <c r="N103" s="45">
        <f t="shared" si="12"/>
        <v>-10</v>
      </c>
      <c r="O103" s="45">
        <f t="shared" si="12"/>
        <v>-10</v>
      </c>
      <c r="P103" s="45">
        <f t="shared" si="12"/>
        <v>-10</v>
      </c>
      <c r="Q103" s="45">
        <f t="shared" si="12"/>
        <v>-10</v>
      </c>
      <c r="R103" s="45">
        <f t="shared" si="12"/>
        <v>-10</v>
      </c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5.75" customHeight="1" x14ac:dyDescent="0.2">
      <c r="A104" s="9"/>
      <c r="B104" s="9"/>
      <c r="C104" s="9" t="s">
        <v>15</v>
      </c>
      <c r="D104" s="9" t="s">
        <v>35</v>
      </c>
      <c r="E104" s="9"/>
      <c r="F104" s="9"/>
      <c r="G104" s="9"/>
      <c r="H104" s="46">
        <f>SUM(H102:H103)</f>
        <v>-10.329000000000001</v>
      </c>
      <c r="I104" s="46">
        <f>SUM(I102:I103)</f>
        <v>-11.437852207142852</v>
      </c>
      <c r="J104" s="46">
        <f t="shared" ref="J104:R104" si="13">SUM(J102:J103)</f>
        <v>-11.437852207142852</v>
      </c>
      <c r="K104" s="46">
        <f t="shared" si="13"/>
        <v>-11.437852207142852</v>
      </c>
      <c r="L104" s="46">
        <f t="shared" si="13"/>
        <v>-11.437852207142852</v>
      </c>
      <c r="M104" s="46">
        <f t="shared" si="13"/>
        <v>-11.437852207142852</v>
      </c>
      <c r="N104" s="46">
        <f t="shared" si="13"/>
        <v>-11.437852207142852</v>
      </c>
      <c r="O104" s="46">
        <f t="shared" si="13"/>
        <v>-11.437852207142852</v>
      </c>
      <c r="P104" s="46">
        <f t="shared" si="13"/>
        <v>-11.437852207142852</v>
      </c>
      <c r="Q104" s="46">
        <f t="shared" si="13"/>
        <v>-11.437852207142852</v>
      </c>
      <c r="R104" s="46">
        <f t="shared" si="13"/>
        <v>-11.437852207142852</v>
      </c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6" t="s">
        <v>50</v>
      </c>
      <c r="C107" s="1"/>
      <c r="D107" s="1"/>
      <c r="E107" s="1"/>
      <c r="F107" s="88" t="s">
        <v>17</v>
      </c>
      <c r="G107" s="90"/>
      <c r="H107" s="18">
        <v>0</v>
      </c>
      <c r="I107" s="18">
        <v>1</v>
      </c>
      <c r="J107" s="18">
        <v>2</v>
      </c>
      <c r="K107" s="18">
        <v>3</v>
      </c>
      <c r="L107" s="18">
        <v>4</v>
      </c>
      <c r="M107" s="18">
        <v>5</v>
      </c>
      <c r="N107" s="18">
        <v>6</v>
      </c>
      <c r="O107" s="18">
        <v>7</v>
      </c>
      <c r="P107" s="18">
        <v>8</v>
      </c>
      <c r="Q107" s="18">
        <v>9</v>
      </c>
      <c r="R107" s="18">
        <v>10</v>
      </c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 t="s">
        <v>16</v>
      </c>
      <c r="D108" s="1" t="s">
        <v>35</v>
      </c>
      <c r="E108" s="1"/>
      <c r="F108" s="1"/>
      <c r="G108" s="1"/>
      <c r="H108" s="44">
        <f>H99</f>
        <v>0</v>
      </c>
      <c r="I108" s="44">
        <f t="shared" ref="I108:R108" si="14">I99</f>
        <v>24.880820754394829</v>
      </c>
      <c r="J108" s="44">
        <f t="shared" si="14"/>
        <v>19.589741275128102</v>
      </c>
      <c r="K108" s="44">
        <f t="shared" si="14"/>
        <v>21.33339997257713</v>
      </c>
      <c r="L108" s="44">
        <f t="shared" si="14"/>
        <v>19.583136507334729</v>
      </c>
      <c r="M108" s="44">
        <f t="shared" si="14"/>
        <v>17.935246942889528</v>
      </c>
      <c r="N108" s="44">
        <f t="shared" si="14"/>
        <v>17.935246942889528</v>
      </c>
      <c r="O108" s="44">
        <f t="shared" si="14"/>
        <v>17.935246942889528</v>
      </c>
      <c r="P108" s="44">
        <f t="shared" si="14"/>
        <v>17.935246942889528</v>
      </c>
      <c r="Q108" s="44">
        <f t="shared" si="14"/>
        <v>17.935246942889528</v>
      </c>
      <c r="R108" s="44">
        <f t="shared" si="14"/>
        <v>17.935246942889528</v>
      </c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2">
      <c r="A109" s="1"/>
      <c r="B109" s="1"/>
      <c r="C109" s="1" t="s">
        <v>15</v>
      </c>
      <c r="D109" s="17" t="s">
        <v>35</v>
      </c>
      <c r="E109" s="1"/>
      <c r="F109" s="1"/>
      <c r="G109" s="1"/>
      <c r="H109" s="44">
        <f t="shared" ref="H109:R109" si="15">H104</f>
        <v>-10.329000000000001</v>
      </c>
      <c r="I109" s="44">
        <f t="shared" si="15"/>
        <v>-11.437852207142852</v>
      </c>
      <c r="J109" s="44">
        <f t="shared" si="15"/>
        <v>-11.437852207142852</v>
      </c>
      <c r="K109" s="44">
        <f t="shared" si="15"/>
        <v>-11.437852207142852</v>
      </c>
      <c r="L109" s="44">
        <f t="shared" si="15"/>
        <v>-11.437852207142852</v>
      </c>
      <c r="M109" s="44">
        <f t="shared" si="15"/>
        <v>-11.437852207142852</v>
      </c>
      <c r="N109" s="44">
        <f t="shared" si="15"/>
        <v>-11.437852207142852</v>
      </c>
      <c r="O109" s="44">
        <f t="shared" si="15"/>
        <v>-11.437852207142852</v>
      </c>
      <c r="P109" s="44">
        <f t="shared" si="15"/>
        <v>-11.437852207142852</v>
      </c>
      <c r="Q109" s="44">
        <f t="shared" si="15"/>
        <v>-11.437852207142852</v>
      </c>
      <c r="R109" s="44">
        <f t="shared" si="15"/>
        <v>-11.437852207142852</v>
      </c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2">
      <c r="A110" s="1"/>
      <c r="B110" s="1"/>
      <c r="C110" s="13" t="s">
        <v>14</v>
      </c>
      <c r="D110" s="13" t="s">
        <v>35</v>
      </c>
      <c r="E110" s="13"/>
      <c r="F110" s="13"/>
      <c r="G110" s="13"/>
      <c r="H110" s="45">
        <f>-D54</f>
        <v>-30.69</v>
      </c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2"/>
      <c r="T110" s="42"/>
      <c r="U110" s="42"/>
      <c r="V110" s="13"/>
      <c r="W110" s="13"/>
      <c r="X110" s="13"/>
      <c r="Y110" s="13"/>
      <c r="Z110" s="13"/>
      <c r="AA110" s="13"/>
    </row>
    <row r="111" spans="1:27" ht="15.75" customHeight="1" x14ac:dyDescent="0.2">
      <c r="A111" s="9"/>
      <c r="B111" s="9"/>
      <c r="C111" s="9" t="s">
        <v>13</v>
      </c>
      <c r="D111" s="9" t="s">
        <v>35</v>
      </c>
      <c r="E111" s="9"/>
      <c r="F111" s="9"/>
      <c r="G111" s="53"/>
      <c r="H111" s="48">
        <f>SUM(H108:H110)</f>
        <v>-41.019000000000005</v>
      </c>
      <c r="I111" s="48">
        <f t="shared" ref="I111:R111" si="16">SUM(I108:I109)</f>
        <v>13.442968547251978</v>
      </c>
      <c r="J111" s="48">
        <f t="shared" si="16"/>
        <v>8.15188906798525</v>
      </c>
      <c r="K111" s="48">
        <f t="shared" si="16"/>
        <v>9.8955477654342783</v>
      </c>
      <c r="L111" s="48">
        <f t="shared" si="16"/>
        <v>8.1452843001918769</v>
      </c>
      <c r="M111" s="48">
        <f t="shared" si="16"/>
        <v>6.4973947357466759</v>
      </c>
      <c r="N111" s="48">
        <f t="shared" si="16"/>
        <v>6.4973947357466759</v>
      </c>
      <c r="O111" s="48">
        <f t="shared" si="16"/>
        <v>6.4973947357466759</v>
      </c>
      <c r="P111" s="48">
        <f t="shared" si="16"/>
        <v>6.4973947357466759</v>
      </c>
      <c r="Q111" s="48">
        <f t="shared" si="16"/>
        <v>6.4973947357466759</v>
      </c>
      <c r="R111" s="48">
        <f t="shared" si="16"/>
        <v>6.4973947357466759</v>
      </c>
      <c r="S111" s="47"/>
      <c r="T111" s="47"/>
      <c r="U111" s="15"/>
      <c r="V111" s="15"/>
      <c r="W111" s="15"/>
      <c r="X111" s="15"/>
      <c r="Y111" s="15"/>
      <c r="Z111" s="15"/>
      <c r="AA111" s="15"/>
    </row>
    <row r="112" spans="1:27" ht="15.75" customHeight="1" x14ac:dyDescent="0.2">
      <c r="A112" s="9"/>
      <c r="B112" s="9"/>
      <c r="C112" s="4" t="s">
        <v>12</v>
      </c>
      <c r="D112" s="4" t="s">
        <v>35</v>
      </c>
      <c r="E112" s="4"/>
      <c r="F112" s="4"/>
      <c r="G112" s="53"/>
      <c r="H112" s="48">
        <f>H111</f>
        <v>-41.019000000000005</v>
      </c>
      <c r="I112" s="48">
        <f t="shared" ref="I112:R112" si="17">I111</f>
        <v>13.442968547251978</v>
      </c>
      <c r="J112" s="48">
        <f t="shared" si="17"/>
        <v>8.15188906798525</v>
      </c>
      <c r="K112" s="48">
        <f t="shared" si="17"/>
        <v>9.8955477654342783</v>
      </c>
      <c r="L112" s="48">
        <f t="shared" si="17"/>
        <v>8.1452843001918769</v>
      </c>
      <c r="M112" s="48">
        <f t="shared" si="17"/>
        <v>6.4973947357466759</v>
      </c>
      <c r="N112" s="48">
        <f t="shared" si="17"/>
        <v>6.4973947357466759</v>
      </c>
      <c r="O112" s="48">
        <f t="shared" si="17"/>
        <v>6.4973947357466759</v>
      </c>
      <c r="P112" s="48">
        <f t="shared" si="17"/>
        <v>6.4973947357466759</v>
      </c>
      <c r="Q112" s="48">
        <f t="shared" si="17"/>
        <v>6.4973947357466759</v>
      </c>
      <c r="R112" s="48">
        <f t="shared" si="17"/>
        <v>6.4973947357466759</v>
      </c>
      <c r="S112" s="25"/>
      <c r="T112" s="25"/>
      <c r="U112" s="14"/>
      <c r="V112" s="14"/>
      <c r="W112" s="14"/>
      <c r="X112" s="14"/>
      <c r="Y112" s="14"/>
      <c r="Z112" s="14"/>
      <c r="AA112" s="14"/>
    </row>
    <row r="113" spans="1:27" ht="15.75" customHeight="1" x14ac:dyDescent="0.2">
      <c r="A113" s="11"/>
      <c r="B113" s="11"/>
      <c r="C113" s="11" t="s">
        <v>11</v>
      </c>
      <c r="D113" s="11" t="s">
        <v>35</v>
      </c>
      <c r="E113" s="11"/>
      <c r="F113" s="11"/>
      <c r="G113" s="11"/>
      <c r="H113" s="44">
        <f>-$D$54/$D$37</f>
        <v>-3.069</v>
      </c>
      <c r="I113" s="44">
        <f t="shared" ref="I113:R113" si="18">-$D$54/$D$37</f>
        <v>-3.069</v>
      </c>
      <c r="J113" s="44">
        <f t="shared" si="18"/>
        <v>-3.069</v>
      </c>
      <c r="K113" s="44">
        <f t="shared" si="18"/>
        <v>-3.069</v>
      </c>
      <c r="L113" s="44">
        <f t="shared" si="18"/>
        <v>-3.069</v>
      </c>
      <c r="M113" s="44">
        <f t="shared" si="18"/>
        <v>-3.069</v>
      </c>
      <c r="N113" s="44">
        <f t="shared" si="18"/>
        <v>-3.069</v>
      </c>
      <c r="O113" s="44">
        <f t="shared" si="18"/>
        <v>-3.069</v>
      </c>
      <c r="P113" s="44">
        <f t="shared" si="18"/>
        <v>-3.069</v>
      </c>
      <c r="Q113" s="44">
        <f t="shared" si="18"/>
        <v>-3.069</v>
      </c>
      <c r="R113" s="44">
        <f t="shared" si="18"/>
        <v>-3.069</v>
      </c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2">
      <c r="A114" s="1"/>
      <c r="B114" s="1"/>
      <c r="C114" s="1" t="s">
        <v>10</v>
      </c>
      <c r="D114" s="1" t="s">
        <v>35</v>
      </c>
      <c r="E114" s="1"/>
      <c r="F114" s="1"/>
      <c r="G114" s="1"/>
      <c r="H114" s="44">
        <f t="shared" ref="H114:R114" si="19">SUM(H112:H113)</f>
        <v>-44.088000000000008</v>
      </c>
      <c r="I114" s="44">
        <f t="shared" si="19"/>
        <v>10.373968547251977</v>
      </c>
      <c r="J114" s="44">
        <f t="shared" si="19"/>
        <v>5.0828890679852501</v>
      </c>
      <c r="K114" s="44">
        <f t="shared" si="19"/>
        <v>6.8265477654342783</v>
      </c>
      <c r="L114" s="44">
        <f t="shared" si="19"/>
        <v>5.0762843001918769</v>
      </c>
      <c r="M114" s="44">
        <f t="shared" si="19"/>
        <v>3.428394735746676</v>
      </c>
      <c r="N114" s="44">
        <f t="shared" si="19"/>
        <v>3.428394735746676</v>
      </c>
      <c r="O114" s="44">
        <f t="shared" si="19"/>
        <v>3.428394735746676</v>
      </c>
      <c r="P114" s="44">
        <f t="shared" si="19"/>
        <v>3.428394735746676</v>
      </c>
      <c r="Q114" s="44">
        <f t="shared" si="19"/>
        <v>3.428394735746676</v>
      </c>
      <c r="R114" s="44">
        <f t="shared" si="19"/>
        <v>3.428394735746676</v>
      </c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2">
      <c r="A115" s="1"/>
      <c r="B115" s="1"/>
      <c r="C115" s="13" t="s">
        <v>9</v>
      </c>
      <c r="D115" s="13" t="s">
        <v>35</v>
      </c>
      <c r="E115" s="13"/>
      <c r="F115" s="13"/>
      <c r="G115" s="42"/>
      <c r="H115" s="45"/>
      <c r="I115" s="45">
        <f t="shared" ref="I115:R115" si="20">-I114*$D$23</f>
        <v>-2.4897524513404745</v>
      </c>
      <c r="J115" s="45">
        <f t="shared" si="20"/>
        <v>-1.2198933763164599</v>
      </c>
      <c r="K115" s="45">
        <f t="shared" si="20"/>
        <v>-1.6383714637042268</v>
      </c>
      <c r="L115" s="45">
        <f t="shared" si="20"/>
        <v>-1.2183082320460503</v>
      </c>
      <c r="M115" s="45">
        <f t="shared" si="20"/>
        <v>-0.82281473657920223</v>
      </c>
      <c r="N115" s="45">
        <f t="shared" si="20"/>
        <v>-0.82281473657920223</v>
      </c>
      <c r="O115" s="45">
        <f t="shared" si="20"/>
        <v>-0.82281473657920223</v>
      </c>
      <c r="P115" s="45">
        <f t="shared" si="20"/>
        <v>-0.82281473657920223</v>
      </c>
      <c r="Q115" s="45">
        <f t="shared" si="20"/>
        <v>-0.82281473657920223</v>
      </c>
      <c r="R115" s="45">
        <f t="shared" si="20"/>
        <v>-0.82281473657920223</v>
      </c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.75" customHeight="1" x14ac:dyDescent="0.2">
      <c r="A116" s="1"/>
      <c r="B116" s="1"/>
      <c r="C116" s="9" t="s">
        <v>8</v>
      </c>
      <c r="D116" s="9" t="s">
        <v>35</v>
      </c>
      <c r="E116" s="9"/>
      <c r="F116" s="1"/>
      <c r="G116" s="1"/>
      <c r="H116" s="46">
        <f>H114</f>
        <v>-44.088000000000008</v>
      </c>
      <c r="I116" s="46">
        <f t="shared" ref="I116:R116" si="21">SUM(I112,I115)</f>
        <v>10.953216095911504</v>
      </c>
      <c r="J116" s="46">
        <f t="shared" si="21"/>
        <v>6.9319956916687904</v>
      </c>
      <c r="K116" s="46">
        <f t="shared" si="21"/>
        <v>8.2571763017300519</v>
      </c>
      <c r="L116" s="46">
        <f t="shared" si="21"/>
        <v>6.9269760681458266</v>
      </c>
      <c r="M116" s="46">
        <f t="shared" si="21"/>
        <v>5.6745799991674737</v>
      </c>
      <c r="N116" s="46">
        <f t="shared" si="21"/>
        <v>5.6745799991674737</v>
      </c>
      <c r="O116" s="46">
        <f t="shared" si="21"/>
        <v>5.6745799991674737</v>
      </c>
      <c r="P116" s="46">
        <f t="shared" si="21"/>
        <v>5.6745799991674737</v>
      </c>
      <c r="Q116" s="46">
        <f t="shared" si="21"/>
        <v>5.6745799991674737</v>
      </c>
      <c r="R116" s="46">
        <f t="shared" si="21"/>
        <v>5.6745799991674737</v>
      </c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2">
      <c r="A117" s="1"/>
      <c r="B117" s="1"/>
      <c r="C117" s="1" t="s">
        <v>7</v>
      </c>
      <c r="D117" s="1" t="s">
        <v>35</v>
      </c>
      <c r="E117" s="1"/>
      <c r="F117" s="1"/>
      <c r="G117" s="1"/>
      <c r="H117" s="44">
        <f t="shared" ref="H117:R117" si="22">H116/(1+$D$22)^H89</f>
        <v>-44.088000000000008</v>
      </c>
      <c r="I117" s="44">
        <f t="shared" si="22"/>
        <v>10.04101032927176</v>
      </c>
      <c r="J117" s="44">
        <f t="shared" si="22"/>
        <v>5.8254543038975823</v>
      </c>
      <c r="K117" s="44">
        <f t="shared" si="22"/>
        <v>6.3611967903433966</v>
      </c>
      <c r="L117" s="44">
        <f t="shared" si="22"/>
        <v>4.8920030460362192</v>
      </c>
      <c r="M117" s="44">
        <f t="shared" si="22"/>
        <v>3.6737746447402286</v>
      </c>
      <c r="N117" s="44">
        <f t="shared" si="22"/>
        <v>3.3678153368144201</v>
      </c>
      <c r="O117" s="44">
        <f t="shared" si="22"/>
        <v>3.0873369326344253</v>
      </c>
      <c r="P117" s="44">
        <f t="shared" si="22"/>
        <v>2.8302173315192594</v>
      </c>
      <c r="Q117" s="44">
        <f t="shared" si="22"/>
        <v>2.5945111655814488</v>
      </c>
      <c r="R117" s="44">
        <f t="shared" si="22"/>
        <v>2.378435081066141</v>
      </c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2">
      <c r="A118" s="1"/>
      <c r="B118" s="1"/>
      <c r="C118" s="1" t="s">
        <v>51</v>
      </c>
      <c r="D118" s="1" t="s">
        <v>35</v>
      </c>
      <c r="E118" s="1"/>
      <c r="F118" s="1"/>
      <c r="G118" s="1"/>
      <c r="H118" s="44">
        <f>H117</f>
        <v>-44.088000000000008</v>
      </c>
      <c r="I118" s="44">
        <f>H118+I117</f>
        <v>-34.046989670728252</v>
      </c>
      <c r="J118" s="44">
        <f t="shared" ref="J118:R118" si="23">I118+J117</f>
        <v>-28.221535366830668</v>
      </c>
      <c r="K118" s="44">
        <f t="shared" si="23"/>
        <v>-21.860338576487273</v>
      </c>
      <c r="L118" s="44">
        <f t="shared" si="23"/>
        <v>-16.968335530451053</v>
      </c>
      <c r="M118" s="44">
        <f t="shared" si="23"/>
        <v>-13.294560885710824</v>
      </c>
      <c r="N118" s="44">
        <f t="shared" si="23"/>
        <v>-9.9267455488964043</v>
      </c>
      <c r="O118" s="44">
        <f t="shared" si="23"/>
        <v>-6.8394086162619789</v>
      </c>
      <c r="P118" s="44">
        <f t="shared" si="23"/>
        <v>-4.0091912847427196</v>
      </c>
      <c r="Q118" s="44">
        <f t="shared" si="23"/>
        <v>-1.4146801191612708</v>
      </c>
      <c r="R118" s="44">
        <f t="shared" si="23"/>
        <v>0.9637549619048702</v>
      </c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2">
      <c r="A119" s="1"/>
      <c r="B119" s="1"/>
      <c r="C119" s="1"/>
      <c r="D119" s="1"/>
      <c r="E119" s="1"/>
      <c r="F119" s="1"/>
      <c r="G119" s="1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44">
        <f>IF(H118&lt;0,(13-6)/12,0)</f>
        <v>0.58333333333333337</v>
      </c>
      <c r="I120" s="44">
        <f>IF(COUNTIF($H120:H120,"=0")=COUNTA($H120:H120),IF(I118&lt;0,(13-6)/12,0),IF(I118&lt;0,1,IF(I118=0,IF(H118&gt;=0,0,1),IF(H118&lt;0,-H118/I117,0))))</f>
        <v>1</v>
      </c>
      <c r="J120" s="44">
        <f>IF(COUNTIF($H120:I120,"=0")=COUNTA($H120:I120),IF(J118&lt;0,(13-6)/12,0),IF(J118&lt;0,1,IF(J118=0,IF(I118&gt;=0,0,1),IF(I118&lt;0,-I118/J117,0))))</f>
        <v>1</v>
      </c>
      <c r="K120" s="44">
        <f>IF(COUNTIF($H120:J120,"=0")=COUNTA($H120:J120),IF(K118&lt;0,(13-6)/12,0),IF(K118&lt;0,1,IF(K118=0,IF(J118&gt;=0,0,1),IF(J118&lt;0,-J118/K117,0))))</f>
        <v>1</v>
      </c>
      <c r="L120" s="44">
        <f>IF(COUNTIF($H120:K120,"=0")=COUNTA($H120:K120),IF(L118&lt;0,(13-6)/12,0),IF(L118&lt;0,1,IF(L118=0,IF(K118&gt;=0,0,1),IF(K118&lt;0,-K118/L117,0))))</f>
        <v>1</v>
      </c>
      <c r="M120" s="44">
        <f>IF(COUNTIF($H120:L120,"=0")=COUNTA($H120:L120),IF(M118&lt;0,(13-6)/12,0),IF(M118&lt;0,1,IF(M118=0,IF(L118&gt;=0,0,1),IF(L118&lt;0,-L118/M117,0))))</f>
        <v>1</v>
      </c>
      <c r="N120" s="44">
        <f>IF(COUNTIF($H120:M120,"=0")=COUNTA($H120:M120),IF(N118&lt;0,(13-6)/12,0),IF(N118&lt;0,1,IF(N118=0,IF(M118&gt;=0,0,1),IF(M118&lt;0,-M118/N117,0))))</f>
        <v>1</v>
      </c>
      <c r="O120" s="44">
        <f>IF(COUNTIF($H120:N120,"=0")=COUNTA($H120:N120),IF(O118&lt;0,(13-6)/12,0),IF(O118&lt;0,1,IF(O118=0,IF(N118&gt;=0,0,1),IF(N118&lt;0,-N118/O117,0))))</f>
        <v>1</v>
      </c>
      <c r="P120" s="44">
        <f>IF(COUNTIF($H120:O120,"=0")=COUNTA($H120:O120),IF(P118&lt;0,(13-6)/12,0),IF(P118&lt;0,1,IF(P118=0,IF(O118&gt;=0,0,1),IF(O118&lt;0,-O118/P117,0))))</f>
        <v>1</v>
      </c>
      <c r="Q120" s="44">
        <f>IF(COUNTIF($H120:P120,"=0")=COUNTA($H120:P120),IF(Q118&lt;0,(13-6)/12,0),IF(Q118&lt;0,1,IF(Q118=0,IF(P118&gt;=0,0,1),IF(P118&lt;0,-P118/Q117,0))))</f>
        <v>1</v>
      </c>
      <c r="R120" s="44">
        <f>IF(COUNTIF($H120:Q120,"=0")=COUNTA($H120:Q120),IF(R118&lt;0,(13-6)/12,0),IF(R118&lt;0,1,IF(R118=0,IF(Q118&gt;=0,0,1),IF(Q118&lt;0,-Q118/R117,0))))</f>
        <v>0.59479450602752459</v>
      </c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2">
      <c r="A121" s="1"/>
      <c r="B121" s="1"/>
      <c r="C121" s="1"/>
      <c r="D121" s="1" t="s">
        <v>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6" t="s">
        <v>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5" t="s">
        <v>4</v>
      </c>
      <c r="D123" s="4" t="s">
        <v>35</v>
      </c>
      <c r="E123" s="3"/>
      <c r="F123" s="81">
        <f>NPV(D22,I116:R116)+H116</f>
        <v>0.96375496190488263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9"/>
      <c r="C125" s="5" t="s">
        <v>3</v>
      </c>
      <c r="D125" s="4" t="s">
        <v>35</v>
      </c>
      <c r="E125" s="3"/>
      <c r="F125" s="80">
        <f>SUM(H117:R117)</f>
        <v>0.9637549619048702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7">
        <f>NPV(F129,I116:R116)+H116</f>
        <v>5.3857280569502564E-5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6" t="s">
        <v>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5" t="s">
        <v>1</v>
      </c>
      <c r="D129" s="4" t="s">
        <v>0</v>
      </c>
      <c r="E129" s="3"/>
      <c r="F129" s="2">
        <v>9.6473474225974631E-2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6" t="s">
        <v>48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49" t="s">
        <v>49</v>
      </c>
      <c r="D133" s="50" t="s">
        <v>27</v>
      </c>
      <c r="E133" s="51"/>
      <c r="F133" s="52">
        <f>IF(SUM(H120:R120)=0,0,SUM(H120:R120))</f>
        <v>10.178127839360858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22"/>
      <c r="B137" s="26" t="s">
        <v>99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21"/>
      <c r="B139" s="21"/>
      <c r="C139" s="20"/>
      <c r="D139" s="19"/>
      <c r="E139" s="19"/>
      <c r="F139" s="88" t="s">
        <v>17</v>
      </c>
      <c r="G139" s="90"/>
      <c r="H139" s="18">
        <v>0</v>
      </c>
      <c r="I139" s="18">
        <v>1</v>
      </c>
      <c r="J139" s="18">
        <v>2</v>
      </c>
      <c r="K139" s="18">
        <v>3</v>
      </c>
      <c r="L139" s="18">
        <v>4</v>
      </c>
      <c r="M139" s="18">
        <v>5</v>
      </c>
      <c r="N139" s="18">
        <v>6</v>
      </c>
      <c r="O139" s="18">
        <v>7</v>
      </c>
      <c r="P139" s="18">
        <v>8</v>
      </c>
      <c r="Q139" s="18">
        <v>9</v>
      </c>
      <c r="R139" s="18">
        <v>10</v>
      </c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9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6" t="s">
        <v>100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 t="s">
        <v>31</v>
      </c>
      <c r="D142" s="1" t="s">
        <v>40</v>
      </c>
      <c r="E142" s="1"/>
      <c r="F142" s="1"/>
      <c r="G142" s="1"/>
      <c r="H142" s="44">
        <f>H92</f>
        <v>56.0958904038811</v>
      </c>
      <c r="I142" s="44">
        <f t="shared" ref="I142:R142" si="24">I92</f>
        <v>56.0958904038811</v>
      </c>
      <c r="J142" s="44">
        <f t="shared" si="24"/>
        <v>44.166709388630871</v>
      </c>
      <c r="K142" s="44">
        <f t="shared" si="24"/>
        <v>48.097933690248716</v>
      </c>
      <c r="L142" s="44">
        <f t="shared" si="24"/>
        <v>44.151818387488369</v>
      </c>
      <c r="M142" s="44">
        <f t="shared" si="24"/>
        <v>40.436513602436648</v>
      </c>
      <c r="N142" s="44">
        <f t="shared" si="24"/>
        <v>40.436513602436641</v>
      </c>
      <c r="O142" s="44">
        <f t="shared" si="24"/>
        <v>40.436513602436641</v>
      </c>
      <c r="P142" s="44">
        <f t="shared" si="24"/>
        <v>40.436513602436641</v>
      </c>
      <c r="Q142" s="44">
        <f t="shared" si="24"/>
        <v>40.436513602436641</v>
      </c>
      <c r="R142" s="44">
        <f t="shared" si="24"/>
        <v>40.436513602436641</v>
      </c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 ht="15.75" customHeight="1" x14ac:dyDescent="0.2">
      <c r="A143" s="1"/>
      <c r="B143" s="1"/>
      <c r="C143" s="1" t="s">
        <v>101</v>
      </c>
      <c r="D143" s="1" t="s">
        <v>18</v>
      </c>
      <c r="E143" s="1"/>
      <c r="F143" s="1"/>
      <c r="G143" s="1"/>
      <c r="H143" s="44">
        <f>IF(OR($D$85="BASE",$D$85="FIP"),0,H95+H94)</f>
        <v>0</v>
      </c>
      <c r="I143" s="44">
        <f>IF(OR($D$85="BASE",$D$85="FIP"),0,I95+I94)</f>
        <v>0</v>
      </c>
      <c r="J143" s="44">
        <f t="shared" ref="J143:R143" si="25">IF(OR($D$85="BASE",$D$85="FIP"),0,J95+J94)</f>
        <v>0</v>
      </c>
      <c r="K143" s="44">
        <f t="shared" si="25"/>
        <v>0</v>
      </c>
      <c r="L143" s="44">
        <f t="shared" si="25"/>
        <v>0</v>
      </c>
      <c r="M143" s="44">
        <f t="shared" si="25"/>
        <v>0</v>
      </c>
      <c r="N143" s="44">
        <f t="shared" si="25"/>
        <v>0</v>
      </c>
      <c r="O143" s="44">
        <f t="shared" si="25"/>
        <v>0</v>
      </c>
      <c r="P143" s="44">
        <f t="shared" si="25"/>
        <v>0</v>
      </c>
      <c r="Q143" s="44">
        <f t="shared" si="25"/>
        <v>0</v>
      </c>
      <c r="R143" s="44">
        <f t="shared" si="25"/>
        <v>0</v>
      </c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 ht="15.75" customHeight="1" x14ac:dyDescent="0.2">
      <c r="A144" s="1"/>
      <c r="B144" s="1"/>
      <c r="C144" s="1" t="s">
        <v>104</v>
      </c>
      <c r="D144" s="79" t="s">
        <v>35</v>
      </c>
      <c r="E144" s="1"/>
      <c r="F144" s="1"/>
      <c r="G144" s="1"/>
      <c r="H144" s="44">
        <f>-H142*H143/1000</f>
        <v>0</v>
      </c>
      <c r="I144" s="44">
        <f t="shared" ref="I144:R144" si="26">-I142*I143/1000</f>
        <v>0</v>
      </c>
      <c r="J144" s="44">
        <f t="shared" si="26"/>
        <v>0</v>
      </c>
      <c r="K144" s="44">
        <f t="shared" si="26"/>
        <v>0</v>
      </c>
      <c r="L144" s="44">
        <f t="shared" si="26"/>
        <v>0</v>
      </c>
      <c r="M144" s="44">
        <f t="shared" si="26"/>
        <v>0</v>
      </c>
      <c r="N144" s="44">
        <f t="shared" si="26"/>
        <v>0</v>
      </c>
      <c r="O144" s="44">
        <f t="shared" si="26"/>
        <v>0</v>
      </c>
      <c r="P144" s="44">
        <f t="shared" si="26"/>
        <v>0</v>
      </c>
      <c r="Q144" s="44">
        <f t="shared" si="26"/>
        <v>0</v>
      </c>
      <c r="R144" s="44">
        <f t="shared" si="26"/>
        <v>0</v>
      </c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 ht="15.75" customHeight="1" x14ac:dyDescent="0.2">
      <c r="A145" s="1"/>
      <c r="B145" s="1"/>
      <c r="C145" s="1" t="s">
        <v>15</v>
      </c>
      <c r="D145" s="79" t="s">
        <v>35</v>
      </c>
      <c r="E145" s="1"/>
      <c r="F145" s="1"/>
      <c r="G145" s="1"/>
      <c r="H145" s="44">
        <f>-($D$58*H143/1000)</f>
        <v>0</v>
      </c>
      <c r="I145" s="44">
        <f t="shared" ref="I145:R145" si="27">-($D$58*I143/1000)</f>
        <v>0</v>
      </c>
      <c r="J145" s="44">
        <f t="shared" si="27"/>
        <v>0</v>
      </c>
      <c r="K145" s="44">
        <f t="shared" si="27"/>
        <v>0</v>
      </c>
      <c r="L145" s="44">
        <f t="shared" si="27"/>
        <v>0</v>
      </c>
      <c r="M145" s="44">
        <f t="shared" si="27"/>
        <v>0</v>
      </c>
      <c r="N145" s="44">
        <f t="shared" si="27"/>
        <v>0</v>
      </c>
      <c r="O145" s="44">
        <f t="shared" si="27"/>
        <v>0</v>
      </c>
      <c r="P145" s="44">
        <f t="shared" si="27"/>
        <v>0</v>
      </c>
      <c r="Q145" s="44">
        <f t="shared" si="27"/>
        <v>0</v>
      </c>
      <c r="R145" s="44">
        <f t="shared" si="27"/>
        <v>0</v>
      </c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 ht="15.75" customHeight="1" x14ac:dyDescent="0.2">
      <c r="A146" s="1"/>
      <c r="B146" s="1"/>
      <c r="C146" s="42" t="s">
        <v>47</v>
      </c>
      <c r="D146" s="42" t="s">
        <v>35</v>
      </c>
      <c r="E146" s="43"/>
      <c r="F146" s="43"/>
      <c r="G146" s="43"/>
      <c r="H146" s="45">
        <f t="shared" ref="H146:R146" si="28">IF(H139=0,0,IF(OR($D$85="FIC",$D$85="COMBO"),-$D$55,0))</f>
        <v>0</v>
      </c>
      <c r="I146" s="45">
        <f t="shared" si="28"/>
        <v>0</v>
      </c>
      <c r="J146" s="45">
        <f t="shared" si="28"/>
        <v>0</v>
      </c>
      <c r="K146" s="45">
        <f t="shared" si="28"/>
        <v>0</v>
      </c>
      <c r="L146" s="45">
        <f t="shared" si="28"/>
        <v>0</v>
      </c>
      <c r="M146" s="45">
        <f t="shared" si="28"/>
        <v>0</v>
      </c>
      <c r="N146" s="45">
        <f t="shared" si="28"/>
        <v>0</v>
      </c>
      <c r="O146" s="45">
        <f t="shared" si="28"/>
        <v>0</v>
      </c>
      <c r="P146" s="45">
        <f t="shared" si="28"/>
        <v>0</v>
      </c>
      <c r="Q146" s="45">
        <f t="shared" si="28"/>
        <v>0</v>
      </c>
      <c r="R146" s="45">
        <f t="shared" si="28"/>
        <v>0</v>
      </c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 ht="15.75" customHeight="1" x14ac:dyDescent="0.2">
      <c r="A147" s="9"/>
      <c r="B147" s="9"/>
      <c r="C147" s="9" t="s">
        <v>15</v>
      </c>
      <c r="D147" s="24" t="s">
        <v>35</v>
      </c>
      <c r="E147" s="9"/>
      <c r="F147" s="9"/>
      <c r="G147" s="9"/>
      <c r="H147" s="46">
        <f>H144+H145+H146</f>
        <v>0</v>
      </c>
      <c r="I147" s="46">
        <f t="shared" ref="I147:R147" si="29">I144+I145+I146</f>
        <v>0</v>
      </c>
      <c r="J147" s="46">
        <f t="shared" si="29"/>
        <v>0</v>
      </c>
      <c r="K147" s="46">
        <f t="shared" si="29"/>
        <v>0</v>
      </c>
      <c r="L147" s="46">
        <f t="shared" si="29"/>
        <v>0</v>
      </c>
      <c r="M147" s="46">
        <f t="shared" si="29"/>
        <v>0</v>
      </c>
      <c r="N147" s="46">
        <f t="shared" si="29"/>
        <v>0</v>
      </c>
      <c r="O147" s="46">
        <f t="shared" si="29"/>
        <v>0</v>
      </c>
      <c r="P147" s="46">
        <f t="shared" si="29"/>
        <v>0</v>
      </c>
      <c r="Q147" s="46">
        <f t="shared" si="29"/>
        <v>0</v>
      </c>
      <c r="R147" s="46">
        <f t="shared" si="29"/>
        <v>0</v>
      </c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6" t="s">
        <v>105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 t="s">
        <v>31</v>
      </c>
      <c r="D150" s="1" t="s">
        <v>40</v>
      </c>
      <c r="E150" s="1"/>
      <c r="F150" s="1"/>
      <c r="G150" s="1"/>
      <c r="H150" s="44">
        <f>H78</f>
        <v>56.0958904038811</v>
      </c>
      <c r="I150" s="44">
        <f t="shared" ref="I150:R150" si="30">I78</f>
        <v>56.0958904038811</v>
      </c>
      <c r="J150" s="44">
        <f t="shared" si="30"/>
        <v>44.166709388630871</v>
      </c>
      <c r="K150" s="44">
        <f t="shared" si="30"/>
        <v>48.097933690248716</v>
      </c>
      <c r="L150" s="44">
        <f t="shared" si="30"/>
        <v>44.151818387488369</v>
      </c>
      <c r="M150" s="44">
        <f t="shared" si="30"/>
        <v>40.436513602436648</v>
      </c>
      <c r="N150" s="44">
        <f t="shared" si="30"/>
        <v>40.436513602436641</v>
      </c>
      <c r="O150" s="44">
        <f t="shared" si="30"/>
        <v>40.436513602436641</v>
      </c>
      <c r="P150" s="44">
        <f t="shared" si="30"/>
        <v>40.436513602436641</v>
      </c>
      <c r="Q150" s="44">
        <f t="shared" si="30"/>
        <v>40.436513602436641</v>
      </c>
      <c r="R150" s="44">
        <f t="shared" si="30"/>
        <v>40.436513602436641</v>
      </c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 ht="15.75" customHeight="1" x14ac:dyDescent="0.2">
      <c r="A151" s="1"/>
      <c r="B151" s="1"/>
      <c r="C151" s="1" t="s">
        <v>102</v>
      </c>
      <c r="D151" s="1" t="s">
        <v>18</v>
      </c>
      <c r="E151" s="1"/>
      <c r="F151" s="1"/>
      <c r="G151" s="1"/>
      <c r="H151" s="44">
        <f t="shared" ref="H151:R151" si="31">H143</f>
        <v>0</v>
      </c>
      <c r="I151" s="44">
        <f t="shared" si="31"/>
        <v>0</v>
      </c>
      <c r="J151" s="44">
        <f t="shared" si="31"/>
        <v>0</v>
      </c>
      <c r="K151" s="44">
        <f t="shared" si="31"/>
        <v>0</v>
      </c>
      <c r="L151" s="44">
        <f t="shared" si="31"/>
        <v>0</v>
      </c>
      <c r="M151" s="44">
        <f t="shared" si="31"/>
        <v>0</v>
      </c>
      <c r="N151" s="44">
        <f t="shared" si="31"/>
        <v>0</v>
      </c>
      <c r="O151" s="44">
        <f t="shared" si="31"/>
        <v>0</v>
      </c>
      <c r="P151" s="44">
        <f t="shared" si="31"/>
        <v>0</v>
      </c>
      <c r="Q151" s="44">
        <f t="shared" si="31"/>
        <v>0</v>
      </c>
      <c r="R151" s="44">
        <f t="shared" si="31"/>
        <v>0</v>
      </c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 ht="15.75" customHeight="1" x14ac:dyDescent="0.2">
      <c r="A152" s="1"/>
      <c r="B152" s="1"/>
      <c r="C152" s="1" t="s">
        <v>106</v>
      </c>
      <c r="D152" s="1" t="s">
        <v>35</v>
      </c>
      <c r="E152" s="1"/>
      <c r="F152" s="1"/>
      <c r="G152" s="1"/>
      <c r="H152" s="44">
        <f t="shared" ref="H152:R152" si="32">H150*H151/1000</f>
        <v>0</v>
      </c>
      <c r="I152" s="44">
        <f t="shared" si="32"/>
        <v>0</v>
      </c>
      <c r="J152" s="44">
        <f t="shared" si="32"/>
        <v>0</v>
      </c>
      <c r="K152" s="44">
        <f t="shared" si="32"/>
        <v>0</v>
      </c>
      <c r="L152" s="44">
        <f t="shared" si="32"/>
        <v>0</v>
      </c>
      <c r="M152" s="44">
        <f t="shared" si="32"/>
        <v>0</v>
      </c>
      <c r="N152" s="44">
        <f t="shared" si="32"/>
        <v>0</v>
      </c>
      <c r="O152" s="44">
        <f t="shared" si="32"/>
        <v>0</v>
      </c>
      <c r="P152" s="44">
        <f t="shared" si="32"/>
        <v>0</v>
      </c>
      <c r="Q152" s="44">
        <f t="shared" si="32"/>
        <v>0</v>
      </c>
      <c r="R152" s="44">
        <f t="shared" si="32"/>
        <v>0</v>
      </c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 ht="15.75" customHeight="1" x14ac:dyDescent="0.2">
      <c r="A153" s="1"/>
      <c r="B153" s="1"/>
      <c r="C153" s="42" t="s">
        <v>47</v>
      </c>
      <c r="D153" s="42" t="s">
        <v>35</v>
      </c>
      <c r="E153" s="42"/>
      <c r="F153" s="42"/>
      <c r="G153" s="42"/>
      <c r="H153" s="45">
        <f t="shared" ref="H153:R153" si="33">IF(H139=0,0,IF(OR($D$85="FIC",$D$85="COMBO"),+$D$55*$D$65,0))</f>
        <v>0</v>
      </c>
      <c r="I153" s="45">
        <f t="shared" si="33"/>
        <v>0</v>
      </c>
      <c r="J153" s="45">
        <f t="shared" si="33"/>
        <v>0</v>
      </c>
      <c r="K153" s="45">
        <f t="shared" si="33"/>
        <v>0</v>
      </c>
      <c r="L153" s="45">
        <f t="shared" si="33"/>
        <v>0</v>
      </c>
      <c r="M153" s="45">
        <f t="shared" si="33"/>
        <v>0</v>
      </c>
      <c r="N153" s="45">
        <f t="shared" si="33"/>
        <v>0</v>
      </c>
      <c r="O153" s="45">
        <f t="shared" si="33"/>
        <v>0</v>
      </c>
      <c r="P153" s="45">
        <f t="shared" si="33"/>
        <v>0</v>
      </c>
      <c r="Q153" s="45">
        <f t="shared" si="33"/>
        <v>0</v>
      </c>
      <c r="R153" s="45">
        <f t="shared" si="33"/>
        <v>0</v>
      </c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5.75" customHeight="1" x14ac:dyDescent="0.2">
      <c r="A154" s="9"/>
      <c r="B154" s="9"/>
      <c r="C154" s="9" t="s">
        <v>21</v>
      </c>
      <c r="D154" s="9" t="s">
        <v>35</v>
      </c>
      <c r="E154" s="9"/>
      <c r="F154" s="9"/>
      <c r="G154" s="9"/>
      <c r="H154" s="46">
        <f>H152+H153</f>
        <v>0</v>
      </c>
      <c r="I154" s="46">
        <f>I152+I153</f>
        <v>0</v>
      </c>
      <c r="J154" s="46">
        <f t="shared" ref="J154:R154" si="34">J152+J153</f>
        <v>0</v>
      </c>
      <c r="K154" s="46">
        <f t="shared" si="34"/>
        <v>0</v>
      </c>
      <c r="L154" s="46">
        <f t="shared" si="34"/>
        <v>0</v>
      </c>
      <c r="M154" s="46">
        <f t="shared" si="34"/>
        <v>0</v>
      </c>
      <c r="N154" s="46">
        <f t="shared" si="34"/>
        <v>0</v>
      </c>
      <c r="O154" s="46">
        <f t="shared" si="34"/>
        <v>0</v>
      </c>
      <c r="P154" s="46">
        <f t="shared" si="34"/>
        <v>0</v>
      </c>
      <c r="Q154" s="46">
        <f t="shared" si="34"/>
        <v>0</v>
      </c>
      <c r="R154" s="46">
        <f t="shared" si="34"/>
        <v>0</v>
      </c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42" t="s">
        <v>117</v>
      </c>
      <c r="D156" s="42" t="s">
        <v>35</v>
      </c>
      <c r="E156" s="42"/>
      <c r="F156" s="42"/>
      <c r="G156" s="42"/>
      <c r="H156" s="45">
        <f>H151*H150*$D$63/1000</f>
        <v>0</v>
      </c>
      <c r="I156" s="45">
        <f t="shared" ref="I156:R156" si="35">I151*I150*$D$63/1000</f>
        <v>0</v>
      </c>
      <c r="J156" s="45">
        <f t="shared" si="35"/>
        <v>0</v>
      </c>
      <c r="K156" s="45">
        <f t="shared" si="35"/>
        <v>0</v>
      </c>
      <c r="L156" s="45">
        <f t="shared" si="35"/>
        <v>0</v>
      </c>
      <c r="M156" s="45">
        <f t="shared" si="35"/>
        <v>0</v>
      </c>
      <c r="N156" s="45">
        <f t="shared" si="35"/>
        <v>0</v>
      </c>
      <c r="O156" s="45">
        <f t="shared" si="35"/>
        <v>0</v>
      </c>
      <c r="P156" s="45">
        <f t="shared" si="35"/>
        <v>0</v>
      </c>
      <c r="Q156" s="45">
        <f t="shared" si="35"/>
        <v>0</v>
      </c>
      <c r="R156" s="45">
        <f t="shared" si="35"/>
        <v>0</v>
      </c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 ht="15.75" customHeight="1" x14ac:dyDescent="0.2">
      <c r="A157" s="9"/>
      <c r="B157" s="9"/>
      <c r="C157" s="9" t="s">
        <v>105</v>
      </c>
      <c r="D157" s="24" t="s">
        <v>35</v>
      </c>
      <c r="E157" s="9"/>
      <c r="F157" s="9"/>
      <c r="G157" s="9"/>
      <c r="H157" s="46">
        <f>H156+H154</f>
        <v>0</v>
      </c>
      <c r="I157" s="46">
        <f t="shared" ref="I157" si="36">I156+I154</f>
        <v>0</v>
      </c>
      <c r="J157" s="46">
        <f t="shared" ref="J157" si="37">J156+J154</f>
        <v>0</v>
      </c>
      <c r="K157" s="46">
        <f t="shared" ref="K157" si="38">K156+K154</f>
        <v>0</v>
      </c>
      <c r="L157" s="46">
        <f t="shared" ref="L157" si="39">L156+L154</f>
        <v>0</v>
      </c>
      <c r="M157" s="46">
        <f t="shared" ref="M157" si="40">M156+M154</f>
        <v>0</v>
      </c>
      <c r="N157" s="46">
        <f t="shared" ref="N157" si="41">N156+N154</f>
        <v>0</v>
      </c>
      <c r="O157" s="46">
        <f t="shared" ref="O157" si="42">O156+O154</f>
        <v>0</v>
      </c>
      <c r="P157" s="46">
        <f t="shared" ref="P157" si="43">P156+P154</f>
        <v>0</v>
      </c>
      <c r="Q157" s="46">
        <f t="shared" ref="Q157" si="44">Q156+Q154</f>
        <v>0</v>
      </c>
      <c r="R157" s="46">
        <f t="shared" ref="R157" si="45">R156+R154</f>
        <v>0</v>
      </c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6" t="s">
        <v>50</v>
      </c>
      <c r="C159" s="1"/>
      <c r="D159" s="1"/>
      <c r="E159" s="1"/>
      <c r="F159" s="88" t="s">
        <v>17</v>
      </c>
      <c r="G159" s="90"/>
      <c r="H159" s="18">
        <v>0</v>
      </c>
      <c r="I159" s="18">
        <v>1</v>
      </c>
      <c r="J159" s="18">
        <v>2</v>
      </c>
      <c r="K159" s="18">
        <v>3</v>
      </c>
      <c r="L159" s="18">
        <v>4</v>
      </c>
      <c r="M159" s="18">
        <v>5</v>
      </c>
      <c r="N159" s="18">
        <v>6</v>
      </c>
      <c r="O159" s="18">
        <v>7</v>
      </c>
      <c r="P159" s="18">
        <v>8</v>
      </c>
      <c r="Q159" s="18">
        <v>9</v>
      </c>
      <c r="R159" s="18">
        <v>10</v>
      </c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 t="s">
        <v>16</v>
      </c>
      <c r="D160" s="1" t="s">
        <v>35</v>
      </c>
      <c r="E160" s="1"/>
      <c r="F160" s="1"/>
      <c r="G160" s="1"/>
      <c r="H160" s="44">
        <f>H157</f>
        <v>0</v>
      </c>
      <c r="I160" s="44">
        <f t="shared" ref="I160:R160" si="46">I157</f>
        <v>0</v>
      </c>
      <c r="J160" s="44">
        <f t="shared" si="46"/>
        <v>0</v>
      </c>
      <c r="K160" s="44">
        <f t="shared" si="46"/>
        <v>0</v>
      </c>
      <c r="L160" s="44">
        <f t="shared" si="46"/>
        <v>0</v>
      </c>
      <c r="M160" s="44">
        <f t="shared" si="46"/>
        <v>0</v>
      </c>
      <c r="N160" s="44">
        <f t="shared" si="46"/>
        <v>0</v>
      </c>
      <c r="O160" s="44">
        <f t="shared" si="46"/>
        <v>0</v>
      </c>
      <c r="P160" s="44">
        <f t="shared" si="46"/>
        <v>0</v>
      </c>
      <c r="Q160" s="44">
        <f t="shared" si="46"/>
        <v>0</v>
      </c>
      <c r="R160" s="44">
        <f t="shared" si="46"/>
        <v>0</v>
      </c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2">
      <c r="A161" s="1"/>
      <c r="B161" s="1"/>
      <c r="C161" s="1" t="s">
        <v>15</v>
      </c>
      <c r="D161" s="17" t="s">
        <v>35</v>
      </c>
      <c r="E161" s="1"/>
      <c r="F161" s="1"/>
      <c r="G161" s="1"/>
      <c r="H161" s="44">
        <f>H147</f>
        <v>0</v>
      </c>
      <c r="I161" s="44">
        <f t="shared" ref="I161:R161" si="47">I147</f>
        <v>0</v>
      </c>
      <c r="J161" s="44">
        <f t="shared" si="47"/>
        <v>0</v>
      </c>
      <c r="K161" s="44">
        <f t="shared" si="47"/>
        <v>0</v>
      </c>
      <c r="L161" s="44">
        <f t="shared" si="47"/>
        <v>0</v>
      </c>
      <c r="M161" s="44">
        <f t="shared" si="47"/>
        <v>0</v>
      </c>
      <c r="N161" s="44">
        <f t="shared" si="47"/>
        <v>0</v>
      </c>
      <c r="O161" s="44">
        <f t="shared" si="47"/>
        <v>0</v>
      </c>
      <c r="P161" s="44">
        <f t="shared" si="47"/>
        <v>0</v>
      </c>
      <c r="Q161" s="44">
        <f t="shared" si="47"/>
        <v>0</v>
      </c>
      <c r="R161" s="44">
        <f t="shared" si="47"/>
        <v>0</v>
      </c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2">
      <c r="A162" s="1"/>
      <c r="B162" s="1"/>
      <c r="C162" s="13" t="s">
        <v>14</v>
      </c>
      <c r="D162" s="13" t="s">
        <v>35</v>
      </c>
      <c r="E162" s="13"/>
      <c r="F162" s="13"/>
      <c r="G162" s="13"/>
      <c r="H162" s="45">
        <f>-D107</f>
        <v>0</v>
      </c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2"/>
      <c r="T162" s="42"/>
      <c r="U162" s="42"/>
      <c r="V162" s="13"/>
      <c r="W162" s="13"/>
      <c r="X162" s="13"/>
      <c r="Y162" s="13"/>
      <c r="Z162" s="13"/>
      <c r="AA162" s="13"/>
    </row>
    <row r="163" spans="1:27" ht="15.75" customHeight="1" x14ac:dyDescent="0.2">
      <c r="A163" s="9"/>
      <c r="B163" s="9"/>
      <c r="C163" s="9" t="s">
        <v>13</v>
      </c>
      <c r="D163" s="9" t="s">
        <v>35</v>
      </c>
      <c r="E163" s="9"/>
      <c r="F163" s="9"/>
      <c r="G163" s="53"/>
      <c r="H163" s="48">
        <f>SUM(H160:H162)</f>
        <v>0</v>
      </c>
      <c r="I163" s="48">
        <f>SUM(I160:I161)</f>
        <v>0</v>
      </c>
      <c r="J163" s="48">
        <f t="shared" ref="J163:R163" si="48">SUM(J160:J161)</f>
        <v>0</v>
      </c>
      <c r="K163" s="48">
        <f t="shared" si="48"/>
        <v>0</v>
      </c>
      <c r="L163" s="48">
        <f t="shared" si="48"/>
        <v>0</v>
      </c>
      <c r="M163" s="48">
        <f t="shared" si="48"/>
        <v>0</v>
      </c>
      <c r="N163" s="48">
        <f t="shared" si="48"/>
        <v>0</v>
      </c>
      <c r="O163" s="48">
        <f t="shared" si="48"/>
        <v>0</v>
      </c>
      <c r="P163" s="48">
        <f t="shared" si="48"/>
        <v>0</v>
      </c>
      <c r="Q163" s="48">
        <f t="shared" si="48"/>
        <v>0</v>
      </c>
      <c r="R163" s="48">
        <f t="shared" si="48"/>
        <v>0</v>
      </c>
      <c r="S163" s="47"/>
      <c r="T163" s="47"/>
      <c r="U163" s="15"/>
      <c r="V163" s="15"/>
      <c r="W163" s="15"/>
      <c r="X163" s="15"/>
      <c r="Y163" s="15"/>
      <c r="Z163" s="15"/>
      <c r="AA163" s="15"/>
    </row>
    <row r="164" spans="1:27" ht="15.75" customHeight="1" x14ac:dyDescent="0.2">
      <c r="A164" s="9"/>
      <c r="B164" s="9"/>
      <c r="C164" s="4" t="s">
        <v>12</v>
      </c>
      <c r="D164" s="4" t="s">
        <v>35</v>
      </c>
      <c r="E164" s="4"/>
      <c r="F164" s="4"/>
      <c r="G164" s="53"/>
      <c r="H164" s="48">
        <f>H163</f>
        <v>0</v>
      </c>
      <c r="I164" s="48">
        <f t="shared" ref="I164:R164" si="49">I163</f>
        <v>0</v>
      </c>
      <c r="J164" s="48">
        <f t="shared" si="49"/>
        <v>0</v>
      </c>
      <c r="K164" s="48">
        <f t="shared" si="49"/>
        <v>0</v>
      </c>
      <c r="L164" s="48">
        <f t="shared" si="49"/>
        <v>0</v>
      </c>
      <c r="M164" s="48">
        <f t="shared" si="49"/>
        <v>0</v>
      </c>
      <c r="N164" s="48">
        <f t="shared" si="49"/>
        <v>0</v>
      </c>
      <c r="O164" s="48">
        <f t="shared" si="49"/>
        <v>0</v>
      </c>
      <c r="P164" s="48">
        <f t="shared" si="49"/>
        <v>0</v>
      </c>
      <c r="Q164" s="48">
        <f t="shared" si="49"/>
        <v>0</v>
      </c>
      <c r="R164" s="48">
        <f t="shared" si="49"/>
        <v>0</v>
      </c>
      <c r="S164" s="25"/>
      <c r="T164" s="25"/>
      <c r="U164" s="14"/>
      <c r="V164" s="14"/>
      <c r="W164" s="14"/>
      <c r="X164" s="14"/>
      <c r="Y164" s="14"/>
      <c r="Z164" s="14"/>
      <c r="AA164" s="14"/>
    </row>
    <row r="165" spans="1:27" ht="15.75" customHeight="1" x14ac:dyDescent="0.2">
      <c r="A165" s="11"/>
      <c r="B165" s="11"/>
      <c r="C165" s="11" t="s">
        <v>11</v>
      </c>
      <c r="D165" s="11" t="s">
        <v>35</v>
      </c>
      <c r="E165" s="11"/>
      <c r="F165" s="11"/>
      <c r="G165" s="11"/>
      <c r="H165" s="44">
        <f>0</f>
        <v>0</v>
      </c>
      <c r="I165" s="44">
        <f>0</f>
        <v>0</v>
      </c>
      <c r="J165" s="44">
        <f>0</f>
        <v>0</v>
      </c>
      <c r="K165" s="44">
        <f>0</f>
        <v>0</v>
      </c>
      <c r="L165" s="44">
        <f>0</f>
        <v>0</v>
      </c>
      <c r="M165" s="44">
        <f>0</f>
        <v>0</v>
      </c>
      <c r="N165" s="44">
        <f>0</f>
        <v>0</v>
      </c>
      <c r="O165" s="44">
        <f>0</f>
        <v>0</v>
      </c>
      <c r="P165" s="44">
        <f>0</f>
        <v>0</v>
      </c>
      <c r="Q165" s="44">
        <f>0</f>
        <v>0</v>
      </c>
      <c r="R165" s="44">
        <f>0</f>
        <v>0</v>
      </c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2">
      <c r="A166" s="1"/>
      <c r="B166" s="1"/>
      <c r="C166" s="1" t="s">
        <v>10</v>
      </c>
      <c r="D166" s="1" t="s">
        <v>35</v>
      </c>
      <c r="E166" s="1"/>
      <c r="F166" s="1"/>
      <c r="G166" s="1"/>
      <c r="H166" s="44">
        <f t="shared" ref="H166:R166" si="50">SUM(H164:H165)</f>
        <v>0</v>
      </c>
      <c r="I166" s="44">
        <f t="shared" si="50"/>
        <v>0</v>
      </c>
      <c r="J166" s="44">
        <f t="shared" si="50"/>
        <v>0</v>
      </c>
      <c r="K166" s="44">
        <f t="shared" si="50"/>
        <v>0</v>
      </c>
      <c r="L166" s="44">
        <f t="shared" si="50"/>
        <v>0</v>
      </c>
      <c r="M166" s="44">
        <f t="shared" si="50"/>
        <v>0</v>
      </c>
      <c r="N166" s="44">
        <f t="shared" si="50"/>
        <v>0</v>
      </c>
      <c r="O166" s="44">
        <f t="shared" si="50"/>
        <v>0</v>
      </c>
      <c r="P166" s="44">
        <f t="shared" si="50"/>
        <v>0</v>
      </c>
      <c r="Q166" s="44">
        <f t="shared" si="50"/>
        <v>0</v>
      </c>
      <c r="R166" s="44">
        <f t="shared" si="50"/>
        <v>0</v>
      </c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2">
      <c r="A167" s="1"/>
      <c r="B167" s="1"/>
      <c r="C167" s="13" t="s">
        <v>9</v>
      </c>
      <c r="D167" s="13" t="s">
        <v>35</v>
      </c>
      <c r="E167" s="13"/>
      <c r="F167" s="13"/>
      <c r="G167" s="42"/>
      <c r="H167" s="45"/>
      <c r="I167" s="45">
        <f t="shared" ref="I167:R167" si="51">-I166*$D$23</f>
        <v>0</v>
      </c>
      <c r="J167" s="45">
        <f t="shared" si="51"/>
        <v>0</v>
      </c>
      <c r="K167" s="45">
        <f t="shared" si="51"/>
        <v>0</v>
      </c>
      <c r="L167" s="45">
        <f t="shared" si="51"/>
        <v>0</v>
      </c>
      <c r="M167" s="45">
        <f t="shared" si="51"/>
        <v>0</v>
      </c>
      <c r="N167" s="45">
        <f t="shared" si="51"/>
        <v>0</v>
      </c>
      <c r="O167" s="45">
        <f t="shared" si="51"/>
        <v>0</v>
      </c>
      <c r="P167" s="45">
        <f t="shared" si="51"/>
        <v>0</v>
      </c>
      <c r="Q167" s="45">
        <f t="shared" si="51"/>
        <v>0</v>
      </c>
      <c r="R167" s="45">
        <f t="shared" si="51"/>
        <v>0</v>
      </c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customHeight="1" x14ac:dyDescent="0.2">
      <c r="A168" s="1"/>
      <c r="B168" s="1"/>
      <c r="C168" s="9" t="s">
        <v>8</v>
      </c>
      <c r="D168" s="9" t="s">
        <v>35</v>
      </c>
      <c r="E168" s="9"/>
      <c r="F168" s="1"/>
      <c r="G168" s="1"/>
      <c r="H168" s="46">
        <f>H166</f>
        <v>0</v>
      </c>
      <c r="I168" s="46">
        <f t="shared" ref="I168:R168" si="52">SUM(I164,I167)</f>
        <v>0</v>
      </c>
      <c r="J168" s="46">
        <f t="shared" si="52"/>
        <v>0</v>
      </c>
      <c r="K168" s="46">
        <f t="shared" si="52"/>
        <v>0</v>
      </c>
      <c r="L168" s="46">
        <f t="shared" si="52"/>
        <v>0</v>
      </c>
      <c r="M168" s="46">
        <f t="shared" si="52"/>
        <v>0</v>
      </c>
      <c r="N168" s="46">
        <f t="shared" si="52"/>
        <v>0</v>
      </c>
      <c r="O168" s="46">
        <f t="shared" si="52"/>
        <v>0</v>
      </c>
      <c r="P168" s="46">
        <f t="shared" si="52"/>
        <v>0</v>
      </c>
      <c r="Q168" s="46">
        <f t="shared" si="52"/>
        <v>0</v>
      </c>
      <c r="R168" s="46">
        <f t="shared" si="52"/>
        <v>0</v>
      </c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2">
      <c r="A169" s="1"/>
      <c r="B169" s="1"/>
      <c r="C169" s="1" t="s">
        <v>7</v>
      </c>
      <c r="D169" s="1" t="s">
        <v>35</v>
      </c>
      <c r="E169" s="1"/>
      <c r="F169" s="1"/>
      <c r="G169" s="1"/>
      <c r="H169" s="44">
        <f t="shared" ref="H169:R169" si="53">H168/(1+$D$22)^H139</f>
        <v>0</v>
      </c>
      <c r="I169" s="44">
        <f t="shared" si="53"/>
        <v>0</v>
      </c>
      <c r="J169" s="44">
        <f t="shared" si="53"/>
        <v>0</v>
      </c>
      <c r="K169" s="44">
        <f t="shared" si="53"/>
        <v>0</v>
      </c>
      <c r="L169" s="44">
        <f t="shared" si="53"/>
        <v>0</v>
      </c>
      <c r="M169" s="44">
        <f t="shared" si="53"/>
        <v>0</v>
      </c>
      <c r="N169" s="44">
        <f t="shared" si="53"/>
        <v>0</v>
      </c>
      <c r="O169" s="44">
        <f t="shared" si="53"/>
        <v>0</v>
      </c>
      <c r="P169" s="44">
        <f t="shared" si="53"/>
        <v>0</v>
      </c>
      <c r="Q169" s="44">
        <f t="shared" si="53"/>
        <v>0</v>
      </c>
      <c r="R169" s="44">
        <f t="shared" si="53"/>
        <v>0</v>
      </c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2">
      <c r="A170" s="1"/>
      <c r="B170" s="1"/>
      <c r="C170" s="1" t="s">
        <v>51</v>
      </c>
      <c r="D170" s="1" t="s">
        <v>35</v>
      </c>
      <c r="E170" s="1"/>
      <c r="F170" s="1"/>
      <c r="G170" s="1"/>
      <c r="H170" s="44">
        <f>H169</f>
        <v>0</v>
      </c>
      <c r="I170" s="44">
        <f>H170+I169</f>
        <v>0</v>
      </c>
      <c r="J170" s="44">
        <f t="shared" ref="J170:R170" si="54">I170+J169</f>
        <v>0</v>
      </c>
      <c r="K170" s="44">
        <f t="shared" si="54"/>
        <v>0</v>
      </c>
      <c r="L170" s="44">
        <f t="shared" si="54"/>
        <v>0</v>
      </c>
      <c r="M170" s="44">
        <f t="shared" si="54"/>
        <v>0</v>
      </c>
      <c r="N170" s="44">
        <f t="shared" si="54"/>
        <v>0</v>
      </c>
      <c r="O170" s="44">
        <f t="shared" si="54"/>
        <v>0</v>
      </c>
      <c r="P170" s="44">
        <f t="shared" si="54"/>
        <v>0</v>
      </c>
      <c r="Q170" s="44">
        <f t="shared" si="54"/>
        <v>0</v>
      </c>
      <c r="R170" s="44">
        <f t="shared" si="54"/>
        <v>0</v>
      </c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44">
        <f>IF(H170&lt;0,(13-6)/12,0)</f>
        <v>0</v>
      </c>
      <c r="I172" s="44">
        <f>IF(COUNTIF($H172:H172,"=0")=COUNTA($H172:H172),IF(I170&lt;0,(13-6)/12,0),IF(I170&lt;0,1,IF(I170=0,IF(H170&gt;=0,0,1),IF(H170&lt;0,-H170/I169,0))))</f>
        <v>0</v>
      </c>
      <c r="J172" s="44">
        <f>IF(COUNTIF($H172:I172,"=0")=COUNTA($H172:I172),IF(J170&lt;0,(13-6)/12,0),IF(J170&lt;0,1,IF(J170=0,IF(I170&gt;=0,0,1),IF(I170&lt;0,-I170/J169,0))))</f>
        <v>0</v>
      </c>
      <c r="K172" s="44">
        <f>IF(COUNTIF($H172:J172,"=0")=COUNTA($H172:J172),IF(K170&lt;0,(13-6)/12,0),IF(K170&lt;0,1,IF(K170=0,IF(J170&gt;=0,0,1),IF(J170&lt;0,-J170/K169,0))))</f>
        <v>0</v>
      </c>
      <c r="L172" s="44">
        <f>IF(COUNTIF($H172:K172,"=0")=COUNTA($H172:K172),IF(L170&lt;0,(13-6)/12,0),IF(L170&lt;0,1,IF(L170=0,IF(K170&gt;=0,0,1),IF(K170&lt;0,-K170/L169,0))))</f>
        <v>0</v>
      </c>
      <c r="M172" s="44">
        <f>IF(COUNTIF($H172:L172,"=0")=COUNTA($H172:L172),IF(M170&lt;0,(13-6)/12,0),IF(M170&lt;0,1,IF(M170=0,IF(L170&gt;=0,0,1),IF(L170&lt;0,-L170/M169,0))))</f>
        <v>0</v>
      </c>
      <c r="N172" s="44">
        <f>IF(COUNTIF($H172:M172,"=0")=COUNTA($H172:M172),IF(N170&lt;0,(13-6)/12,0),IF(N170&lt;0,1,IF(N170=0,IF(M170&gt;=0,0,1),IF(M170&lt;0,-M170/N169,0))))</f>
        <v>0</v>
      </c>
      <c r="O172" s="44">
        <f>IF(COUNTIF($H172:N172,"=0")=COUNTA($H172:N172),IF(O170&lt;0,(13-6)/12,0),IF(O170&lt;0,1,IF(O170=0,IF(N170&gt;=0,0,1),IF(N170&lt;0,-N170/O169,0))))</f>
        <v>0</v>
      </c>
      <c r="P172" s="44">
        <f>IF(COUNTIF($H172:O172,"=0")=COUNTA($H172:O172),IF(P170&lt;0,(13-6)/12,0),IF(P170&lt;0,1,IF(P170=0,IF(O170&gt;=0,0,1),IF(O170&lt;0,-O170/P169,0))))</f>
        <v>0</v>
      </c>
      <c r="Q172" s="44">
        <f>IF(COUNTIF($H172:P172,"=0")=COUNTA($H172:P172),IF(Q170&lt;0,(13-6)/12,0),IF(Q170&lt;0,1,IF(Q170=0,IF(P170&gt;=0,0,1),IF(P170&lt;0,-P170/Q169,0))))</f>
        <v>0</v>
      </c>
      <c r="R172" s="44">
        <f>IF(COUNTIF($H172:Q172,"=0")=COUNTA($H172:Q172),IF(R170&lt;0,(13-6)/12,0),IF(R170&lt;0,1,IF(R170=0,IF(Q170&gt;=0,0,1),IF(Q170&lt;0,-Q170/R169,0))))</f>
        <v>0</v>
      </c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2">
      <c r="A173" s="1"/>
      <c r="B173" s="1"/>
      <c r="C173" s="1"/>
      <c r="D173" s="1" t="s">
        <v>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6" t="s">
        <v>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5" t="s">
        <v>4</v>
      </c>
      <c r="D175" s="4" t="s">
        <v>35</v>
      </c>
      <c r="E175" s="3"/>
      <c r="F175" s="10">
        <f>NPV(D82,I168:R168)+H168</f>
        <v>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9"/>
      <c r="C177" s="5" t="s">
        <v>3</v>
      </c>
      <c r="D177" s="4" t="s">
        <v>35</v>
      </c>
      <c r="E177" s="3"/>
      <c r="F177" s="8">
        <f>SUM(H169:R169)</f>
        <v>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7">
        <f>NPV(F181,I168:R168)+H168</f>
        <v>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6" t="s">
        <v>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5" t="s">
        <v>1</v>
      </c>
      <c r="D181" s="4" t="s">
        <v>0</v>
      </c>
      <c r="E181" s="3"/>
      <c r="F181" s="2">
        <v>0.30256107521085068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6" t="s">
        <v>112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49" t="s">
        <v>113</v>
      </c>
      <c r="D185" s="50" t="s">
        <v>35</v>
      </c>
      <c r="E185" s="51"/>
      <c r="F185" s="52">
        <f>AVERAGE(I169:R169)</f>
        <v>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49" t="s">
        <v>114</v>
      </c>
      <c r="D186" s="50" t="s">
        <v>40</v>
      </c>
      <c r="E186" s="51"/>
      <c r="F186" s="52" t="e">
        <f>F185*1000/I151</f>
        <v>#DIV/0!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.7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.7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.7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.7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5.7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5.7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5.7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5.75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5.75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5.75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5.75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5.75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5.75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5.75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5.75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5.75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5.75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5.75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5.75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5.75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5.75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5.75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5.75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5.75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5.75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5.75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5.75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5.75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5.75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5.75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5.75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5.75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5.75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5.75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5.75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5.75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5.75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5.75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5.75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5.75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5.75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5.75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5.75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5.75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5.75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5.75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5.75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5.75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5.75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5.75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5.75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5.75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5.75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5.75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5.75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5.75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5.75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5.75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5.75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5.75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5.75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5.75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5.75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5.75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5.75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5.75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5.75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5.75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5.75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5.75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5.75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5.75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5.75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5.75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5.75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5.75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5.75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5.75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5.75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5.75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5.75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</sheetData>
  <dataConsolidate/>
  <mergeCells count="5">
    <mergeCell ref="C3:G3"/>
    <mergeCell ref="F89:G89"/>
    <mergeCell ref="F107:G107"/>
    <mergeCell ref="F139:G139"/>
    <mergeCell ref="F159:G159"/>
  </mergeCells>
  <dataValidations count="3">
    <dataValidation type="list" allowBlank="1" showInputMessage="1" showErrorMessage="1" sqref="D84" xr:uid="{402D03CA-CEFD-C145-93A9-3BFCE69881FB}">
      <formula1>"0.5,0.55,0.6,0.65,0.7"</formula1>
    </dataValidation>
    <dataValidation type="list" allowBlank="1" showInputMessage="1" showErrorMessage="1" sqref="D83" xr:uid="{7EA8D458-032E-7740-BCF0-F8DE944A5A74}">
      <formula1>"0.05,0.1,0.15,0.2,0.25"</formula1>
    </dataValidation>
    <dataValidation type="list" allowBlank="1" showInputMessage="1" showErrorMessage="1" sqref="D85" xr:uid="{B6966147-22A0-3346-B00D-3793827E608E}">
      <formula1>"BASE,FIP,FIC,COMBO"</formula1>
    </dataValidation>
  </dataValidations>
  <hyperlinks>
    <hyperlink ref="G48" r:id="rId1" xr:uid="{FDCDD2F7-1B0C-0444-A2C4-00AA8B903A82}"/>
    <hyperlink ref="G58" r:id="rId2" xr:uid="{1A85EE11-D9AB-4346-ACCF-F76299ABD89B}"/>
    <hyperlink ref="G57" r:id="rId3" xr:uid="{467E2AF5-B6E7-4742-AA96-825FF39C3B75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AFBB-6671-1647-9321-59110B9F92BA}">
  <dimension ref="A1:AB1089"/>
  <sheetViews>
    <sheetView showGridLines="0" topLeftCell="A110" zoomScaleNormal="100" workbookViewId="0">
      <pane xSplit="7" topLeftCell="H1" activePane="topRight" state="frozen"/>
      <selection pane="topRight" activeCell="G117" sqref="G117"/>
    </sheetView>
  </sheetViews>
  <sheetFormatPr baseColWidth="10" defaultColWidth="11.1640625" defaultRowHeight="15" customHeight="1" outlineLevelRow="1" x14ac:dyDescent="0.2"/>
  <cols>
    <col min="1" max="1" width="2.1640625" customWidth="1"/>
    <col min="2" max="2" width="4.6640625" customWidth="1"/>
    <col min="3" max="3" width="47.6640625" customWidth="1"/>
    <col min="4" max="4" width="14" customWidth="1"/>
    <col min="5" max="5" width="2" customWidth="1"/>
    <col min="6" max="6" width="20.83203125" customWidth="1"/>
    <col min="7" max="7" width="11.33203125" bestFit="1" customWidth="1"/>
    <col min="8" max="8" width="13.5" customWidth="1"/>
    <col min="9" max="22" width="12.5" customWidth="1"/>
    <col min="23" max="27" width="12" customWidth="1"/>
  </cols>
  <sheetData>
    <row r="1" spans="1:27" ht="15.75" customHeight="1" x14ac:dyDescent="0.2">
      <c r="A1" s="1"/>
      <c r="B1" s="33" t="s">
        <v>38</v>
      </c>
      <c r="C1" s="33"/>
      <c r="D1" s="33"/>
      <c r="E1" s="33"/>
      <c r="F1" s="33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1.5" customHeight="1" x14ac:dyDescent="0.2">
      <c r="A3" s="31"/>
      <c r="B3" s="20"/>
      <c r="C3" s="86" t="s">
        <v>39</v>
      </c>
      <c r="D3" s="87"/>
      <c r="E3" s="87"/>
      <c r="F3" s="87"/>
      <c r="G3" s="87"/>
      <c r="H3" s="32"/>
      <c r="I3" s="32"/>
      <c r="J3" s="32"/>
      <c r="K3" s="32"/>
      <c r="L3" s="32"/>
      <c r="M3" s="32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s="41" customFormat="1" ht="25" customHeight="1" x14ac:dyDescent="0.2">
      <c r="A6" s="39"/>
      <c r="B6" s="40" t="s">
        <v>29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</row>
    <row r="7" spans="1:27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61" customFormat="1" ht="15.75" customHeight="1" outlineLevel="1" x14ac:dyDescent="0.2">
      <c r="A8" s="60"/>
      <c r="B8" s="62" t="s">
        <v>63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</row>
    <row r="9" spans="1:27" ht="15.75" customHeight="1" outlineLevel="1" x14ac:dyDescent="0.2">
      <c r="A9" s="1"/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" outlineLevel="1" x14ac:dyDescent="0.2">
      <c r="C10" t="s">
        <v>54</v>
      </c>
      <c r="D10" s="36">
        <v>66458.513999999675</v>
      </c>
      <c r="F10" t="s">
        <v>111</v>
      </c>
    </row>
    <row r="11" spans="1:27" ht="16" outlineLevel="1" x14ac:dyDescent="0.2">
      <c r="C11" t="s">
        <v>55</v>
      </c>
      <c r="D11" s="36">
        <v>63330.169000001297</v>
      </c>
      <c r="F11" t="s">
        <v>111</v>
      </c>
    </row>
    <row r="12" spans="1:27" ht="16" outlineLevel="1" x14ac:dyDescent="0.2">
      <c r="C12" s="55" t="s">
        <v>56</v>
      </c>
      <c r="D12" s="56">
        <v>180689.93499999747</v>
      </c>
      <c r="E12" s="43"/>
      <c r="F12" s="43" t="s">
        <v>111</v>
      </c>
    </row>
    <row r="13" spans="1:27" ht="16" outlineLevel="1" x14ac:dyDescent="0.2">
      <c r="C13" s="57" t="s">
        <v>57</v>
      </c>
      <c r="D13" s="58">
        <f>SUM(D10:D12)</f>
        <v>310478.61799999845</v>
      </c>
      <c r="E13" s="57"/>
      <c r="F13" s="57" t="s">
        <v>111</v>
      </c>
    </row>
    <row r="14" spans="1:27" ht="15.75" customHeight="1" outlineLevel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s="61" customFormat="1" ht="15.75" customHeight="1" outlineLevel="1" x14ac:dyDescent="0.2">
      <c r="A15" s="60"/>
      <c r="B15" s="62" t="s">
        <v>108</v>
      </c>
      <c r="C15" s="60"/>
      <c r="D15" s="60"/>
      <c r="E15" s="60"/>
      <c r="F15" s="60"/>
      <c r="G15" s="60" t="s">
        <v>72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spans="1:27" ht="15.75" customHeight="1" outlineLevel="1" x14ac:dyDescent="0.2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" outlineLevel="1" x14ac:dyDescent="0.2">
      <c r="C17" t="s">
        <v>58</v>
      </c>
      <c r="D17" s="59">
        <v>0.107</v>
      </c>
      <c r="G17" t="s">
        <v>73</v>
      </c>
    </row>
    <row r="18" spans="1:27" ht="16" outlineLevel="1" x14ac:dyDescent="0.2">
      <c r="C18" t="s">
        <v>59</v>
      </c>
      <c r="D18" s="59">
        <v>6.0499999999999998E-2</v>
      </c>
      <c r="G18" t="s">
        <v>73</v>
      </c>
    </row>
    <row r="19" spans="1:27" ht="16" outlineLevel="1" x14ac:dyDescent="0.2">
      <c r="C19" t="s">
        <v>60</v>
      </c>
      <c r="D19" s="59">
        <v>0.73529999999999995</v>
      </c>
      <c r="G19" t="s">
        <v>73</v>
      </c>
    </row>
    <row r="20" spans="1:27" ht="16" outlineLevel="1" x14ac:dyDescent="0.2">
      <c r="C20" t="s">
        <v>61</v>
      </c>
      <c r="D20" s="59">
        <v>0.26469999999999999</v>
      </c>
      <c r="G20" t="s">
        <v>73</v>
      </c>
    </row>
    <row r="21" spans="1:27" ht="16" outlineLevel="1" x14ac:dyDescent="0.2">
      <c r="C21" t="s">
        <v>62</v>
      </c>
      <c r="D21" s="35">
        <v>0.24</v>
      </c>
      <c r="G21" t="s">
        <v>73</v>
      </c>
    </row>
    <row r="22" spans="1:27" ht="16" outlineLevel="1" x14ac:dyDescent="0.2">
      <c r="C22" s="21" t="s">
        <v>36</v>
      </c>
      <c r="D22" s="38">
        <f>D19*D17+D20*D18*(1-D21)</f>
        <v>9.0848005999999995E-2</v>
      </c>
      <c r="E22" s="21"/>
      <c r="F22" s="21" t="s">
        <v>22</v>
      </c>
    </row>
    <row r="23" spans="1:27" ht="16" outlineLevel="1" x14ac:dyDescent="0.2">
      <c r="C23" s="21" t="s">
        <v>23</v>
      </c>
      <c r="D23" s="38">
        <f>D21</f>
        <v>0.24</v>
      </c>
      <c r="E23" s="21"/>
      <c r="F23" s="21"/>
    </row>
    <row r="24" spans="1:27" ht="15.75" customHeight="1" outlineLevel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61" customFormat="1" ht="15.75" customHeight="1" outlineLevel="1" x14ac:dyDescent="0.2">
      <c r="A25" s="60"/>
      <c r="B25" s="62" t="s">
        <v>109</v>
      </c>
      <c r="C25" s="60"/>
      <c r="D25" s="60"/>
      <c r="E25" s="60"/>
      <c r="F25" s="60"/>
      <c r="G25" s="60" t="s">
        <v>72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spans="1:27" ht="15.75" customHeight="1" outlineLevel="1" x14ac:dyDescent="0.2">
      <c r="A26" s="1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" outlineLevel="1" x14ac:dyDescent="0.2">
      <c r="C27" t="s">
        <v>58</v>
      </c>
      <c r="D27" s="59">
        <v>8.9399999999999993E-2</v>
      </c>
      <c r="G27" t="s">
        <v>73</v>
      </c>
    </row>
    <row r="28" spans="1:27" ht="16" outlineLevel="1" x14ac:dyDescent="0.2">
      <c r="C28" t="s">
        <v>59</v>
      </c>
      <c r="D28" s="59">
        <v>5.7500000000000002E-2</v>
      </c>
      <c r="G28" t="s">
        <v>73</v>
      </c>
    </row>
    <row r="29" spans="1:27" ht="16" outlineLevel="1" x14ac:dyDescent="0.2">
      <c r="C29" t="s">
        <v>60</v>
      </c>
      <c r="D29" s="59">
        <v>0.52649999999999997</v>
      </c>
      <c r="G29" t="s">
        <v>73</v>
      </c>
    </row>
    <row r="30" spans="1:27" ht="16" outlineLevel="1" x14ac:dyDescent="0.2">
      <c r="C30" t="s">
        <v>61</v>
      </c>
      <c r="D30" s="59">
        <v>0.47349999999999998</v>
      </c>
      <c r="G30" t="s">
        <v>73</v>
      </c>
    </row>
    <row r="31" spans="1:27" ht="16" outlineLevel="1" x14ac:dyDescent="0.2">
      <c r="C31" t="s">
        <v>62</v>
      </c>
      <c r="D31" s="35">
        <v>0.24</v>
      </c>
      <c r="G31" t="s">
        <v>73</v>
      </c>
    </row>
    <row r="32" spans="1:27" ht="16" outlineLevel="1" x14ac:dyDescent="0.2">
      <c r="C32" s="21" t="s">
        <v>36</v>
      </c>
      <c r="D32" s="38">
        <f>D29*D27+D30*D28*(1-D31)</f>
        <v>6.7761049999999989E-2</v>
      </c>
      <c r="E32" s="21"/>
      <c r="F32" s="21" t="s">
        <v>22</v>
      </c>
    </row>
    <row r="33" spans="1:27" ht="16" outlineLevel="1" x14ac:dyDescent="0.2">
      <c r="C33" s="21" t="s">
        <v>23</v>
      </c>
      <c r="D33" s="38">
        <f>D31</f>
        <v>0.24</v>
      </c>
      <c r="E33" s="21"/>
      <c r="F33" s="21"/>
    </row>
    <row r="34" spans="1:27" ht="15.75" customHeight="1" outlineLevel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61" customFormat="1" ht="15.75" customHeight="1" outlineLevel="1" x14ac:dyDescent="0.2">
      <c r="A35" s="60"/>
      <c r="B35" s="62" t="s">
        <v>64</v>
      </c>
      <c r="C35" s="60"/>
      <c r="D35" s="60"/>
      <c r="E35" s="60"/>
      <c r="F35" s="60"/>
      <c r="G35" s="60" t="s">
        <v>72</v>
      </c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spans="1:27" ht="15.75" customHeight="1" outlineLevel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outlineLevel="1" x14ac:dyDescent="0.2">
      <c r="A37" s="21"/>
      <c r="B37" s="21"/>
      <c r="C37" s="21" t="s">
        <v>28</v>
      </c>
      <c r="D37" s="34">
        <v>10</v>
      </c>
      <c r="E37" s="29"/>
      <c r="F37" s="29" t="s">
        <v>27</v>
      </c>
      <c r="G37" s="20"/>
      <c r="H37" s="21"/>
      <c r="I37" s="2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outlineLevel="1" x14ac:dyDescent="0.2">
      <c r="A38" s="21"/>
      <c r="B38" s="21"/>
      <c r="C38" s="21" t="s">
        <v>33</v>
      </c>
      <c r="D38" s="54">
        <f>D43*1000/D41</f>
        <v>72.332172677289734</v>
      </c>
      <c r="E38" s="29"/>
      <c r="F38" s="29" t="s">
        <v>30</v>
      </c>
      <c r="G38" s="20"/>
      <c r="H38" s="21"/>
      <c r="I38" s="2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outlineLevel="1" x14ac:dyDescent="0.2">
      <c r="A39" s="21"/>
      <c r="B39" s="21"/>
      <c r="C39" s="21" t="s">
        <v>34</v>
      </c>
      <c r="D39" s="54">
        <f>ROUND(D38*1.3,0)</f>
        <v>94</v>
      </c>
      <c r="E39" s="29"/>
      <c r="F39" s="29" t="s">
        <v>30</v>
      </c>
      <c r="G39" s="20"/>
      <c r="H39" s="21"/>
      <c r="I39" s="2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outlineLevel="1" x14ac:dyDescent="0.2">
      <c r="A40" s="21"/>
      <c r="B40" s="21"/>
      <c r="C40" s="21" t="s">
        <v>34</v>
      </c>
      <c r="D40" s="54">
        <f>ROUND(D39/10,0)*10</f>
        <v>90</v>
      </c>
      <c r="E40" s="29"/>
      <c r="F40" s="28" t="s">
        <v>30</v>
      </c>
      <c r="G40" s="20"/>
      <c r="H40" s="30"/>
      <c r="I40" s="3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outlineLevel="1" x14ac:dyDescent="0.2">
      <c r="A41" s="21"/>
      <c r="B41" s="21"/>
      <c r="C41" s="21" t="s">
        <v>26</v>
      </c>
      <c r="D41" s="36">
        <f>8760*0.7</f>
        <v>6132</v>
      </c>
      <c r="E41" s="29"/>
      <c r="F41" s="28" t="s">
        <v>25</v>
      </c>
      <c r="G41" s="20"/>
      <c r="H41" s="1"/>
      <c r="I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outlineLevel="1" x14ac:dyDescent="0.2">
      <c r="A42" s="21"/>
      <c r="B42" s="21"/>
      <c r="C42" s="21" t="s">
        <v>52</v>
      </c>
      <c r="D42" s="36">
        <f>D13</f>
        <v>310478.61799999845</v>
      </c>
      <c r="E42" s="29"/>
      <c r="F42" s="28" t="s">
        <v>53</v>
      </c>
      <c r="G42" s="20"/>
      <c r="H42" s="1"/>
      <c r="I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outlineLevel="1" x14ac:dyDescent="0.2">
      <c r="A43" s="21"/>
      <c r="B43" s="21"/>
      <c r="C43" s="21" t="s">
        <v>46</v>
      </c>
      <c r="D43" s="37">
        <f>(D42/(1-D66))/1000</f>
        <v>443.54088285714067</v>
      </c>
      <c r="E43" s="29"/>
      <c r="F43" s="28" t="s">
        <v>24</v>
      </c>
      <c r="G43" s="20"/>
      <c r="H43" s="1"/>
      <c r="J43" s="83"/>
      <c r="K43" s="82"/>
      <c r="M43" s="8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outlineLevel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61" customFormat="1" ht="15.75" customHeight="1" outlineLevel="1" x14ac:dyDescent="0.2">
      <c r="A45" s="60"/>
      <c r="B45" s="62" t="s">
        <v>74</v>
      </c>
      <c r="C45" s="60"/>
      <c r="D45" s="60"/>
      <c r="E45" s="60"/>
      <c r="F45" s="60"/>
      <c r="G45" s="60" t="s">
        <v>72</v>
      </c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spans="1:27" ht="15.75" customHeight="1" outlineLevel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outlineLevel="1" x14ac:dyDescent="0.2">
      <c r="A47" s="21"/>
      <c r="B47" s="21"/>
      <c r="C47" s="21" t="s">
        <v>67</v>
      </c>
      <c r="D47" s="37">
        <f>SUM(D48:D52)</f>
        <v>310</v>
      </c>
      <c r="E47" s="29"/>
      <c r="F47" s="28" t="s">
        <v>32</v>
      </c>
      <c r="G47" s="20"/>
      <c r="H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outlineLevel="1" x14ac:dyDescent="0.2">
      <c r="A48" s="21"/>
      <c r="B48" s="21"/>
      <c r="C48" s="63" t="s">
        <v>68</v>
      </c>
      <c r="D48" s="36">
        <v>90</v>
      </c>
      <c r="E48" s="29"/>
      <c r="F48" s="28" t="s">
        <v>32</v>
      </c>
      <c r="G48" s="65" t="s">
        <v>75</v>
      </c>
      <c r="H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outlineLevel="1" x14ac:dyDescent="0.2">
      <c r="A49" s="21"/>
      <c r="B49" s="21"/>
      <c r="C49" s="63" t="s">
        <v>69</v>
      </c>
      <c r="D49" s="36">
        <v>105</v>
      </c>
      <c r="E49" s="29"/>
      <c r="F49" s="28" t="s">
        <v>32</v>
      </c>
      <c r="G49" s="20"/>
      <c r="H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outlineLevel="1" x14ac:dyDescent="0.2">
      <c r="A50" s="21"/>
      <c r="B50" s="21"/>
      <c r="C50" s="63" t="s">
        <v>65</v>
      </c>
      <c r="D50" s="36">
        <v>45</v>
      </c>
      <c r="E50" s="29"/>
      <c r="F50" s="28" t="s">
        <v>32</v>
      </c>
      <c r="G50" s="20"/>
      <c r="H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outlineLevel="1" x14ac:dyDescent="0.2">
      <c r="A51" s="21"/>
      <c r="B51" s="21"/>
      <c r="C51" s="63" t="s">
        <v>70</v>
      </c>
      <c r="D51" s="36">
        <v>35</v>
      </c>
      <c r="E51" s="29"/>
      <c r="F51" s="28" t="s">
        <v>32</v>
      </c>
      <c r="G51" s="20"/>
      <c r="H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outlineLevel="1" x14ac:dyDescent="0.2">
      <c r="A52" s="21"/>
      <c r="B52" s="21"/>
      <c r="C52" s="63" t="s">
        <v>77</v>
      </c>
      <c r="D52" s="36">
        <v>35</v>
      </c>
      <c r="E52" s="29"/>
      <c r="F52" s="28" t="s">
        <v>32</v>
      </c>
      <c r="G52" s="20"/>
      <c r="H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outlineLevel="1" x14ac:dyDescent="0.2">
      <c r="A53" s="21"/>
      <c r="B53" s="21"/>
      <c r="C53" s="63" t="s">
        <v>93</v>
      </c>
      <c r="D53" s="35">
        <v>0.1</v>
      </c>
      <c r="E53" s="29"/>
      <c r="F53" s="28" t="s">
        <v>90</v>
      </c>
      <c r="G53" s="20"/>
      <c r="H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outlineLevel="1" x14ac:dyDescent="0.2">
      <c r="A54" s="21"/>
      <c r="B54" s="21"/>
      <c r="C54" s="66" t="s">
        <v>67</v>
      </c>
      <c r="D54" s="36">
        <f>(D47*D40/1000)*(1+D53)</f>
        <v>30.69</v>
      </c>
      <c r="E54" s="21"/>
      <c r="F54" s="27" t="s">
        <v>35</v>
      </c>
      <c r="G54" s="20"/>
      <c r="H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outlineLevel="1" x14ac:dyDescent="0.2">
      <c r="A55" s="21"/>
      <c r="B55" s="21"/>
      <c r="C55" s="21" t="s">
        <v>103</v>
      </c>
      <c r="D55" s="36">
        <v>10</v>
      </c>
      <c r="E55" s="21"/>
      <c r="F55" s="28" t="s">
        <v>37</v>
      </c>
      <c r="G55" s="20" t="s">
        <v>76</v>
      </c>
      <c r="H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outlineLevel="1" x14ac:dyDescent="0.2">
      <c r="A56" s="21"/>
      <c r="B56" s="21"/>
      <c r="C56" s="21" t="s">
        <v>94</v>
      </c>
      <c r="D56" s="36">
        <f>IF(OR(D85="FIC",D85="COMBO"),0,D55)</f>
        <v>10</v>
      </c>
      <c r="E56" s="29"/>
      <c r="F56" s="28" t="s">
        <v>37</v>
      </c>
      <c r="G56" s="20" t="s">
        <v>76</v>
      </c>
      <c r="H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outlineLevel="1" x14ac:dyDescent="0.2">
      <c r="A57" s="21"/>
      <c r="B57" s="21"/>
      <c r="C57" s="21" t="s">
        <v>66</v>
      </c>
      <c r="D57" s="36">
        <v>3.5</v>
      </c>
      <c r="E57" s="21"/>
      <c r="F57" s="21" t="s">
        <v>71</v>
      </c>
      <c r="G57" s="65" t="s">
        <v>75</v>
      </c>
      <c r="H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outlineLevel="1" x14ac:dyDescent="0.2">
      <c r="A58" s="21"/>
      <c r="B58" s="21"/>
      <c r="C58" s="21" t="s">
        <v>15</v>
      </c>
      <c r="D58" s="64">
        <v>2.5</v>
      </c>
      <c r="E58" s="21"/>
      <c r="F58" s="27" t="s">
        <v>40</v>
      </c>
      <c r="G58" s="65" t="s">
        <v>75</v>
      </c>
      <c r="H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outlineLevel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61" customFormat="1" ht="15.75" customHeight="1" outlineLevel="1" x14ac:dyDescent="0.2">
      <c r="A60" s="60"/>
      <c r="B60" s="62" t="s">
        <v>79</v>
      </c>
      <c r="C60" s="60"/>
      <c r="D60" s="60"/>
      <c r="E60" s="60"/>
      <c r="F60" s="60"/>
      <c r="G60" s="60" t="s">
        <v>72</v>
      </c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spans="1:27" ht="15.75" customHeight="1" outlineLevel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outlineLevel="1" x14ac:dyDescent="0.2">
      <c r="A62" s="1"/>
      <c r="B62" s="1"/>
      <c r="C62" s="21" t="s">
        <v>91</v>
      </c>
      <c r="D62" s="69">
        <f>0.0560958904038811</f>
        <v>5.6095890403881098E-2</v>
      </c>
      <c r="E62" s="21"/>
      <c r="F62" s="27" t="s">
        <v>78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outlineLevel="1" x14ac:dyDescent="0.2">
      <c r="A63" s="1"/>
      <c r="B63" s="1"/>
      <c r="C63" s="21" t="s">
        <v>95</v>
      </c>
      <c r="D63" s="69">
        <f>IF(OR(D85="FIP",D85="COMBO"),D83,0)</f>
        <v>0.15</v>
      </c>
      <c r="E63" s="21"/>
      <c r="F63" s="2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outlineLevel="1" x14ac:dyDescent="0.2">
      <c r="A64" s="1"/>
      <c r="B64" s="1"/>
      <c r="C64" s="21" t="s">
        <v>88</v>
      </c>
      <c r="D64" s="69">
        <v>0.30399999999999999</v>
      </c>
      <c r="E64" s="21"/>
      <c r="F64" s="27" t="s">
        <v>78</v>
      </c>
      <c r="G64" s="1"/>
      <c r="H64" s="1">
        <v>3.8889321999999997E-2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8" ht="15.75" customHeight="1" outlineLevel="1" x14ac:dyDescent="0.2">
      <c r="A65" s="1"/>
      <c r="B65" s="1"/>
      <c r="C65" s="21" t="s">
        <v>84</v>
      </c>
      <c r="D65" s="35">
        <f>IF(OR(D85="FIC",D85="COMBO"), D84,0%)</f>
        <v>0</v>
      </c>
      <c r="E65" s="21"/>
      <c r="F65" s="2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8" ht="15.75" customHeight="1" outlineLevel="1" x14ac:dyDescent="0.2">
      <c r="A66" s="21"/>
      <c r="B66" s="21"/>
      <c r="C66" s="21" t="s">
        <v>41</v>
      </c>
      <c r="D66" s="35">
        <v>0.3</v>
      </c>
      <c r="E66" s="21"/>
      <c r="F66" s="27"/>
      <c r="G66" s="21"/>
      <c r="H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8" ht="15.75" customHeight="1" outlineLevel="1" x14ac:dyDescent="0.2">
      <c r="A67" s="21"/>
      <c r="B67" s="21"/>
      <c r="C67" s="21" t="s">
        <v>42</v>
      </c>
      <c r="D67" s="36">
        <f>D43*D66</f>
        <v>133.0622648571422</v>
      </c>
      <c r="E67" s="21"/>
      <c r="F67" s="27" t="s">
        <v>24</v>
      </c>
      <c r="G67" s="21"/>
      <c r="H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8" ht="15.75" customHeight="1" outlineLevel="1" x14ac:dyDescent="0.2">
      <c r="A68" s="21"/>
      <c r="B68" s="21"/>
      <c r="C68" s="21" t="s">
        <v>43</v>
      </c>
      <c r="D68" s="35">
        <v>0</v>
      </c>
      <c r="E68" s="21"/>
      <c r="F68" s="27"/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8" ht="15.75" customHeight="1" outlineLevel="1" x14ac:dyDescent="0.2">
      <c r="A69" s="21"/>
      <c r="B69" s="21"/>
      <c r="C69" s="21" t="s">
        <v>107</v>
      </c>
      <c r="D69" s="67">
        <v>0.35</v>
      </c>
      <c r="E69" s="21"/>
      <c r="F69" s="27"/>
      <c r="G69" s="2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8" ht="15.75" customHeight="1" x14ac:dyDescent="0.2">
      <c r="A70" s="21"/>
      <c r="B70" s="21"/>
      <c r="C70" s="21"/>
      <c r="D70" s="75"/>
      <c r="E70" s="21"/>
      <c r="F70" s="27"/>
      <c r="G70" s="2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8" ht="15.75" customHeight="1" x14ac:dyDescent="0.2">
      <c r="A71" s="21"/>
      <c r="B71" s="21"/>
      <c r="G71" s="2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8" s="71" customFormat="1" ht="22" customHeight="1" x14ac:dyDescent="0.2">
      <c r="A72" s="70"/>
      <c r="B72" s="73" t="s">
        <v>83</v>
      </c>
      <c r="G72" s="70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spans="1:28" ht="16" x14ac:dyDescent="0.2">
      <c r="A73" s="21"/>
      <c r="B73" s="74"/>
      <c r="G73" s="2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8" ht="16" x14ac:dyDescent="0.2">
      <c r="A74" s="21"/>
      <c r="B74" s="74"/>
      <c r="G74" s="21"/>
      <c r="H74" s="18">
        <v>2022</v>
      </c>
      <c r="I74" s="18">
        <v>2023</v>
      </c>
      <c r="J74" s="18">
        <v>2024</v>
      </c>
      <c r="K74" s="18">
        <v>2025</v>
      </c>
      <c r="L74" s="18">
        <v>2026</v>
      </c>
      <c r="M74" s="18">
        <v>2027</v>
      </c>
      <c r="N74" s="18">
        <v>2028</v>
      </c>
      <c r="O74" s="18">
        <v>2029</v>
      </c>
      <c r="P74" s="18">
        <v>2030</v>
      </c>
      <c r="Q74" s="18">
        <v>2031</v>
      </c>
      <c r="R74" s="18">
        <v>2032</v>
      </c>
      <c r="T74" s="1"/>
      <c r="U74" s="1"/>
      <c r="V74" s="1"/>
      <c r="W74" s="1"/>
      <c r="X74" s="1"/>
      <c r="Y74" s="1"/>
      <c r="Z74" s="1"/>
      <c r="AA74" s="1"/>
      <c r="AB74" s="1"/>
    </row>
    <row r="75" spans="1:28" ht="16" x14ac:dyDescent="0.2">
      <c r="A75" s="21"/>
      <c r="B75" s="74"/>
      <c r="C75" t="s">
        <v>89</v>
      </c>
      <c r="D75" s="68">
        <f>I75</f>
        <v>116.125</v>
      </c>
      <c r="F75" t="s">
        <v>40</v>
      </c>
      <c r="G75" s="21" t="s">
        <v>87</v>
      </c>
      <c r="H75" s="76">
        <v>281.375</v>
      </c>
      <c r="I75" s="76">
        <v>116.125</v>
      </c>
      <c r="J75" s="76">
        <v>82</v>
      </c>
      <c r="K75" s="76">
        <v>84.875</v>
      </c>
      <c r="L75" s="76">
        <f>K75*(L77/K77)</f>
        <v>77.911571207430342</v>
      </c>
      <c r="M75" s="76">
        <f>L75*(M77/L77)</f>
        <v>71.355437306501557</v>
      </c>
      <c r="N75" s="76">
        <f>M75</f>
        <v>71.355437306501557</v>
      </c>
      <c r="O75" s="76">
        <f t="shared" ref="O75:R75" si="0">N75</f>
        <v>71.355437306501557</v>
      </c>
      <c r="P75" s="76">
        <f t="shared" si="0"/>
        <v>71.355437306501557</v>
      </c>
      <c r="Q75" s="76">
        <f t="shared" si="0"/>
        <v>71.355437306501557</v>
      </c>
      <c r="R75" s="76">
        <f t="shared" si="0"/>
        <v>71.355437306501557</v>
      </c>
      <c r="T75" s="1"/>
      <c r="U75" s="1"/>
      <c r="V75" s="1"/>
      <c r="W75" s="1"/>
      <c r="X75" s="1"/>
      <c r="Y75" s="1"/>
      <c r="Z75" s="1"/>
      <c r="AA75" s="1"/>
      <c r="AB75" s="1"/>
    </row>
    <row r="76" spans="1:28" ht="16" x14ac:dyDescent="0.2">
      <c r="A76" s="21"/>
      <c r="B76" s="74"/>
      <c r="C76" t="s">
        <v>83</v>
      </c>
      <c r="D76" s="68">
        <f>H76</f>
        <v>304</v>
      </c>
      <c r="F76" t="s">
        <v>40</v>
      </c>
      <c r="G76" s="21"/>
      <c r="H76" s="76">
        <f>D64*1000</f>
        <v>304</v>
      </c>
      <c r="I76" s="76">
        <f>H76*I75/H75</f>
        <v>125.46246112838739</v>
      </c>
      <c r="J76" s="76">
        <f t="shared" ref="J76:R76" si="1">I76*J75/I75</f>
        <v>88.593513993780547</v>
      </c>
      <c r="K76" s="76">
        <f t="shared" si="1"/>
        <v>91.699689027099069</v>
      </c>
      <c r="L76" s="76">
        <f t="shared" si="1"/>
        <v>84.176339927352544</v>
      </c>
      <c r="M76" s="76">
        <f t="shared" si="1"/>
        <v>77.093035774949698</v>
      </c>
      <c r="N76" s="76">
        <f t="shared" si="1"/>
        <v>77.093035774949698</v>
      </c>
      <c r="O76" s="76">
        <f t="shared" si="1"/>
        <v>77.093035774949698</v>
      </c>
      <c r="P76" s="76">
        <f t="shared" si="1"/>
        <v>77.093035774949698</v>
      </c>
      <c r="Q76" s="76">
        <f t="shared" si="1"/>
        <v>77.093035774949698</v>
      </c>
      <c r="R76" s="76">
        <f t="shared" si="1"/>
        <v>77.093035774949698</v>
      </c>
      <c r="T76" s="1"/>
      <c r="U76" s="1"/>
      <c r="V76" s="1"/>
      <c r="W76" s="1"/>
      <c r="X76" s="1"/>
      <c r="Y76" s="1"/>
      <c r="Z76" s="1"/>
      <c r="AA76" s="1"/>
      <c r="AB76" s="1"/>
    </row>
    <row r="77" spans="1:28" ht="16" x14ac:dyDescent="0.2">
      <c r="A77" s="21"/>
      <c r="B77" s="74"/>
      <c r="C77" t="s">
        <v>85</v>
      </c>
      <c r="D77" s="68">
        <f>I77</f>
        <v>37.670999999999999</v>
      </c>
      <c r="F77" t="s">
        <v>40</v>
      </c>
      <c r="G77" s="21" t="s">
        <v>86</v>
      </c>
      <c r="H77" s="76">
        <v>138.07499999999999</v>
      </c>
      <c r="I77" s="76">
        <v>37.670999999999999</v>
      </c>
      <c r="J77" s="76">
        <v>29.66</v>
      </c>
      <c r="K77" s="76">
        <v>32.299999999999997</v>
      </c>
      <c r="L77" s="76">
        <v>29.65</v>
      </c>
      <c r="M77" s="76">
        <v>27.155000000000001</v>
      </c>
      <c r="N77" s="76">
        <f>M77</f>
        <v>27.155000000000001</v>
      </c>
      <c r="O77" s="76">
        <f t="shared" ref="O77:R77" si="2">N77</f>
        <v>27.155000000000001</v>
      </c>
      <c r="P77" s="76">
        <f t="shared" si="2"/>
        <v>27.155000000000001</v>
      </c>
      <c r="Q77" s="76">
        <f t="shared" si="2"/>
        <v>27.155000000000001</v>
      </c>
      <c r="R77" s="76">
        <f t="shared" si="2"/>
        <v>27.155000000000001</v>
      </c>
      <c r="T77" s="1"/>
      <c r="U77" s="1"/>
      <c r="V77" s="1"/>
      <c r="W77" s="1"/>
      <c r="X77" s="1"/>
      <c r="Y77" s="1"/>
      <c r="Z77" s="1"/>
      <c r="AA77" s="1"/>
      <c r="AB77" s="1"/>
    </row>
    <row r="78" spans="1:28" ht="16" x14ac:dyDescent="0.2">
      <c r="A78" s="21"/>
      <c r="B78" s="74"/>
      <c r="C78" t="s">
        <v>80</v>
      </c>
      <c r="D78" s="77">
        <f>H78</f>
        <v>56.0958904038811</v>
      </c>
      <c r="F78" t="s">
        <v>40</v>
      </c>
      <c r="G78" s="21"/>
      <c r="H78" s="76">
        <f>D62*1000</f>
        <v>56.0958904038811</v>
      </c>
      <c r="I78" s="78">
        <f>H78</f>
        <v>56.0958904038811</v>
      </c>
      <c r="J78" s="76">
        <f t="shared" ref="J78:R78" si="3">I78*J77/I77</f>
        <v>44.166709388630871</v>
      </c>
      <c r="K78" s="76">
        <f t="shared" si="3"/>
        <v>48.097933690248716</v>
      </c>
      <c r="L78" s="76">
        <f t="shared" si="3"/>
        <v>44.151818387488369</v>
      </c>
      <c r="M78" s="76">
        <f t="shared" si="3"/>
        <v>40.436513602436648</v>
      </c>
      <c r="N78" s="76">
        <f t="shared" si="3"/>
        <v>40.436513602436641</v>
      </c>
      <c r="O78" s="76">
        <f t="shared" si="3"/>
        <v>40.436513602436641</v>
      </c>
      <c r="P78" s="76">
        <f t="shared" si="3"/>
        <v>40.436513602436641</v>
      </c>
      <c r="Q78" s="76">
        <f t="shared" si="3"/>
        <v>40.436513602436641</v>
      </c>
      <c r="R78" s="76">
        <f t="shared" si="3"/>
        <v>40.436513602436641</v>
      </c>
      <c r="T78" s="1"/>
      <c r="U78" s="1"/>
      <c r="V78" s="1"/>
      <c r="W78" s="1"/>
      <c r="X78" s="1"/>
      <c r="Y78" s="1"/>
      <c r="Z78" s="1"/>
      <c r="AA78" s="1"/>
      <c r="AB78" s="1"/>
    </row>
    <row r="79" spans="1:28" ht="16" x14ac:dyDescent="0.2">
      <c r="A79" s="21"/>
      <c r="B79" s="74"/>
      <c r="D79" s="77"/>
      <c r="G79" s="21"/>
      <c r="H79" s="76"/>
      <c r="I79" s="78"/>
      <c r="J79" s="76"/>
      <c r="K79" s="76"/>
      <c r="L79" s="76"/>
      <c r="M79" s="76"/>
      <c r="N79" s="76"/>
      <c r="O79" s="76"/>
      <c r="P79" s="76"/>
      <c r="Q79" s="76"/>
      <c r="R79" s="76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2">
      <c r="A80" s="21"/>
      <c r="B80" s="21"/>
      <c r="G80" s="2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71" customFormat="1" ht="22" customHeight="1" x14ac:dyDescent="0.2">
      <c r="A81" s="70"/>
      <c r="B81" s="73" t="s">
        <v>81</v>
      </c>
      <c r="G81" s="70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</row>
    <row r="82" spans="1:27" ht="16" x14ac:dyDescent="0.2">
      <c r="A82" s="21"/>
      <c r="B82" s="74"/>
      <c r="G82" s="2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" x14ac:dyDescent="0.2">
      <c r="A83" s="21"/>
      <c r="B83" s="74"/>
      <c r="C83" t="s">
        <v>96</v>
      </c>
      <c r="D83" s="35">
        <v>0.15</v>
      </c>
      <c r="G83" s="2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" x14ac:dyDescent="0.2">
      <c r="A84" s="21"/>
      <c r="B84" s="74"/>
      <c r="C84" t="s">
        <v>97</v>
      </c>
      <c r="D84" s="35">
        <v>0.6</v>
      </c>
      <c r="G84" s="2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" x14ac:dyDescent="0.2">
      <c r="A85" s="21"/>
      <c r="B85" s="74"/>
      <c r="C85" t="s">
        <v>82</v>
      </c>
      <c r="D85" s="36" t="s">
        <v>95</v>
      </c>
      <c r="G85" s="2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21"/>
      <c r="B86" s="21"/>
      <c r="C86" s="19"/>
      <c r="D86" s="21"/>
      <c r="E86" s="21"/>
      <c r="F86" s="21"/>
      <c r="G86" s="2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22"/>
      <c r="B87" s="26" t="s">
        <v>98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spans="1:27" ht="9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21"/>
      <c r="B89" s="21"/>
      <c r="C89" s="20"/>
      <c r="D89" s="19"/>
      <c r="E89" s="19"/>
      <c r="F89" s="88" t="s">
        <v>17</v>
      </c>
      <c r="G89" s="89"/>
      <c r="H89" s="18">
        <v>0</v>
      </c>
      <c r="I89" s="18">
        <v>1</v>
      </c>
      <c r="J89" s="18">
        <v>2</v>
      </c>
      <c r="K89" s="18">
        <v>3</v>
      </c>
      <c r="L89" s="18">
        <v>4</v>
      </c>
      <c r="M89" s="18">
        <v>5</v>
      </c>
      <c r="N89" s="18">
        <v>6</v>
      </c>
      <c r="O89" s="18">
        <v>7</v>
      </c>
      <c r="P89" s="18">
        <v>8</v>
      </c>
      <c r="Q89" s="18">
        <v>9</v>
      </c>
      <c r="R89" s="18">
        <v>10</v>
      </c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9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6" t="s">
        <v>16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 t="s">
        <v>31</v>
      </c>
      <c r="D92" s="1" t="s">
        <v>40</v>
      </c>
      <c r="E92" s="1"/>
      <c r="F92" s="1"/>
      <c r="G92" s="1"/>
      <c r="H92" s="44">
        <f t="shared" ref="H92:R92" si="4">IF(OR($D$85="FIC",$D$85="COMBO"),H78*(1-$D$69),H78)</f>
        <v>56.0958904038811</v>
      </c>
      <c r="I92" s="44">
        <f t="shared" si="4"/>
        <v>56.0958904038811</v>
      </c>
      <c r="J92" s="44">
        <f t="shared" si="4"/>
        <v>44.166709388630871</v>
      </c>
      <c r="K92" s="44">
        <f t="shared" si="4"/>
        <v>48.097933690248716</v>
      </c>
      <c r="L92" s="44">
        <f t="shared" si="4"/>
        <v>44.151818387488369</v>
      </c>
      <c r="M92" s="44">
        <f t="shared" si="4"/>
        <v>40.436513602436648</v>
      </c>
      <c r="N92" s="44">
        <f t="shared" si="4"/>
        <v>40.436513602436641</v>
      </c>
      <c r="O92" s="44">
        <f t="shared" si="4"/>
        <v>40.436513602436641</v>
      </c>
      <c r="P92" s="44">
        <f t="shared" si="4"/>
        <v>40.436513602436641</v>
      </c>
      <c r="Q92" s="44">
        <f t="shared" si="4"/>
        <v>40.436513602436641</v>
      </c>
      <c r="R92" s="44">
        <f t="shared" si="4"/>
        <v>40.436513602436641</v>
      </c>
      <c r="S92" s="23"/>
      <c r="T92" s="23"/>
      <c r="U92" s="23"/>
      <c r="V92" s="23"/>
      <c r="W92" s="23"/>
      <c r="X92" s="23"/>
      <c r="Y92" s="23"/>
      <c r="Z92" s="23"/>
      <c r="AA92" s="23"/>
    </row>
    <row r="93" spans="1:27" ht="15.75" customHeight="1" x14ac:dyDescent="0.2">
      <c r="A93" s="1"/>
      <c r="B93" s="1"/>
      <c r="C93" s="1" t="s">
        <v>92</v>
      </c>
      <c r="D93" s="1" t="s">
        <v>40</v>
      </c>
      <c r="E93" s="1"/>
      <c r="F93" s="1"/>
      <c r="G93" s="1"/>
      <c r="H93" s="44">
        <f>H92*(1+$D$68)</f>
        <v>56.0958904038811</v>
      </c>
      <c r="I93" s="44">
        <f t="shared" ref="I93:R93" si="5">I92*(1+$D$68)</f>
        <v>56.0958904038811</v>
      </c>
      <c r="J93" s="44">
        <f t="shared" si="5"/>
        <v>44.166709388630871</v>
      </c>
      <c r="K93" s="44">
        <f t="shared" si="5"/>
        <v>48.097933690248716</v>
      </c>
      <c r="L93" s="44">
        <f t="shared" si="5"/>
        <v>44.151818387488369</v>
      </c>
      <c r="M93" s="44">
        <f t="shared" si="5"/>
        <v>40.436513602436648</v>
      </c>
      <c r="N93" s="44">
        <f t="shared" si="5"/>
        <v>40.436513602436641</v>
      </c>
      <c r="O93" s="44">
        <f t="shared" si="5"/>
        <v>40.436513602436641</v>
      </c>
      <c r="P93" s="44">
        <f t="shared" si="5"/>
        <v>40.436513602436641</v>
      </c>
      <c r="Q93" s="44">
        <f t="shared" si="5"/>
        <v>40.436513602436641</v>
      </c>
      <c r="R93" s="44">
        <f t="shared" si="5"/>
        <v>40.436513602436641</v>
      </c>
      <c r="S93" s="23"/>
      <c r="T93" s="23"/>
      <c r="U93" s="23"/>
      <c r="V93" s="23"/>
      <c r="W93" s="23"/>
      <c r="X93" s="23"/>
      <c r="Y93" s="23"/>
      <c r="Z93" s="23"/>
      <c r="AA93" s="23"/>
    </row>
    <row r="94" spans="1:27" ht="15.75" customHeight="1" x14ac:dyDescent="0.2">
      <c r="A94" s="1"/>
      <c r="B94" s="1"/>
      <c r="C94" s="1" t="s">
        <v>44</v>
      </c>
      <c r="D94" s="1" t="s">
        <v>18</v>
      </c>
      <c r="E94" s="1"/>
      <c r="F94" s="1"/>
      <c r="G94" s="1"/>
      <c r="H94" s="44"/>
      <c r="I94" s="44">
        <f>IF(OR($D$85="BASE",$D$85="FIP"),$D$67,0)</f>
        <v>133.0622648571422</v>
      </c>
      <c r="J94" s="44">
        <f t="shared" ref="J94:R94" si="6">IF(OR($D$85="BASE",$D$85="FIP"),$D$67,0)</f>
        <v>133.0622648571422</v>
      </c>
      <c r="K94" s="44">
        <f t="shared" si="6"/>
        <v>133.0622648571422</v>
      </c>
      <c r="L94" s="44">
        <f t="shared" si="6"/>
        <v>133.0622648571422</v>
      </c>
      <c r="M94" s="44">
        <f t="shared" si="6"/>
        <v>133.0622648571422</v>
      </c>
      <c r="N94" s="44">
        <f t="shared" si="6"/>
        <v>133.0622648571422</v>
      </c>
      <c r="O94" s="44">
        <f t="shared" si="6"/>
        <v>133.0622648571422</v>
      </c>
      <c r="P94" s="44">
        <f t="shared" si="6"/>
        <v>133.0622648571422</v>
      </c>
      <c r="Q94" s="44">
        <f t="shared" si="6"/>
        <v>133.0622648571422</v>
      </c>
      <c r="R94" s="44">
        <f t="shared" si="6"/>
        <v>133.0622648571422</v>
      </c>
      <c r="S94" s="23"/>
      <c r="T94" s="23"/>
      <c r="U94" s="23"/>
      <c r="V94" s="23"/>
      <c r="W94" s="23"/>
      <c r="X94" s="23"/>
      <c r="Y94" s="23"/>
      <c r="Z94" s="23"/>
      <c r="AA94" s="23"/>
    </row>
    <row r="95" spans="1:27" ht="15.75" customHeight="1" x14ac:dyDescent="0.2">
      <c r="A95" s="1"/>
      <c r="B95" s="1"/>
      <c r="C95" s="42" t="s">
        <v>45</v>
      </c>
      <c r="D95" s="42" t="s">
        <v>18</v>
      </c>
      <c r="E95" s="43"/>
      <c r="F95" s="43"/>
      <c r="G95" s="43"/>
      <c r="H95" s="45"/>
      <c r="I95" s="45">
        <f>$D$43-I94</f>
        <v>310.47861799999851</v>
      </c>
      <c r="J95" s="45">
        <f t="shared" ref="J95:R95" si="7">$D$43-J94</f>
        <v>310.47861799999851</v>
      </c>
      <c r="K95" s="45">
        <f t="shared" si="7"/>
        <v>310.47861799999851</v>
      </c>
      <c r="L95" s="45">
        <f t="shared" si="7"/>
        <v>310.47861799999851</v>
      </c>
      <c r="M95" s="45">
        <f t="shared" si="7"/>
        <v>310.47861799999851</v>
      </c>
      <c r="N95" s="45">
        <f t="shared" si="7"/>
        <v>310.47861799999851</v>
      </c>
      <c r="O95" s="45">
        <f t="shared" si="7"/>
        <v>310.47861799999851</v>
      </c>
      <c r="P95" s="45">
        <f t="shared" si="7"/>
        <v>310.47861799999851</v>
      </c>
      <c r="Q95" s="45">
        <f t="shared" si="7"/>
        <v>310.47861799999851</v>
      </c>
      <c r="R95" s="45">
        <f t="shared" si="7"/>
        <v>310.47861799999851</v>
      </c>
      <c r="S95" s="23"/>
      <c r="T95" s="23"/>
      <c r="U95" s="23"/>
      <c r="V95" s="23"/>
      <c r="W95" s="23"/>
      <c r="X95" s="23"/>
      <c r="Y95" s="23"/>
      <c r="Z95" s="23"/>
      <c r="AA95" s="23"/>
    </row>
    <row r="96" spans="1:27" ht="15.75" customHeight="1" x14ac:dyDescent="0.2">
      <c r="A96" s="9"/>
      <c r="B96" s="9"/>
      <c r="C96" s="9" t="s">
        <v>21</v>
      </c>
      <c r="D96" s="24" t="s">
        <v>35</v>
      </c>
      <c r="E96" s="9"/>
      <c r="F96" s="9"/>
      <c r="G96" s="9"/>
      <c r="H96" s="46">
        <f>(H95*H92+H94*H93)/1000</f>
        <v>0</v>
      </c>
      <c r="I96" s="46">
        <f>(I95*I92+I94*I93)/1000</f>
        <v>24.880820754394829</v>
      </c>
      <c r="J96" s="46">
        <f t="shared" ref="J96:R96" si="8">(J95*J92+J94*J93)/1000</f>
        <v>19.589741275128102</v>
      </c>
      <c r="K96" s="46">
        <f t="shared" si="8"/>
        <v>21.33339997257713</v>
      </c>
      <c r="L96" s="46">
        <f t="shared" si="8"/>
        <v>19.583136507334729</v>
      </c>
      <c r="M96" s="46">
        <f t="shared" si="8"/>
        <v>17.935246942889528</v>
      </c>
      <c r="N96" s="46">
        <f t="shared" si="8"/>
        <v>17.935246942889528</v>
      </c>
      <c r="O96" s="46">
        <f t="shared" si="8"/>
        <v>17.935246942889528</v>
      </c>
      <c r="P96" s="46">
        <f t="shared" si="8"/>
        <v>17.935246942889528</v>
      </c>
      <c r="Q96" s="46">
        <f t="shared" si="8"/>
        <v>17.935246942889528</v>
      </c>
      <c r="R96" s="46">
        <f t="shared" si="8"/>
        <v>17.935246942889528</v>
      </c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5.75" customHeight="1" x14ac:dyDescent="0.2">
      <c r="A97" s="1"/>
      <c r="B97" s="1"/>
      <c r="C97" s="1"/>
      <c r="D97" s="1"/>
      <c r="E97" s="1"/>
      <c r="F97" s="1"/>
      <c r="G97" s="1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23"/>
      <c r="T97" s="23"/>
      <c r="U97" s="23"/>
      <c r="V97" s="23"/>
      <c r="W97" s="23"/>
      <c r="X97" s="23"/>
      <c r="Y97" s="23"/>
      <c r="Z97" s="23"/>
      <c r="AA97" s="23"/>
    </row>
    <row r="98" spans="1:27" ht="15.75" customHeight="1" x14ac:dyDescent="0.2">
      <c r="A98" s="1"/>
      <c r="B98" s="1"/>
      <c r="C98" s="42" t="s">
        <v>117</v>
      </c>
      <c r="D98" s="42" t="s">
        <v>35</v>
      </c>
      <c r="E98" s="42"/>
      <c r="F98" s="42"/>
      <c r="G98" s="42"/>
      <c r="H98" s="45">
        <f>H95*H78*$D$63/1000</f>
        <v>0</v>
      </c>
      <c r="I98" s="45">
        <f t="shared" ref="I98:R98" si="9">I95*I78*$D$63/1000</f>
        <v>2.6124861792114569</v>
      </c>
      <c r="J98" s="45">
        <f t="shared" si="9"/>
        <v>2.0569228338884509</v>
      </c>
      <c r="K98" s="45">
        <f t="shared" si="9"/>
        <v>2.2400069971205987</v>
      </c>
      <c r="L98" s="45">
        <f t="shared" si="9"/>
        <v>2.0562293332701467</v>
      </c>
      <c r="M98" s="45">
        <f t="shared" si="9"/>
        <v>1.8832009290034004</v>
      </c>
      <c r="N98" s="45">
        <f t="shared" si="9"/>
        <v>1.8832009290034002</v>
      </c>
      <c r="O98" s="45">
        <f t="shared" si="9"/>
        <v>1.8832009290034002</v>
      </c>
      <c r="P98" s="45">
        <f t="shared" si="9"/>
        <v>1.8832009290034002</v>
      </c>
      <c r="Q98" s="45">
        <f t="shared" si="9"/>
        <v>1.8832009290034002</v>
      </c>
      <c r="R98" s="45">
        <f t="shared" si="9"/>
        <v>1.8832009290034002</v>
      </c>
      <c r="S98" s="23"/>
      <c r="T98" s="23"/>
      <c r="U98" s="23"/>
      <c r="V98" s="23"/>
      <c r="W98" s="23"/>
      <c r="X98" s="23"/>
      <c r="Y98" s="23"/>
      <c r="Z98" s="23"/>
      <c r="AA98" s="23"/>
    </row>
    <row r="99" spans="1:27" ht="15.75" customHeight="1" x14ac:dyDescent="0.2">
      <c r="A99" s="9"/>
      <c r="B99" s="9"/>
      <c r="C99" s="9" t="s">
        <v>105</v>
      </c>
      <c r="D99" s="24" t="s">
        <v>35</v>
      </c>
      <c r="E99" s="9"/>
      <c r="F99" s="9"/>
      <c r="G99" s="9"/>
      <c r="H99" s="46">
        <f>H98+H96</f>
        <v>0</v>
      </c>
      <c r="I99" s="46">
        <f t="shared" ref="I99:R99" si="10">I98+I96</f>
        <v>27.493306933606284</v>
      </c>
      <c r="J99" s="46">
        <f t="shared" si="10"/>
        <v>21.646664109016552</v>
      </c>
      <c r="K99" s="46">
        <f t="shared" si="10"/>
        <v>23.573406969697729</v>
      </c>
      <c r="L99" s="46">
        <f t="shared" si="10"/>
        <v>21.639365840604874</v>
      </c>
      <c r="M99" s="46">
        <f t="shared" si="10"/>
        <v>19.818447871892928</v>
      </c>
      <c r="N99" s="46">
        <f t="shared" si="10"/>
        <v>19.818447871892928</v>
      </c>
      <c r="O99" s="46">
        <f t="shared" si="10"/>
        <v>19.818447871892928</v>
      </c>
      <c r="P99" s="46">
        <f t="shared" si="10"/>
        <v>19.818447871892928</v>
      </c>
      <c r="Q99" s="46">
        <f t="shared" si="10"/>
        <v>19.818447871892928</v>
      </c>
      <c r="R99" s="46">
        <f t="shared" si="10"/>
        <v>19.818447871892928</v>
      </c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6" t="s">
        <v>20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 t="s">
        <v>19</v>
      </c>
      <c r="D102" s="1" t="s">
        <v>35</v>
      </c>
      <c r="E102" s="1"/>
      <c r="F102" s="1"/>
      <c r="G102" s="1"/>
      <c r="H102" s="44">
        <f t="shared" ref="H102:R102" si="11">-($D$58*(H94+H95)/1000)-($D$57*$D$39/1000)</f>
        <v>-0.32900000000000001</v>
      </c>
      <c r="I102" s="44">
        <f t="shared" si="11"/>
        <v>-1.4378522071428517</v>
      </c>
      <c r="J102" s="44">
        <f t="shared" si="11"/>
        <v>-1.4378522071428517</v>
      </c>
      <c r="K102" s="44">
        <f t="shared" si="11"/>
        <v>-1.4378522071428517</v>
      </c>
      <c r="L102" s="44">
        <f t="shared" si="11"/>
        <v>-1.4378522071428517</v>
      </c>
      <c r="M102" s="44">
        <f t="shared" si="11"/>
        <v>-1.4378522071428517</v>
      </c>
      <c r="N102" s="44">
        <f t="shared" si="11"/>
        <v>-1.4378522071428517</v>
      </c>
      <c r="O102" s="44">
        <f t="shared" si="11"/>
        <v>-1.4378522071428517</v>
      </c>
      <c r="P102" s="44">
        <f t="shared" si="11"/>
        <v>-1.4378522071428517</v>
      </c>
      <c r="Q102" s="44">
        <f t="shared" si="11"/>
        <v>-1.4378522071428517</v>
      </c>
      <c r="R102" s="44">
        <f t="shared" si="11"/>
        <v>-1.4378522071428517</v>
      </c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 ht="15.75" customHeight="1" x14ac:dyDescent="0.2">
      <c r="A103" s="1"/>
      <c r="B103" s="1"/>
      <c r="C103" s="42" t="s">
        <v>47</v>
      </c>
      <c r="D103" s="42" t="s">
        <v>35</v>
      </c>
      <c r="E103" s="42"/>
      <c r="F103" s="42"/>
      <c r="G103" s="42"/>
      <c r="H103" s="45">
        <f>-$D$56</f>
        <v>-10</v>
      </c>
      <c r="I103" s="45">
        <f t="shared" ref="I103:R103" si="12">-$D$56</f>
        <v>-10</v>
      </c>
      <c r="J103" s="45">
        <f t="shared" si="12"/>
        <v>-10</v>
      </c>
      <c r="K103" s="45">
        <f t="shared" si="12"/>
        <v>-10</v>
      </c>
      <c r="L103" s="45">
        <f t="shared" si="12"/>
        <v>-10</v>
      </c>
      <c r="M103" s="45">
        <f t="shared" si="12"/>
        <v>-10</v>
      </c>
      <c r="N103" s="45">
        <f t="shared" si="12"/>
        <v>-10</v>
      </c>
      <c r="O103" s="45">
        <f t="shared" si="12"/>
        <v>-10</v>
      </c>
      <c r="P103" s="45">
        <f t="shared" si="12"/>
        <v>-10</v>
      </c>
      <c r="Q103" s="45">
        <f t="shared" si="12"/>
        <v>-10</v>
      </c>
      <c r="R103" s="45">
        <f t="shared" si="12"/>
        <v>-10</v>
      </c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5.75" customHeight="1" x14ac:dyDescent="0.2">
      <c r="A104" s="9"/>
      <c r="B104" s="9"/>
      <c r="C104" s="9" t="s">
        <v>15</v>
      </c>
      <c r="D104" s="9" t="s">
        <v>35</v>
      </c>
      <c r="E104" s="9"/>
      <c r="F104" s="9"/>
      <c r="G104" s="9"/>
      <c r="H104" s="46">
        <f>SUM(H102:H103)</f>
        <v>-10.329000000000001</v>
      </c>
      <c r="I104" s="46">
        <f>SUM(I102:I103)</f>
        <v>-11.437852207142852</v>
      </c>
      <c r="J104" s="46">
        <f t="shared" ref="J104:R104" si="13">SUM(J102:J103)</f>
        <v>-11.437852207142852</v>
      </c>
      <c r="K104" s="46">
        <f t="shared" si="13"/>
        <v>-11.437852207142852</v>
      </c>
      <c r="L104" s="46">
        <f t="shared" si="13"/>
        <v>-11.437852207142852</v>
      </c>
      <c r="M104" s="46">
        <f t="shared" si="13"/>
        <v>-11.437852207142852</v>
      </c>
      <c r="N104" s="46">
        <f t="shared" si="13"/>
        <v>-11.437852207142852</v>
      </c>
      <c r="O104" s="46">
        <f t="shared" si="13"/>
        <v>-11.437852207142852</v>
      </c>
      <c r="P104" s="46">
        <f t="shared" si="13"/>
        <v>-11.437852207142852</v>
      </c>
      <c r="Q104" s="46">
        <f t="shared" si="13"/>
        <v>-11.437852207142852</v>
      </c>
      <c r="R104" s="46">
        <f t="shared" si="13"/>
        <v>-11.437852207142852</v>
      </c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6" t="s">
        <v>50</v>
      </c>
      <c r="C107" s="1"/>
      <c r="D107" s="1"/>
      <c r="E107" s="1"/>
      <c r="F107" s="88" t="s">
        <v>17</v>
      </c>
      <c r="G107" s="90"/>
      <c r="H107" s="18">
        <v>0</v>
      </c>
      <c r="I107" s="18">
        <v>1</v>
      </c>
      <c r="J107" s="18">
        <v>2</v>
      </c>
      <c r="K107" s="18">
        <v>3</v>
      </c>
      <c r="L107" s="18">
        <v>4</v>
      </c>
      <c r="M107" s="18">
        <v>5</v>
      </c>
      <c r="N107" s="18">
        <v>6</v>
      </c>
      <c r="O107" s="18">
        <v>7</v>
      </c>
      <c r="P107" s="18">
        <v>8</v>
      </c>
      <c r="Q107" s="18">
        <v>9</v>
      </c>
      <c r="R107" s="18">
        <v>10</v>
      </c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 t="s">
        <v>16</v>
      </c>
      <c r="D108" s="1" t="s">
        <v>35</v>
      </c>
      <c r="E108" s="1"/>
      <c r="F108" s="1"/>
      <c r="G108" s="1"/>
      <c r="H108" s="44">
        <f>H99</f>
        <v>0</v>
      </c>
      <c r="I108" s="44">
        <f t="shared" ref="I108:R108" si="14">I99</f>
        <v>27.493306933606284</v>
      </c>
      <c r="J108" s="44">
        <f t="shared" si="14"/>
        <v>21.646664109016552</v>
      </c>
      <c r="K108" s="44">
        <f t="shared" si="14"/>
        <v>23.573406969697729</v>
      </c>
      <c r="L108" s="44">
        <f t="shared" si="14"/>
        <v>21.639365840604874</v>
      </c>
      <c r="M108" s="44">
        <f t="shared" si="14"/>
        <v>19.818447871892928</v>
      </c>
      <c r="N108" s="44">
        <f t="shared" si="14"/>
        <v>19.818447871892928</v>
      </c>
      <c r="O108" s="44">
        <f t="shared" si="14"/>
        <v>19.818447871892928</v>
      </c>
      <c r="P108" s="44">
        <f t="shared" si="14"/>
        <v>19.818447871892928</v>
      </c>
      <c r="Q108" s="44">
        <f t="shared" si="14"/>
        <v>19.818447871892928</v>
      </c>
      <c r="R108" s="44">
        <f t="shared" si="14"/>
        <v>19.818447871892928</v>
      </c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2">
      <c r="A109" s="1"/>
      <c r="B109" s="1"/>
      <c r="C109" s="1" t="s">
        <v>15</v>
      </c>
      <c r="D109" s="17" t="s">
        <v>35</v>
      </c>
      <c r="E109" s="1"/>
      <c r="F109" s="1"/>
      <c r="G109" s="1"/>
      <c r="H109" s="44">
        <f t="shared" ref="H109:R109" si="15">H104</f>
        <v>-10.329000000000001</v>
      </c>
      <c r="I109" s="44">
        <f t="shared" si="15"/>
        <v>-11.437852207142852</v>
      </c>
      <c r="J109" s="44">
        <f t="shared" si="15"/>
        <v>-11.437852207142852</v>
      </c>
      <c r="K109" s="44">
        <f t="shared" si="15"/>
        <v>-11.437852207142852</v>
      </c>
      <c r="L109" s="44">
        <f t="shared" si="15"/>
        <v>-11.437852207142852</v>
      </c>
      <c r="M109" s="44">
        <f t="shared" si="15"/>
        <v>-11.437852207142852</v>
      </c>
      <c r="N109" s="44">
        <f t="shared" si="15"/>
        <v>-11.437852207142852</v>
      </c>
      <c r="O109" s="44">
        <f t="shared" si="15"/>
        <v>-11.437852207142852</v>
      </c>
      <c r="P109" s="44">
        <f t="shared" si="15"/>
        <v>-11.437852207142852</v>
      </c>
      <c r="Q109" s="44">
        <f t="shared" si="15"/>
        <v>-11.437852207142852</v>
      </c>
      <c r="R109" s="44">
        <f t="shared" si="15"/>
        <v>-11.437852207142852</v>
      </c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2">
      <c r="A110" s="1"/>
      <c r="B110" s="1"/>
      <c r="C110" s="13" t="s">
        <v>14</v>
      </c>
      <c r="D110" s="13" t="s">
        <v>35</v>
      </c>
      <c r="E110" s="13"/>
      <c r="F110" s="13"/>
      <c r="G110" s="13"/>
      <c r="H110" s="45">
        <f>-D54</f>
        <v>-30.69</v>
      </c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2"/>
      <c r="T110" s="42"/>
      <c r="U110" s="42"/>
      <c r="V110" s="13"/>
      <c r="W110" s="13"/>
      <c r="X110" s="13"/>
      <c r="Y110" s="13"/>
      <c r="Z110" s="13"/>
      <c r="AA110" s="13"/>
    </row>
    <row r="111" spans="1:27" ht="15.75" customHeight="1" x14ac:dyDescent="0.2">
      <c r="A111" s="9"/>
      <c r="B111" s="9"/>
      <c r="C111" s="9" t="s">
        <v>13</v>
      </c>
      <c r="D111" s="9" t="s">
        <v>35</v>
      </c>
      <c r="E111" s="9"/>
      <c r="F111" s="9"/>
      <c r="G111" s="53"/>
      <c r="H111" s="48">
        <f>SUM(H108:H110)</f>
        <v>-41.019000000000005</v>
      </c>
      <c r="I111" s="48">
        <f t="shared" ref="I111:R111" si="16">SUM(I108:I109)</f>
        <v>16.055454726463431</v>
      </c>
      <c r="J111" s="48">
        <f t="shared" si="16"/>
        <v>10.2088119018737</v>
      </c>
      <c r="K111" s="48">
        <f t="shared" si="16"/>
        <v>12.135554762554877</v>
      </c>
      <c r="L111" s="48">
        <f t="shared" si="16"/>
        <v>10.201513633462023</v>
      </c>
      <c r="M111" s="48">
        <f t="shared" si="16"/>
        <v>8.3805956647500768</v>
      </c>
      <c r="N111" s="48">
        <f t="shared" si="16"/>
        <v>8.3805956647500768</v>
      </c>
      <c r="O111" s="48">
        <f t="shared" si="16"/>
        <v>8.3805956647500768</v>
      </c>
      <c r="P111" s="48">
        <f t="shared" si="16"/>
        <v>8.3805956647500768</v>
      </c>
      <c r="Q111" s="48">
        <f t="shared" si="16"/>
        <v>8.3805956647500768</v>
      </c>
      <c r="R111" s="48">
        <f t="shared" si="16"/>
        <v>8.3805956647500768</v>
      </c>
      <c r="S111" s="47"/>
      <c r="T111" s="47"/>
      <c r="U111" s="15"/>
      <c r="V111" s="15"/>
      <c r="W111" s="15"/>
      <c r="X111" s="15"/>
      <c r="Y111" s="15"/>
      <c r="Z111" s="15"/>
      <c r="AA111" s="15"/>
    </row>
    <row r="112" spans="1:27" ht="15.75" customHeight="1" x14ac:dyDescent="0.2">
      <c r="A112" s="9"/>
      <c r="B112" s="9"/>
      <c r="C112" s="4" t="s">
        <v>12</v>
      </c>
      <c r="D112" s="4" t="s">
        <v>35</v>
      </c>
      <c r="E112" s="4"/>
      <c r="F112" s="4"/>
      <c r="G112" s="53"/>
      <c r="H112" s="48">
        <f>H111</f>
        <v>-41.019000000000005</v>
      </c>
      <c r="I112" s="48">
        <f t="shared" ref="I112:R112" si="17">I111</f>
        <v>16.055454726463431</v>
      </c>
      <c r="J112" s="48">
        <f t="shared" si="17"/>
        <v>10.2088119018737</v>
      </c>
      <c r="K112" s="48">
        <f t="shared" si="17"/>
        <v>12.135554762554877</v>
      </c>
      <c r="L112" s="48">
        <f t="shared" si="17"/>
        <v>10.201513633462023</v>
      </c>
      <c r="M112" s="48">
        <f t="shared" si="17"/>
        <v>8.3805956647500768</v>
      </c>
      <c r="N112" s="48">
        <f t="shared" si="17"/>
        <v>8.3805956647500768</v>
      </c>
      <c r="O112" s="48">
        <f t="shared" si="17"/>
        <v>8.3805956647500768</v>
      </c>
      <c r="P112" s="48">
        <f t="shared" si="17"/>
        <v>8.3805956647500768</v>
      </c>
      <c r="Q112" s="48">
        <f t="shared" si="17"/>
        <v>8.3805956647500768</v>
      </c>
      <c r="R112" s="48">
        <f t="shared" si="17"/>
        <v>8.3805956647500768</v>
      </c>
      <c r="S112" s="25"/>
      <c r="T112" s="25"/>
      <c r="U112" s="14"/>
      <c r="V112" s="14"/>
      <c r="W112" s="14"/>
      <c r="X112" s="14"/>
      <c r="Y112" s="14"/>
      <c r="Z112" s="14"/>
      <c r="AA112" s="14"/>
    </row>
    <row r="113" spans="1:27" ht="15.75" customHeight="1" x14ac:dyDescent="0.2">
      <c r="A113" s="11"/>
      <c r="B113" s="11"/>
      <c r="C113" s="11" t="s">
        <v>11</v>
      </c>
      <c r="D113" s="11" t="s">
        <v>35</v>
      </c>
      <c r="E113" s="11"/>
      <c r="F113" s="11"/>
      <c r="G113" s="11"/>
      <c r="H113" s="44">
        <f>-$D$54/$D$37</f>
        <v>-3.069</v>
      </c>
      <c r="I113" s="44">
        <f t="shared" ref="I113:R113" si="18">-$D$54/$D$37</f>
        <v>-3.069</v>
      </c>
      <c r="J113" s="44">
        <f t="shared" si="18"/>
        <v>-3.069</v>
      </c>
      <c r="K113" s="44">
        <f t="shared" si="18"/>
        <v>-3.069</v>
      </c>
      <c r="L113" s="44">
        <f t="shared" si="18"/>
        <v>-3.069</v>
      </c>
      <c r="M113" s="44">
        <f t="shared" si="18"/>
        <v>-3.069</v>
      </c>
      <c r="N113" s="44">
        <f t="shared" si="18"/>
        <v>-3.069</v>
      </c>
      <c r="O113" s="44">
        <f t="shared" si="18"/>
        <v>-3.069</v>
      </c>
      <c r="P113" s="44">
        <f t="shared" si="18"/>
        <v>-3.069</v>
      </c>
      <c r="Q113" s="44">
        <f t="shared" si="18"/>
        <v>-3.069</v>
      </c>
      <c r="R113" s="44">
        <f t="shared" si="18"/>
        <v>-3.069</v>
      </c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2">
      <c r="A114" s="1"/>
      <c r="B114" s="1"/>
      <c r="C114" s="1" t="s">
        <v>10</v>
      </c>
      <c r="D114" s="1" t="s">
        <v>35</v>
      </c>
      <c r="E114" s="1"/>
      <c r="F114" s="1"/>
      <c r="G114" s="1"/>
      <c r="H114" s="44">
        <f t="shared" ref="H114:R114" si="19">SUM(H112:H113)</f>
        <v>-44.088000000000008</v>
      </c>
      <c r="I114" s="44">
        <f t="shared" si="19"/>
        <v>12.986454726463432</v>
      </c>
      <c r="J114" s="44">
        <f t="shared" si="19"/>
        <v>7.1398119018737001</v>
      </c>
      <c r="K114" s="44">
        <f t="shared" si="19"/>
        <v>9.0665547625548761</v>
      </c>
      <c r="L114" s="44">
        <f t="shared" si="19"/>
        <v>7.1325136334620227</v>
      </c>
      <c r="M114" s="44">
        <f t="shared" si="19"/>
        <v>5.3115956647500768</v>
      </c>
      <c r="N114" s="44">
        <f t="shared" si="19"/>
        <v>5.3115956647500768</v>
      </c>
      <c r="O114" s="44">
        <f t="shared" si="19"/>
        <v>5.3115956647500768</v>
      </c>
      <c r="P114" s="44">
        <f t="shared" si="19"/>
        <v>5.3115956647500768</v>
      </c>
      <c r="Q114" s="44">
        <f t="shared" si="19"/>
        <v>5.3115956647500768</v>
      </c>
      <c r="R114" s="44">
        <f t="shared" si="19"/>
        <v>5.3115956647500768</v>
      </c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2">
      <c r="A115" s="1"/>
      <c r="B115" s="1"/>
      <c r="C115" s="13" t="s">
        <v>9</v>
      </c>
      <c r="D115" s="13" t="s">
        <v>35</v>
      </c>
      <c r="E115" s="13"/>
      <c r="F115" s="13"/>
      <c r="G115" s="42"/>
      <c r="H115" s="45"/>
      <c r="I115" s="45">
        <f t="shared" ref="I115:R115" si="20">-I114*$D$23</f>
        <v>-3.1167491343512235</v>
      </c>
      <c r="J115" s="45">
        <f t="shared" si="20"/>
        <v>-1.7135548564496879</v>
      </c>
      <c r="K115" s="45">
        <f t="shared" si="20"/>
        <v>-2.1759731430131701</v>
      </c>
      <c r="L115" s="45">
        <f t="shared" si="20"/>
        <v>-1.7118032720308853</v>
      </c>
      <c r="M115" s="45">
        <f t="shared" si="20"/>
        <v>-1.2747829595400184</v>
      </c>
      <c r="N115" s="45">
        <f t="shared" si="20"/>
        <v>-1.2747829595400184</v>
      </c>
      <c r="O115" s="45">
        <f t="shared" si="20"/>
        <v>-1.2747829595400184</v>
      </c>
      <c r="P115" s="45">
        <f t="shared" si="20"/>
        <v>-1.2747829595400184</v>
      </c>
      <c r="Q115" s="45">
        <f t="shared" si="20"/>
        <v>-1.2747829595400184</v>
      </c>
      <c r="R115" s="45">
        <f t="shared" si="20"/>
        <v>-1.2747829595400184</v>
      </c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.75" customHeight="1" x14ac:dyDescent="0.2">
      <c r="A116" s="1"/>
      <c r="B116" s="1"/>
      <c r="C116" s="9" t="s">
        <v>8</v>
      </c>
      <c r="D116" s="9" t="s">
        <v>35</v>
      </c>
      <c r="E116" s="9"/>
      <c r="F116" s="1"/>
      <c r="G116" s="1"/>
      <c r="H116" s="46">
        <f>H114</f>
        <v>-44.088000000000008</v>
      </c>
      <c r="I116" s="46">
        <f t="shared" ref="I116:R116" si="21">SUM(I112,I115)</f>
        <v>12.938705592112207</v>
      </c>
      <c r="J116" s="46">
        <f t="shared" si="21"/>
        <v>8.4952570454240117</v>
      </c>
      <c r="K116" s="46">
        <f t="shared" si="21"/>
        <v>9.9595816195417068</v>
      </c>
      <c r="L116" s="46">
        <f t="shared" si="21"/>
        <v>8.489710361431138</v>
      </c>
      <c r="M116" s="46">
        <f t="shared" si="21"/>
        <v>7.1058127052100586</v>
      </c>
      <c r="N116" s="46">
        <f t="shared" si="21"/>
        <v>7.1058127052100586</v>
      </c>
      <c r="O116" s="46">
        <f t="shared" si="21"/>
        <v>7.1058127052100586</v>
      </c>
      <c r="P116" s="46">
        <f t="shared" si="21"/>
        <v>7.1058127052100586</v>
      </c>
      <c r="Q116" s="46">
        <f t="shared" si="21"/>
        <v>7.1058127052100586</v>
      </c>
      <c r="R116" s="46">
        <f t="shared" si="21"/>
        <v>7.1058127052100586</v>
      </c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2">
      <c r="A117" s="1"/>
      <c r="B117" s="1"/>
      <c r="C117" s="1" t="s">
        <v>7</v>
      </c>
      <c r="D117" s="1" t="s">
        <v>35</v>
      </c>
      <c r="E117" s="1"/>
      <c r="F117" s="1"/>
      <c r="G117" s="1"/>
      <c r="H117" s="44">
        <f t="shared" ref="H117:R117" si="22">H116/(1+$D$22)^H89</f>
        <v>-44.088000000000008</v>
      </c>
      <c r="I117" s="44">
        <f t="shared" si="22"/>
        <v>11.861144284946519</v>
      </c>
      <c r="J117" s="44">
        <f t="shared" si="22"/>
        <v>7.1391751984871448</v>
      </c>
      <c r="K117" s="44">
        <f t="shared" si="22"/>
        <v>7.6727026669053462</v>
      </c>
      <c r="L117" s="44">
        <f t="shared" si="22"/>
        <v>5.9956449307039898</v>
      </c>
      <c r="M117" s="44">
        <f t="shared" si="22"/>
        <v>4.6003677013106898</v>
      </c>
      <c r="N117" s="44">
        <f t="shared" si="22"/>
        <v>4.2172398684392789</v>
      </c>
      <c r="O117" s="44">
        <f t="shared" si="22"/>
        <v>3.8660196885754563</v>
      </c>
      <c r="P117" s="44">
        <f t="shared" si="22"/>
        <v>3.5440498284922897</v>
      </c>
      <c r="Q117" s="44">
        <f t="shared" si="22"/>
        <v>3.2488942629944075</v>
      </c>
      <c r="R117" s="44">
        <f t="shared" si="22"/>
        <v>2.9783198439420415</v>
      </c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2">
      <c r="A118" s="1"/>
      <c r="B118" s="1"/>
      <c r="C118" s="1" t="s">
        <v>51</v>
      </c>
      <c r="D118" s="1" t="s">
        <v>35</v>
      </c>
      <c r="E118" s="1"/>
      <c r="F118" s="1"/>
      <c r="G118" s="1"/>
      <c r="H118" s="44">
        <f>H117</f>
        <v>-44.088000000000008</v>
      </c>
      <c r="I118" s="44">
        <f>H118+I117</f>
        <v>-32.226855715053489</v>
      </c>
      <c r="J118" s="44">
        <f t="shared" ref="J118:R118" si="23">I118+J117</f>
        <v>-25.087680516566344</v>
      </c>
      <c r="K118" s="44">
        <f t="shared" si="23"/>
        <v>-17.414977849661</v>
      </c>
      <c r="L118" s="44">
        <f t="shared" si="23"/>
        <v>-11.419332918957011</v>
      </c>
      <c r="M118" s="44">
        <f t="shared" si="23"/>
        <v>-6.8189652176463209</v>
      </c>
      <c r="N118" s="44">
        <f t="shared" si="23"/>
        <v>-2.601725349207042</v>
      </c>
      <c r="O118" s="44">
        <f t="shared" si="23"/>
        <v>1.2642943393684143</v>
      </c>
      <c r="P118" s="44">
        <f t="shared" si="23"/>
        <v>4.808344167860704</v>
      </c>
      <c r="Q118" s="44">
        <f t="shared" si="23"/>
        <v>8.0572384308551115</v>
      </c>
      <c r="R118" s="44">
        <f t="shared" si="23"/>
        <v>11.035558274797154</v>
      </c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2">
      <c r="A119" s="1"/>
      <c r="B119" s="1"/>
      <c r="C119" s="1"/>
      <c r="D119" s="1"/>
      <c r="E119" s="1"/>
      <c r="F119" s="1"/>
      <c r="G119" s="1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44">
        <f>IF(H118&lt;0,(13-6)/12,0)</f>
        <v>0.58333333333333337</v>
      </c>
      <c r="I120" s="44">
        <f>IF(COUNTIF($H120:H120,"=0")=COUNTA($H120:H120),IF(I118&lt;0,(13-6)/12,0),IF(I118&lt;0,1,IF(I118=0,IF(H118&gt;=0,0,1),IF(H118&lt;0,-H118/I117,0))))</f>
        <v>1</v>
      </c>
      <c r="J120" s="44">
        <f>IF(COUNTIF($H120:I120,"=0")=COUNTA($H120:I120),IF(J118&lt;0,(13-6)/12,0),IF(J118&lt;0,1,IF(J118=0,IF(I118&gt;=0,0,1),IF(I118&lt;0,-I118/J117,0))))</f>
        <v>1</v>
      </c>
      <c r="K120" s="44">
        <f>IF(COUNTIF($H120:J120,"=0")=COUNTA($H120:J120),IF(K118&lt;0,(13-6)/12,0),IF(K118&lt;0,1,IF(K118=0,IF(J118&gt;=0,0,1),IF(J118&lt;0,-J118/K117,0))))</f>
        <v>1</v>
      </c>
      <c r="L120" s="44">
        <f>IF(COUNTIF($H120:K120,"=0")=COUNTA($H120:K120),IF(L118&lt;0,(13-6)/12,0),IF(L118&lt;0,1,IF(L118=0,IF(K118&gt;=0,0,1),IF(K118&lt;0,-K118/L117,0))))</f>
        <v>1</v>
      </c>
      <c r="M120" s="44">
        <f>IF(COUNTIF($H120:L120,"=0")=COUNTA($H120:L120),IF(M118&lt;0,(13-6)/12,0),IF(M118&lt;0,1,IF(M118=0,IF(L118&gt;=0,0,1),IF(L118&lt;0,-L118/M117,0))))</f>
        <v>1</v>
      </c>
      <c r="N120" s="44">
        <f>IF(COUNTIF($H120:M120,"=0")=COUNTA($H120:M120),IF(N118&lt;0,(13-6)/12,0),IF(N118&lt;0,1,IF(N118=0,IF(M118&gt;=0,0,1),IF(M118&lt;0,-M118/N117,0))))</f>
        <v>1</v>
      </c>
      <c r="O120" s="44">
        <f>IF(COUNTIF($H120:N120,"=0")=COUNTA($H120:N120),IF(O118&lt;0,(13-6)/12,0),IF(O118&lt;0,1,IF(O118=0,IF(N118&gt;=0,0,1),IF(N118&lt;0,-N118/O117,0))))</f>
        <v>0.6729726071741039</v>
      </c>
      <c r="P120" s="44">
        <f>IF(COUNTIF($H120:O120,"=0")=COUNTA($H120:O120),IF(P118&lt;0,(13-6)/12,0),IF(P118&lt;0,1,IF(P118=0,IF(O118&gt;=0,0,1),IF(O118&lt;0,-O118/P117,0))))</f>
        <v>0</v>
      </c>
      <c r="Q120" s="44">
        <f>IF(COUNTIF($H120:P120,"=0")=COUNTA($H120:P120),IF(Q118&lt;0,(13-6)/12,0),IF(Q118&lt;0,1,IF(Q118=0,IF(P118&gt;=0,0,1),IF(P118&lt;0,-P118/Q117,0))))</f>
        <v>0</v>
      </c>
      <c r="R120" s="44">
        <f>IF(COUNTIF($H120:Q120,"=0")=COUNTA($H120:Q120),IF(R118&lt;0,(13-6)/12,0),IF(R118&lt;0,1,IF(R118=0,IF(Q118&gt;=0,0,1),IF(Q118&lt;0,-Q118/R117,0))))</f>
        <v>0</v>
      </c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2">
      <c r="A121" s="1"/>
      <c r="B121" s="1"/>
      <c r="C121" s="1"/>
      <c r="D121" s="1" t="s">
        <v>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6" t="s">
        <v>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5" t="s">
        <v>4</v>
      </c>
      <c r="D123" s="4" t="s">
        <v>35</v>
      </c>
      <c r="E123" s="3"/>
      <c r="F123" s="81">
        <f>NPV(D22,I116:R116)+H116</f>
        <v>11.035558274797161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9"/>
      <c r="C125" s="5" t="s">
        <v>3</v>
      </c>
      <c r="D125" s="4" t="s">
        <v>35</v>
      </c>
      <c r="E125" s="3"/>
      <c r="F125" s="80">
        <f>SUM(H117:R117)</f>
        <v>11.035558274797154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7">
        <f>NPV(F129,I116:R116)+H116</f>
        <v>3.6779387185248424E-4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6" t="s">
        <v>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5" t="s">
        <v>1</v>
      </c>
      <c r="D129" s="4" t="s">
        <v>0</v>
      </c>
      <c r="E129" s="3"/>
      <c r="F129" s="2">
        <v>0.15244997463852064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6" t="s">
        <v>48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49" t="s">
        <v>49</v>
      </c>
      <c r="D133" s="50" t="s">
        <v>27</v>
      </c>
      <c r="E133" s="51"/>
      <c r="F133" s="52">
        <f>IF(SUM(H120:R120)=0,0,SUM(H120:R120))</f>
        <v>7.2563059405074375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22"/>
      <c r="B137" s="26" t="s">
        <v>99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21"/>
      <c r="B139" s="21"/>
      <c r="C139" s="20"/>
      <c r="D139" s="19"/>
      <c r="E139" s="19"/>
      <c r="F139" s="88" t="s">
        <v>17</v>
      </c>
      <c r="G139" s="90"/>
      <c r="H139" s="18">
        <v>0</v>
      </c>
      <c r="I139" s="18">
        <v>1</v>
      </c>
      <c r="J139" s="18">
        <v>2</v>
      </c>
      <c r="K139" s="18">
        <v>3</v>
      </c>
      <c r="L139" s="18">
        <v>4</v>
      </c>
      <c r="M139" s="18">
        <v>5</v>
      </c>
      <c r="N139" s="18">
        <v>6</v>
      </c>
      <c r="O139" s="18">
        <v>7</v>
      </c>
      <c r="P139" s="18">
        <v>8</v>
      </c>
      <c r="Q139" s="18">
        <v>9</v>
      </c>
      <c r="R139" s="18">
        <v>10</v>
      </c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9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6" t="s">
        <v>100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 t="s">
        <v>31</v>
      </c>
      <c r="D142" s="1" t="s">
        <v>40</v>
      </c>
      <c r="E142" s="1"/>
      <c r="F142" s="1"/>
      <c r="G142" s="1"/>
      <c r="H142" s="44">
        <f>H92</f>
        <v>56.0958904038811</v>
      </c>
      <c r="I142" s="44">
        <f t="shared" ref="I142:R142" si="24">I92</f>
        <v>56.0958904038811</v>
      </c>
      <c r="J142" s="44">
        <f t="shared" si="24"/>
        <v>44.166709388630871</v>
      </c>
      <c r="K142" s="44">
        <f t="shared" si="24"/>
        <v>48.097933690248716</v>
      </c>
      <c r="L142" s="44">
        <f t="shared" si="24"/>
        <v>44.151818387488369</v>
      </c>
      <c r="M142" s="44">
        <f t="shared" si="24"/>
        <v>40.436513602436648</v>
      </c>
      <c r="N142" s="44">
        <f t="shared" si="24"/>
        <v>40.436513602436641</v>
      </c>
      <c r="O142" s="44">
        <f t="shared" si="24"/>
        <v>40.436513602436641</v>
      </c>
      <c r="P142" s="44">
        <f t="shared" si="24"/>
        <v>40.436513602436641</v>
      </c>
      <c r="Q142" s="44">
        <f t="shared" si="24"/>
        <v>40.436513602436641</v>
      </c>
      <c r="R142" s="44">
        <f t="shared" si="24"/>
        <v>40.436513602436641</v>
      </c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 ht="15.75" customHeight="1" x14ac:dyDescent="0.2">
      <c r="A143" s="1"/>
      <c r="B143" s="1"/>
      <c r="C143" s="1" t="s">
        <v>101</v>
      </c>
      <c r="D143" s="1" t="s">
        <v>18</v>
      </c>
      <c r="E143" s="1"/>
      <c r="F143" s="1"/>
      <c r="G143" s="1"/>
      <c r="H143" s="44">
        <f>IF(OR($D$85="BASE",$D$85="FIP"),0,H95+H94)</f>
        <v>0</v>
      </c>
      <c r="I143" s="44">
        <f>IF(OR($D$85="BASE",$D$85="FIP"),0,I95+I94)</f>
        <v>0</v>
      </c>
      <c r="J143" s="44">
        <f t="shared" ref="J143:R143" si="25">IF(OR($D$85="BASE",$D$85="FIP"),0,J95+J94)</f>
        <v>0</v>
      </c>
      <c r="K143" s="44">
        <f t="shared" si="25"/>
        <v>0</v>
      </c>
      <c r="L143" s="44">
        <f t="shared" si="25"/>
        <v>0</v>
      </c>
      <c r="M143" s="44">
        <f t="shared" si="25"/>
        <v>0</v>
      </c>
      <c r="N143" s="44">
        <f t="shared" si="25"/>
        <v>0</v>
      </c>
      <c r="O143" s="44">
        <f t="shared" si="25"/>
        <v>0</v>
      </c>
      <c r="P143" s="44">
        <f t="shared" si="25"/>
        <v>0</v>
      </c>
      <c r="Q143" s="44">
        <f t="shared" si="25"/>
        <v>0</v>
      </c>
      <c r="R143" s="44">
        <f t="shared" si="25"/>
        <v>0</v>
      </c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 ht="15.75" customHeight="1" x14ac:dyDescent="0.2">
      <c r="A144" s="1"/>
      <c r="B144" s="1"/>
      <c r="C144" s="1" t="s">
        <v>104</v>
      </c>
      <c r="D144" s="79" t="s">
        <v>35</v>
      </c>
      <c r="E144" s="1"/>
      <c r="F144" s="1"/>
      <c r="G144" s="1"/>
      <c r="H144" s="44">
        <f>-H142*H143/1000</f>
        <v>0</v>
      </c>
      <c r="I144" s="44">
        <f t="shared" ref="I144:R144" si="26">-I142*I143/1000</f>
        <v>0</v>
      </c>
      <c r="J144" s="44">
        <f t="shared" si="26"/>
        <v>0</v>
      </c>
      <c r="K144" s="44">
        <f t="shared" si="26"/>
        <v>0</v>
      </c>
      <c r="L144" s="44">
        <f t="shared" si="26"/>
        <v>0</v>
      </c>
      <c r="M144" s="44">
        <f t="shared" si="26"/>
        <v>0</v>
      </c>
      <c r="N144" s="44">
        <f t="shared" si="26"/>
        <v>0</v>
      </c>
      <c r="O144" s="44">
        <f t="shared" si="26"/>
        <v>0</v>
      </c>
      <c r="P144" s="44">
        <f t="shared" si="26"/>
        <v>0</v>
      </c>
      <c r="Q144" s="44">
        <f t="shared" si="26"/>
        <v>0</v>
      </c>
      <c r="R144" s="44">
        <f t="shared" si="26"/>
        <v>0</v>
      </c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 ht="15.75" customHeight="1" x14ac:dyDescent="0.2">
      <c r="A145" s="1"/>
      <c r="B145" s="1"/>
      <c r="C145" s="1" t="s">
        <v>15</v>
      </c>
      <c r="D145" s="79" t="s">
        <v>35</v>
      </c>
      <c r="E145" s="1"/>
      <c r="F145" s="1"/>
      <c r="G145" s="1"/>
      <c r="H145" s="44">
        <f>-($D$58*H143/1000)</f>
        <v>0</v>
      </c>
      <c r="I145" s="44">
        <f t="shared" ref="I145:R145" si="27">-($D$58*I143/1000)</f>
        <v>0</v>
      </c>
      <c r="J145" s="44">
        <f t="shared" si="27"/>
        <v>0</v>
      </c>
      <c r="K145" s="44">
        <f t="shared" si="27"/>
        <v>0</v>
      </c>
      <c r="L145" s="44">
        <f t="shared" si="27"/>
        <v>0</v>
      </c>
      <c r="M145" s="44">
        <f t="shared" si="27"/>
        <v>0</v>
      </c>
      <c r="N145" s="44">
        <f t="shared" si="27"/>
        <v>0</v>
      </c>
      <c r="O145" s="44">
        <f t="shared" si="27"/>
        <v>0</v>
      </c>
      <c r="P145" s="44">
        <f t="shared" si="27"/>
        <v>0</v>
      </c>
      <c r="Q145" s="44">
        <f t="shared" si="27"/>
        <v>0</v>
      </c>
      <c r="R145" s="44">
        <f t="shared" si="27"/>
        <v>0</v>
      </c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 ht="15.75" customHeight="1" x14ac:dyDescent="0.2">
      <c r="A146" s="1"/>
      <c r="B146" s="1"/>
      <c r="C146" s="42" t="s">
        <v>47</v>
      </c>
      <c r="D146" s="42" t="s">
        <v>35</v>
      </c>
      <c r="E146" s="43"/>
      <c r="F146" s="43"/>
      <c r="G146" s="43"/>
      <c r="H146" s="45">
        <f t="shared" ref="H146:R146" si="28">IF(H139=0,0,IF(OR($D$85="FIC",$D$85="COMBO"),-$D$55,0))</f>
        <v>0</v>
      </c>
      <c r="I146" s="45">
        <f t="shared" si="28"/>
        <v>0</v>
      </c>
      <c r="J146" s="45">
        <f t="shared" si="28"/>
        <v>0</v>
      </c>
      <c r="K146" s="45">
        <f t="shared" si="28"/>
        <v>0</v>
      </c>
      <c r="L146" s="45">
        <f t="shared" si="28"/>
        <v>0</v>
      </c>
      <c r="M146" s="45">
        <f t="shared" si="28"/>
        <v>0</v>
      </c>
      <c r="N146" s="45">
        <f t="shared" si="28"/>
        <v>0</v>
      </c>
      <c r="O146" s="45">
        <f t="shared" si="28"/>
        <v>0</v>
      </c>
      <c r="P146" s="45">
        <f t="shared" si="28"/>
        <v>0</v>
      </c>
      <c r="Q146" s="45">
        <f t="shared" si="28"/>
        <v>0</v>
      </c>
      <c r="R146" s="45">
        <f t="shared" si="28"/>
        <v>0</v>
      </c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 ht="15.75" customHeight="1" x14ac:dyDescent="0.2">
      <c r="A147" s="9"/>
      <c r="B147" s="9"/>
      <c r="C147" s="9" t="s">
        <v>15</v>
      </c>
      <c r="D147" s="24" t="s">
        <v>35</v>
      </c>
      <c r="E147" s="9"/>
      <c r="F147" s="9"/>
      <c r="G147" s="9"/>
      <c r="H147" s="46">
        <f>H144+H145+H146</f>
        <v>0</v>
      </c>
      <c r="I147" s="46">
        <f t="shared" ref="I147:R147" si="29">I144+I145+I146</f>
        <v>0</v>
      </c>
      <c r="J147" s="46">
        <f t="shared" si="29"/>
        <v>0</v>
      </c>
      <c r="K147" s="46">
        <f t="shared" si="29"/>
        <v>0</v>
      </c>
      <c r="L147" s="46">
        <f t="shared" si="29"/>
        <v>0</v>
      </c>
      <c r="M147" s="46">
        <f t="shared" si="29"/>
        <v>0</v>
      </c>
      <c r="N147" s="46">
        <f t="shared" si="29"/>
        <v>0</v>
      </c>
      <c r="O147" s="46">
        <f t="shared" si="29"/>
        <v>0</v>
      </c>
      <c r="P147" s="46">
        <f t="shared" si="29"/>
        <v>0</v>
      </c>
      <c r="Q147" s="46">
        <f t="shared" si="29"/>
        <v>0</v>
      </c>
      <c r="R147" s="46">
        <f t="shared" si="29"/>
        <v>0</v>
      </c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6" t="s">
        <v>105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 t="s">
        <v>31</v>
      </c>
      <c r="D150" s="1" t="s">
        <v>40</v>
      </c>
      <c r="E150" s="1"/>
      <c r="F150" s="1"/>
      <c r="G150" s="1"/>
      <c r="H150" s="44">
        <f>H78</f>
        <v>56.0958904038811</v>
      </c>
      <c r="I150" s="44">
        <f t="shared" ref="I150:R150" si="30">I78</f>
        <v>56.0958904038811</v>
      </c>
      <c r="J150" s="44">
        <f t="shared" si="30"/>
        <v>44.166709388630871</v>
      </c>
      <c r="K150" s="44">
        <f t="shared" si="30"/>
        <v>48.097933690248716</v>
      </c>
      <c r="L150" s="44">
        <f t="shared" si="30"/>
        <v>44.151818387488369</v>
      </c>
      <c r="M150" s="44">
        <f t="shared" si="30"/>
        <v>40.436513602436648</v>
      </c>
      <c r="N150" s="44">
        <f t="shared" si="30"/>
        <v>40.436513602436641</v>
      </c>
      <c r="O150" s="44">
        <f t="shared" si="30"/>
        <v>40.436513602436641</v>
      </c>
      <c r="P150" s="44">
        <f t="shared" si="30"/>
        <v>40.436513602436641</v>
      </c>
      <c r="Q150" s="44">
        <f t="shared" si="30"/>
        <v>40.436513602436641</v>
      </c>
      <c r="R150" s="44">
        <f t="shared" si="30"/>
        <v>40.436513602436641</v>
      </c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 ht="15.75" customHeight="1" x14ac:dyDescent="0.2">
      <c r="A151" s="1"/>
      <c r="B151" s="1"/>
      <c r="C151" s="1" t="s">
        <v>102</v>
      </c>
      <c r="D151" s="1" t="s">
        <v>18</v>
      </c>
      <c r="E151" s="1"/>
      <c r="F151" s="1"/>
      <c r="G151" s="1"/>
      <c r="H151" s="44">
        <f t="shared" ref="H151:R151" si="31">H143</f>
        <v>0</v>
      </c>
      <c r="I151" s="44">
        <f t="shared" si="31"/>
        <v>0</v>
      </c>
      <c r="J151" s="44">
        <f t="shared" si="31"/>
        <v>0</v>
      </c>
      <c r="K151" s="44">
        <f t="shared" si="31"/>
        <v>0</v>
      </c>
      <c r="L151" s="44">
        <f t="shared" si="31"/>
        <v>0</v>
      </c>
      <c r="M151" s="44">
        <f t="shared" si="31"/>
        <v>0</v>
      </c>
      <c r="N151" s="44">
        <f t="shared" si="31"/>
        <v>0</v>
      </c>
      <c r="O151" s="44">
        <f t="shared" si="31"/>
        <v>0</v>
      </c>
      <c r="P151" s="44">
        <f t="shared" si="31"/>
        <v>0</v>
      </c>
      <c r="Q151" s="44">
        <f t="shared" si="31"/>
        <v>0</v>
      </c>
      <c r="R151" s="44">
        <f t="shared" si="31"/>
        <v>0</v>
      </c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 ht="15.75" customHeight="1" x14ac:dyDescent="0.2">
      <c r="A152" s="1"/>
      <c r="B152" s="1"/>
      <c r="C152" s="1" t="s">
        <v>106</v>
      </c>
      <c r="D152" s="1" t="s">
        <v>35</v>
      </c>
      <c r="E152" s="1"/>
      <c r="F152" s="1"/>
      <c r="G152" s="1"/>
      <c r="H152" s="44">
        <f t="shared" ref="H152:R152" si="32">H150*H151/1000</f>
        <v>0</v>
      </c>
      <c r="I152" s="44">
        <f t="shared" si="32"/>
        <v>0</v>
      </c>
      <c r="J152" s="44">
        <f t="shared" si="32"/>
        <v>0</v>
      </c>
      <c r="K152" s="44">
        <f t="shared" si="32"/>
        <v>0</v>
      </c>
      <c r="L152" s="44">
        <f t="shared" si="32"/>
        <v>0</v>
      </c>
      <c r="M152" s="44">
        <f t="shared" si="32"/>
        <v>0</v>
      </c>
      <c r="N152" s="44">
        <f t="shared" si="32"/>
        <v>0</v>
      </c>
      <c r="O152" s="44">
        <f t="shared" si="32"/>
        <v>0</v>
      </c>
      <c r="P152" s="44">
        <f t="shared" si="32"/>
        <v>0</v>
      </c>
      <c r="Q152" s="44">
        <f t="shared" si="32"/>
        <v>0</v>
      </c>
      <c r="R152" s="44">
        <f t="shared" si="32"/>
        <v>0</v>
      </c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 ht="15.75" customHeight="1" x14ac:dyDescent="0.2">
      <c r="A153" s="1"/>
      <c r="B153" s="1"/>
      <c r="C153" s="42" t="s">
        <v>47</v>
      </c>
      <c r="D153" s="42" t="s">
        <v>35</v>
      </c>
      <c r="E153" s="42"/>
      <c r="F153" s="42"/>
      <c r="G153" s="42"/>
      <c r="H153" s="45">
        <f t="shared" ref="H153:R153" si="33">IF(H139=0,0,IF(OR($D$85="FIC",$D$85="COMBO"),+$D$55*$D$65,0))</f>
        <v>0</v>
      </c>
      <c r="I153" s="45">
        <f t="shared" si="33"/>
        <v>0</v>
      </c>
      <c r="J153" s="45">
        <f t="shared" si="33"/>
        <v>0</v>
      </c>
      <c r="K153" s="45">
        <f t="shared" si="33"/>
        <v>0</v>
      </c>
      <c r="L153" s="45">
        <f t="shared" si="33"/>
        <v>0</v>
      </c>
      <c r="M153" s="45">
        <f t="shared" si="33"/>
        <v>0</v>
      </c>
      <c r="N153" s="45">
        <f t="shared" si="33"/>
        <v>0</v>
      </c>
      <c r="O153" s="45">
        <f t="shared" si="33"/>
        <v>0</v>
      </c>
      <c r="P153" s="45">
        <f t="shared" si="33"/>
        <v>0</v>
      </c>
      <c r="Q153" s="45">
        <f t="shared" si="33"/>
        <v>0</v>
      </c>
      <c r="R153" s="45">
        <f t="shared" si="33"/>
        <v>0</v>
      </c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5.75" customHeight="1" x14ac:dyDescent="0.2">
      <c r="A154" s="9"/>
      <c r="B154" s="9"/>
      <c r="C154" s="9" t="s">
        <v>21</v>
      </c>
      <c r="D154" s="9" t="s">
        <v>35</v>
      </c>
      <c r="E154" s="9"/>
      <c r="F154" s="9"/>
      <c r="G154" s="9"/>
      <c r="H154" s="46">
        <f>H152+H153</f>
        <v>0</v>
      </c>
      <c r="I154" s="46">
        <f>I152+I153</f>
        <v>0</v>
      </c>
      <c r="J154" s="46">
        <f t="shared" ref="J154:R154" si="34">J152+J153</f>
        <v>0</v>
      </c>
      <c r="K154" s="46">
        <f t="shared" si="34"/>
        <v>0</v>
      </c>
      <c r="L154" s="46">
        <f t="shared" si="34"/>
        <v>0</v>
      </c>
      <c r="M154" s="46">
        <f t="shared" si="34"/>
        <v>0</v>
      </c>
      <c r="N154" s="46">
        <f t="shared" si="34"/>
        <v>0</v>
      </c>
      <c r="O154" s="46">
        <f t="shared" si="34"/>
        <v>0</v>
      </c>
      <c r="P154" s="46">
        <f t="shared" si="34"/>
        <v>0</v>
      </c>
      <c r="Q154" s="46">
        <f t="shared" si="34"/>
        <v>0</v>
      </c>
      <c r="R154" s="46">
        <f t="shared" si="34"/>
        <v>0</v>
      </c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42" t="s">
        <v>117</v>
      </c>
      <c r="D156" s="42" t="s">
        <v>35</v>
      </c>
      <c r="E156" s="42"/>
      <c r="F156" s="42"/>
      <c r="G156" s="42"/>
      <c r="H156" s="45">
        <f>H151*H150*$D$63/1000</f>
        <v>0</v>
      </c>
      <c r="I156" s="45">
        <f t="shared" ref="I156:R156" si="35">I151*I150*$D$63/1000</f>
        <v>0</v>
      </c>
      <c r="J156" s="45">
        <f t="shared" si="35"/>
        <v>0</v>
      </c>
      <c r="K156" s="45">
        <f t="shared" si="35"/>
        <v>0</v>
      </c>
      <c r="L156" s="45">
        <f t="shared" si="35"/>
        <v>0</v>
      </c>
      <c r="M156" s="45">
        <f t="shared" si="35"/>
        <v>0</v>
      </c>
      <c r="N156" s="45">
        <f t="shared" si="35"/>
        <v>0</v>
      </c>
      <c r="O156" s="45">
        <f t="shared" si="35"/>
        <v>0</v>
      </c>
      <c r="P156" s="45">
        <f t="shared" si="35"/>
        <v>0</v>
      </c>
      <c r="Q156" s="45">
        <f t="shared" si="35"/>
        <v>0</v>
      </c>
      <c r="R156" s="45">
        <f t="shared" si="35"/>
        <v>0</v>
      </c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 ht="15.75" customHeight="1" x14ac:dyDescent="0.2">
      <c r="A157" s="9"/>
      <c r="B157" s="9"/>
      <c r="C157" s="9" t="s">
        <v>105</v>
      </c>
      <c r="D157" s="24" t="s">
        <v>35</v>
      </c>
      <c r="E157" s="9"/>
      <c r="F157" s="9"/>
      <c r="G157" s="9"/>
      <c r="H157" s="46">
        <f>H156+H154</f>
        <v>0</v>
      </c>
      <c r="I157" s="46">
        <f t="shared" ref="I157:R157" si="36">I156+I154</f>
        <v>0</v>
      </c>
      <c r="J157" s="46">
        <f t="shared" si="36"/>
        <v>0</v>
      </c>
      <c r="K157" s="46">
        <f t="shared" si="36"/>
        <v>0</v>
      </c>
      <c r="L157" s="46">
        <f t="shared" si="36"/>
        <v>0</v>
      </c>
      <c r="M157" s="46">
        <f t="shared" si="36"/>
        <v>0</v>
      </c>
      <c r="N157" s="46">
        <f t="shared" si="36"/>
        <v>0</v>
      </c>
      <c r="O157" s="46">
        <f t="shared" si="36"/>
        <v>0</v>
      </c>
      <c r="P157" s="46">
        <f t="shared" si="36"/>
        <v>0</v>
      </c>
      <c r="Q157" s="46">
        <f t="shared" si="36"/>
        <v>0</v>
      </c>
      <c r="R157" s="46">
        <f t="shared" si="36"/>
        <v>0</v>
      </c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6" t="s">
        <v>50</v>
      </c>
      <c r="C159" s="1"/>
      <c r="D159" s="1"/>
      <c r="E159" s="1"/>
      <c r="F159" s="88" t="s">
        <v>17</v>
      </c>
      <c r="G159" s="90"/>
      <c r="H159" s="18">
        <v>0</v>
      </c>
      <c r="I159" s="18">
        <v>1</v>
      </c>
      <c r="J159" s="18">
        <v>2</v>
      </c>
      <c r="K159" s="18">
        <v>3</v>
      </c>
      <c r="L159" s="18">
        <v>4</v>
      </c>
      <c r="M159" s="18">
        <v>5</v>
      </c>
      <c r="N159" s="18">
        <v>6</v>
      </c>
      <c r="O159" s="18">
        <v>7</v>
      </c>
      <c r="P159" s="18">
        <v>8</v>
      </c>
      <c r="Q159" s="18">
        <v>9</v>
      </c>
      <c r="R159" s="18">
        <v>10</v>
      </c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 t="s">
        <v>16</v>
      </c>
      <c r="D160" s="1" t="s">
        <v>35</v>
      </c>
      <c r="E160" s="1"/>
      <c r="F160" s="1"/>
      <c r="G160" s="1"/>
      <c r="H160" s="44">
        <f>H157</f>
        <v>0</v>
      </c>
      <c r="I160" s="44">
        <f t="shared" ref="I160:R160" si="37">I157</f>
        <v>0</v>
      </c>
      <c r="J160" s="44">
        <f t="shared" si="37"/>
        <v>0</v>
      </c>
      <c r="K160" s="44">
        <f t="shared" si="37"/>
        <v>0</v>
      </c>
      <c r="L160" s="44">
        <f t="shared" si="37"/>
        <v>0</v>
      </c>
      <c r="M160" s="44">
        <f t="shared" si="37"/>
        <v>0</v>
      </c>
      <c r="N160" s="44">
        <f t="shared" si="37"/>
        <v>0</v>
      </c>
      <c r="O160" s="44">
        <f t="shared" si="37"/>
        <v>0</v>
      </c>
      <c r="P160" s="44">
        <f t="shared" si="37"/>
        <v>0</v>
      </c>
      <c r="Q160" s="44">
        <f t="shared" si="37"/>
        <v>0</v>
      </c>
      <c r="R160" s="44">
        <f t="shared" si="37"/>
        <v>0</v>
      </c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2">
      <c r="A161" s="1"/>
      <c r="B161" s="1"/>
      <c r="C161" s="1" t="s">
        <v>15</v>
      </c>
      <c r="D161" s="17" t="s">
        <v>35</v>
      </c>
      <c r="E161" s="1"/>
      <c r="F161" s="1"/>
      <c r="G161" s="1"/>
      <c r="H161" s="44">
        <f>H147</f>
        <v>0</v>
      </c>
      <c r="I161" s="44">
        <f t="shared" ref="I161:R161" si="38">I147</f>
        <v>0</v>
      </c>
      <c r="J161" s="44">
        <f t="shared" si="38"/>
        <v>0</v>
      </c>
      <c r="K161" s="44">
        <f t="shared" si="38"/>
        <v>0</v>
      </c>
      <c r="L161" s="44">
        <f t="shared" si="38"/>
        <v>0</v>
      </c>
      <c r="M161" s="44">
        <f t="shared" si="38"/>
        <v>0</v>
      </c>
      <c r="N161" s="44">
        <f t="shared" si="38"/>
        <v>0</v>
      </c>
      <c r="O161" s="44">
        <f t="shared" si="38"/>
        <v>0</v>
      </c>
      <c r="P161" s="44">
        <f t="shared" si="38"/>
        <v>0</v>
      </c>
      <c r="Q161" s="44">
        <f t="shared" si="38"/>
        <v>0</v>
      </c>
      <c r="R161" s="44">
        <f t="shared" si="38"/>
        <v>0</v>
      </c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2">
      <c r="A162" s="1"/>
      <c r="B162" s="1"/>
      <c r="C162" s="13" t="s">
        <v>14</v>
      </c>
      <c r="D162" s="13" t="s">
        <v>35</v>
      </c>
      <c r="E162" s="13"/>
      <c r="F162" s="13"/>
      <c r="G162" s="13"/>
      <c r="H162" s="45">
        <f>-D107</f>
        <v>0</v>
      </c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2"/>
      <c r="T162" s="42"/>
      <c r="U162" s="42"/>
      <c r="V162" s="13"/>
      <c r="W162" s="13"/>
      <c r="X162" s="13"/>
      <c r="Y162" s="13"/>
      <c r="Z162" s="13"/>
      <c r="AA162" s="13"/>
    </row>
    <row r="163" spans="1:27" ht="15.75" customHeight="1" x14ac:dyDescent="0.2">
      <c r="A163" s="9"/>
      <c r="B163" s="9"/>
      <c r="C163" s="9" t="s">
        <v>13</v>
      </c>
      <c r="D163" s="9" t="s">
        <v>35</v>
      </c>
      <c r="E163" s="9"/>
      <c r="F163" s="9"/>
      <c r="G163" s="53"/>
      <c r="H163" s="48">
        <f>SUM(H160:H162)</f>
        <v>0</v>
      </c>
      <c r="I163" s="48">
        <f>SUM(I160:I161)</f>
        <v>0</v>
      </c>
      <c r="J163" s="48">
        <f t="shared" ref="J163:R163" si="39">SUM(J160:J161)</f>
        <v>0</v>
      </c>
      <c r="K163" s="48">
        <f t="shared" si="39"/>
        <v>0</v>
      </c>
      <c r="L163" s="48">
        <f t="shared" si="39"/>
        <v>0</v>
      </c>
      <c r="M163" s="48">
        <f t="shared" si="39"/>
        <v>0</v>
      </c>
      <c r="N163" s="48">
        <f t="shared" si="39"/>
        <v>0</v>
      </c>
      <c r="O163" s="48">
        <f t="shared" si="39"/>
        <v>0</v>
      </c>
      <c r="P163" s="48">
        <f t="shared" si="39"/>
        <v>0</v>
      </c>
      <c r="Q163" s="48">
        <f t="shared" si="39"/>
        <v>0</v>
      </c>
      <c r="R163" s="48">
        <f t="shared" si="39"/>
        <v>0</v>
      </c>
      <c r="S163" s="47"/>
      <c r="T163" s="47"/>
      <c r="U163" s="15"/>
      <c r="V163" s="15"/>
      <c r="W163" s="15"/>
      <c r="X163" s="15"/>
      <c r="Y163" s="15"/>
      <c r="Z163" s="15"/>
      <c r="AA163" s="15"/>
    </row>
    <row r="164" spans="1:27" ht="15.75" customHeight="1" x14ac:dyDescent="0.2">
      <c r="A164" s="9"/>
      <c r="B164" s="9"/>
      <c r="C164" s="4" t="s">
        <v>12</v>
      </c>
      <c r="D164" s="4" t="s">
        <v>35</v>
      </c>
      <c r="E164" s="4"/>
      <c r="F164" s="4"/>
      <c r="G164" s="53"/>
      <c r="H164" s="48">
        <f>H163</f>
        <v>0</v>
      </c>
      <c r="I164" s="48">
        <f t="shared" ref="I164:R164" si="40">I163</f>
        <v>0</v>
      </c>
      <c r="J164" s="48">
        <f t="shared" si="40"/>
        <v>0</v>
      </c>
      <c r="K164" s="48">
        <f t="shared" si="40"/>
        <v>0</v>
      </c>
      <c r="L164" s="48">
        <f t="shared" si="40"/>
        <v>0</v>
      </c>
      <c r="M164" s="48">
        <f t="shared" si="40"/>
        <v>0</v>
      </c>
      <c r="N164" s="48">
        <f t="shared" si="40"/>
        <v>0</v>
      </c>
      <c r="O164" s="48">
        <f t="shared" si="40"/>
        <v>0</v>
      </c>
      <c r="P164" s="48">
        <f t="shared" si="40"/>
        <v>0</v>
      </c>
      <c r="Q164" s="48">
        <f t="shared" si="40"/>
        <v>0</v>
      </c>
      <c r="R164" s="48">
        <f t="shared" si="40"/>
        <v>0</v>
      </c>
      <c r="S164" s="25"/>
      <c r="T164" s="25"/>
      <c r="U164" s="14"/>
      <c r="V164" s="14"/>
      <c r="W164" s="14"/>
      <c r="X164" s="14"/>
      <c r="Y164" s="14"/>
      <c r="Z164" s="14"/>
      <c r="AA164" s="14"/>
    </row>
    <row r="165" spans="1:27" ht="15.75" customHeight="1" x14ac:dyDescent="0.2">
      <c r="A165" s="11"/>
      <c r="B165" s="11"/>
      <c r="C165" s="11" t="s">
        <v>11</v>
      </c>
      <c r="D165" s="11" t="s">
        <v>35</v>
      </c>
      <c r="E165" s="11"/>
      <c r="F165" s="11"/>
      <c r="G165" s="11"/>
      <c r="H165" s="44">
        <f>0</f>
        <v>0</v>
      </c>
      <c r="I165" s="44">
        <f>0</f>
        <v>0</v>
      </c>
      <c r="J165" s="44">
        <f>0</f>
        <v>0</v>
      </c>
      <c r="K165" s="44">
        <f>0</f>
        <v>0</v>
      </c>
      <c r="L165" s="44">
        <f>0</f>
        <v>0</v>
      </c>
      <c r="M165" s="44">
        <f>0</f>
        <v>0</v>
      </c>
      <c r="N165" s="44">
        <f>0</f>
        <v>0</v>
      </c>
      <c r="O165" s="44">
        <f>0</f>
        <v>0</v>
      </c>
      <c r="P165" s="44">
        <f>0</f>
        <v>0</v>
      </c>
      <c r="Q165" s="44">
        <f>0</f>
        <v>0</v>
      </c>
      <c r="R165" s="44">
        <f>0</f>
        <v>0</v>
      </c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2">
      <c r="A166" s="1"/>
      <c r="B166" s="1"/>
      <c r="C166" s="1" t="s">
        <v>10</v>
      </c>
      <c r="D166" s="1" t="s">
        <v>35</v>
      </c>
      <c r="E166" s="1"/>
      <c r="F166" s="1"/>
      <c r="G166" s="1"/>
      <c r="H166" s="44">
        <f t="shared" ref="H166:R166" si="41">SUM(H164:H165)</f>
        <v>0</v>
      </c>
      <c r="I166" s="44">
        <f t="shared" si="41"/>
        <v>0</v>
      </c>
      <c r="J166" s="44">
        <f t="shared" si="41"/>
        <v>0</v>
      </c>
      <c r="K166" s="44">
        <f t="shared" si="41"/>
        <v>0</v>
      </c>
      <c r="L166" s="44">
        <f t="shared" si="41"/>
        <v>0</v>
      </c>
      <c r="M166" s="44">
        <f t="shared" si="41"/>
        <v>0</v>
      </c>
      <c r="N166" s="44">
        <f t="shared" si="41"/>
        <v>0</v>
      </c>
      <c r="O166" s="44">
        <f t="shared" si="41"/>
        <v>0</v>
      </c>
      <c r="P166" s="44">
        <f t="shared" si="41"/>
        <v>0</v>
      </c>
      <c r="Q166" s="44">
        <f t="shared" si="41"/>
        <v>0</v>
      </c>
      <c r="R166" s="44">
        <f t="shared" si="41"/>
        <v>0</v>
      </c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2">
      <c r="A167" s="1"/>
      <c r="B167" s="1"/>
      <c r="C167" s="13" t="s">
        <v>9</v>
      </c>
      <c r="D167" s="13" t="s">
        <v>35</v>
      </c>
      <c r="E167" s="13"/>
      <c r="F167" s="13"/>
      <c r="G167" s="42"/>
      <c r="H167" s="45"/>
      <c r="I167" s="45">
        <f t="shared" ref="I167:R167" si="42">-I166*$D$23</f>
        <v>0</v>
      </c>
      <c r="J167" s="45">
        <f t="shared" si="42"/>
        <v>0</v>
      </c>
      <c r="K167" s="45">
        <f t="shared" si="42"/>
        <v>0</v>
      </c>
      <c r="L167" s="45">
        <f t="shared" si="42"/>
        <v>0</v>
      </c>
      <c r="M167" s="45">
        <f t="shared" si="42"/>
        <v>0</v>
      </c>
      <c r="N167" s="45">
        <f t="shared" si="42"/>
        <v>0</v>
      </c>
      <c r="O167" s="45">
        <f t="shared" si="42"/>
        <v>0</v>
      </c>
      <c r="P167" s="45">
        <f t="shared" si="42"/>
        <v>0</v>
      </c>
      <c r="Q167" s="45">
        <f t="shared" si="42"/>
        <v>0</v>
      </c>
      <c r="R167" s="45">
        <f t="shared" si="42"/>
        <v>0</v>
      </c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customHeight="1" x14ac:dyDescent="0.2">
      <c r="A168" s="1"/>
      <c r="B168" s="1"/>
      <c r="C168" s="9" t="s">
        <v>8</v>
      </c>
      <c r="D168" s="9" t="s">
        <v>35</v>
      </c>
      <c r="E168" s="9"/>
      <c r="F168" s="1"/>
      <c r="G168" s="1"/>
      <c r="H168" s="46">
        <f>H166</f>
        <v>0</v>
      </c>
      <c r="I168" s="46">
        <f t="shared" ref="I168:R168" si="43">SUM(I164,I167)</f>
        <v>0</v>
      </c>
      <c r="J168" s="46">
        <f t="shared" si="43"/>
        <v>0</v>
      </c>
      <c r="K168" s="46">
        <f t="shared" si="43"/>
        <v>0</v>
      </c>
      <c r="L168" s="46">
        <f t="shared" si="43"/>
        <v>0</v>
      </c>
      <c r="M168" s="46">
        <f t="shared" si="43"/>
        <v>0</v>
      </c>
      <c r="N168" s="46">
        <f t="shared" si="43"/>
        <v>0</v>
      </c>
      <c r="O168" s="46">
        <f t="shared" si="43"/>
        <v>0</v>
      </c>
      <c r="P168" s="46">
        <f t="shared" si="43"/>
        <v>0</v>
      </c>
      <c r="Q168" s="46">
        <f t="shared" si="43"/>
        <v>0</v>
      </c>
      <c r="R168" s="46">
        <f t="shared" si="43"/>
        <v>0</v>
      </c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2">
      <c r="A169" s="1"/>
      <c r="B169" s="1"/>
      <c r="C169" s="1" t="s">
        <v>7</v>
      </c>
      <c r="D169" s="1" t="s">
        <v>35</v>
      </c>
      <c r="E169" s="1"/>
      <c r="F169" s="1"/>
      <c r="G169" s="1"/>
      <c r="H169" s="44">
        <f t="shared" ref="H169:R169" si="44">H168/(1+$D$22)^H139</f>
        <v>0</v>
      </c>
      <c r="I169" s="44">
        <f t="shared" si="44"/>
        <v>0</v>
      </c>
      <c r="J169" s="44">
        <f t="shared" si="44"/>
        <v>0</v>
      </c>
      <c r="K169" s="44">
        <f t="shared" si="44"/>
        <v>0</v>
      </c>
      <c r="L169" s="44">
        <f t="shared" si="44"/>
        <v>0</v>
      </c>
      <c r="M169" s="44">
        <f t="shared" si="44"/>
        <v>0</v>
      </c>
      <c r="N169" s="44">
        <f t="shared" si="44"/>
        <v>0</v>
      </c>
      <c r="O169" s="44">
        <f t="shared" si="44"/>
        <v>0</v>
      </c>
      <c r="P169" s="44">
        <f t="shared" si="44"/>
        <v>0</v>
      </c>
      <c r="Q169" s="44">
        <f t="shared" si="44"/>
        <v>0</v>
      </c>
      <c r="R169" s="44">
        <f t="shared" si="44"/>
        <v>0</v>
      </c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2">
      <c r="A170" s="1"/>
      <c r="B170" s="1"/>
      <c r="C170" s="1" t="s">
        <v>51</v>
      </c>
      <c r="D170" s="1" t="s">
        <v>35</v>
      </c>
      <c r="E170" s="1"/>
      <c r="F170" s="1"/>
      <c r="G170" s="1"/>
      <c r="H170" s="44">
        <f>H169</f>
        <v>0</v>
      </c>
      <c r="I170" s="44">
        <f>H170+I169</f>
        <v>0</v>
      </c>
      <c r="J170" s="44">
        <f t="shared" ref="J170:R170" si="45">I170+J169</f>
        <v>0</v>
      </c>
      <c r="K170" s="44">
        <f t="shared" si="45"/>
        <v>0</v>
      </c>
      <c r="L170" s="44">
        <f t="shared" si="45"/>
        <v>0</v>
      </c>
      <c r="M170" s="44">
        <f t="shared" si="45"/>
        <v>0</v>
      </c>
      <c r="N170" s="44">
        <f t="shared" si="45"/>
        <v>0</v>
      </c>
      <c r="O170" s="44">
        <f t="shared" si="45"/>
        <v>0</v>
      </c>
      <c r="P170" s="44">
        <f t="shared" si="45"/>
        <v>0</v>
      </c>
      <c r="Q170" s="44">
        <f t="shared" si="45"/>
        <v>0</v>
      </c>
      <c r="R170" s="44">
        <f t="shared" si="45"/>
        <v>0</v>
      </c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44">
        <f>IF(H170&lt;0,(13-6)/12,0)</f>
        <v>0</v>
      </c>
      <c r="I172" s="44">
        <f>IF(COUNTIF($H172:H172,"=0")=COUNTA($H172:H172),IF(I170&lt;0,(13-6)/12,0),IF(I170&lt;0,1,IF(I170=0,IF(H170&gt;=0,0,1),IF(H170&lt;0,-H170/I169,0))))</f>
        <v>0</v>
      </c>
      <c r="J172" s="44">
        <f>IF(COUNTIF($H172:I172,"=0")=COUNTA($H172:I172),IF(J170&lt;0,(13-6)/12,0),IF(J170&lt;0,1,IF(J170=0,IF(I170&gt;=0,0,1),IF(I170&lt;0,-I170/J169,0))))</f>
        <v>0</v>
      </c>
      <c r="K172" s="44">
        <f>IF(COUNTIF($H172:J172,"=0")=COUNTA($H172:J172),IF(K170&lt;0,(13-6)/12,0),IF(K170&lt;0,1,IF(K170=0,IF(J170&gt;=0,0,1),IF(J170&lt;0,-J170/K169,0))))</f>
        <v>0</v>
      </c>
      <c r="L172" s="44">
        <f>IF(COUNTIF($H172:K172,"=0")=COUNTA($H172:K172),IF(L170&lt;0,(13-6)/12,0),IF(L170&lt;0,1,IF(L170=0,IF(K170&gt;=0,0,1),IF(K170&lt;0,-K170/L169,0))))</f>
        <v>0</v>
      </c>
      <c r="M172" s="44">
        <f>IF(COUNTIF($H172:L172,"=0")=COUNTA($H172:L172),IF(M170&lt;0,(13-6)/12,0),IF(M170&lt;0,1,IF(M170=0,IF(L170&gt;=0,0,1),IF(L170&lt;0,-L170/M169,0))))</f>
        <v>0</v>
      </c>
      <c r="N172" s="44">
        <f>IF(COUNTIF($H172:M172,"=0")=COUNTA($H172:M172),IF(N170&lt;0,(13-6)/12,0),IF(N170&lt;0,1,IF(N170=0,IF(M170&gt;=0,0,1),IF(M170&lt;0,-M170/N169,0))))</f>
        <v>0</v>
      </c>
      <c r="O172" s="44">
        <f>IF(COUNTIF($H172:N172,"=0")=COUNTA($H172:N172),IF(O170&lt;0,(13-6)/12,0),IF(O170&lt;0,1,IF(O170=0,IF(N170&gt;=0,0,1),IF(N170&lt;0,-N170/O169,0))))</f>
        <v>0</v>
      </c>
      <c r="P172" s="44">
        <f>IF(COUNTIF($H172:O172,"=0")=COUNTA($H172:O172),IF(P170&lt;0,(13-6)/12,0),IF(P170&lt;0,1,IF(P170=0,IF(O170&gt;=0,0,1),IF(O170&lt;0,-O170/P169,0))))</f>
        <v>0</v>
      </c>
      <c r="Q172" s="44">
        <f>IF(COUNTIF($H172:P172,"=0")=COUNTA($H172:P172),IF(Q170&lt;0,(13-6)/12,0),IF(Q170&lt;0,1,IF(Q170=0,IF(P170&gt;=0,0,1),IF(P170&lt;0,-P170/Q169,0))))</f>
        <v>0</v>
      </c>
      <c r="R172" s="44">
        <f>IF(COUNTIF($H172:Q172,"=0")=COUNTA($H172:Q172),IF(R170&lt;0,(13-6)/12,0),IF(R170&lt;0,1,IF(R170=0,IF(Q170&gt;=0,0,1),IF(Q170&lt;0,-Q170/R169,0))))</f>
        <v>0</v>
      </c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2">
      <c r="A173" s="1"/>
      <c r="B173" s="1"/>
      <c r="C173" s="1"/>
      <c r="D173" s="1" t="s">
        <v>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6" t="s">
        <v>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5" t="s">
        <v>4</v>
      </c>
      <c r="D175" s="4" t="s">
        <v>35</v>
      </c>
      <c r="E175" s="3"/>
      <c r="F175" s="10">
        <f>NPV(D82,I168:R168)+H168</f>
        <v>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9"/>
      <c r="C177" s="5" t="s">
        <v>3</v>
      </c>
      <c r="D177" s="4" t="s">
        <v>35</v>
      </c>
      <c r="E177" s="3"/>
      <c r="F177" s="8">
        <f>SUM(H169:R169)</f>
        <v>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7">
        <f>NPV(F181,I168:R168)+H168</f>
        <v>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6" t="s">
        <v>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5" t="s">
        <v>1</v>
      </c>
      <c r="D181" s="4" t="s">
        <v>0</v>
      </c>
      <c r="E181" s="3"/>
      <c r="F181" s="2">
        <v>0.30256107521085068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6" t="s">
        <v>112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49" t="s">
        <v>113</v>
      </c>
      <c r="D185" s="50" t="s">
        <v>35</v>
      </c>
      <c r="E185" s="51"/>
      <c r="F185" s="52">
        <f>AVERAGE(I169:R169)</f>
        <v>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49" t="s">
        <v>114</v>
      </c>
      <c r="D186" s="50" t="s">
        <v>40</v>
      </c>
      <c r="E186" s="51"/>
      <c r="F186" s="52" t="e">
        <f>F185*1000/I151</f>
        <v>#DIV/0!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.7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.7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.7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.7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5.7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5.7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5.7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5.75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5.75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5.75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5.75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5.75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5.75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5.75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5.75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5.75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5.75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5.75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5.75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5.75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5.75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5.75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5.75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5.75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5.75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5.75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5.75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5.75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5.75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5.75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5.75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5.75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5.75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5.75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5.75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5.75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5.75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5.75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5.75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5.75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5.75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5.75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5.75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5.75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5.75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5.75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5.75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5.75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5.75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5.75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5.75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5.75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5.75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5.75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5.75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5.75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5.75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5.75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5.75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5.75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5.75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5.75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5.75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5.75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5.75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5.75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5.75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5.75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5.75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5.75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5.75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5.75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5.75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5.75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5.75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5.75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5.75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5.75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5.75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5.75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5.75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</sheetData>
  <dataConsolidate/>
  <mergeCells count="5">
    <mergeCell ref="C3:G3"/>
    <mergeCell ref="F89:G89"/>
    <mergeCell ref="F107:G107"/>
    <mergeCell ref="F139:G139"/>
    <mergeCell ref="F159:G159"/>
  </mergeCells>
  <dataValidations count="3">
    <dataValidation type="list" allowBlank="1" showInputMessage="1" showErrorMessage="1" sqref="D85" xr:uid="{F35BBB89-9D20-D244-9E81-9507DDB8B846}">
      <formula1>"BASE,FIP,FIC,COMBO"</formula1>
    </dataValidation>
    <dataValidation type="list" allowBlank="1" showInputMessage="1" showErrorMessage="1" sqref="D83" xr:uid="{427D2E86-F797-B241-8793-B28F507EAEB4}">
      <formula1>"0.05,0.1,0.15,0.2,0.25"</formula1>
    </dataValidation>
    <dataValidation type="list" allowBlank="1" showInputMessage="1" showErrorMessage="1" sqref="D84" xr:uid="{76103F51-9A29-8E47-8D97-037252500ED9}">
      <formula1>"0.5,0.55,0.6,0.65,0.7"</formula1>
    </dataValidation>
  </dataValidations>
  <hyperlinks>
    <hyperlink ref="G48" r:id="rId1" xr:uid="{B6DA40A8-9339-184C-8E6A-A2FA6D26E069}"/>
    <hyperlink ref="G58" r:id="rId2" xr:uid="{8B39F402-B1DF-7744-898A-7554B7EC15A1}"/>
    <hyperlink ref="G57" r:id="rId3" xr:uid="{D1AEC151-A8C7-4544-9E2D-C40E0AF8D1B6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90D8-4100-5D4D-A635-156444DDF027}">
  <dimension ref="A1:AB1089"/>
  <sheetViews>
    <sheetView showGridLines="0" topLeftCell="A140" zoomScaleNormal="100" workbookViewId="0">
      <pane xSplit="7" topLeftCell="H1" activePane="topRight" state="frozen"/>
      <selection pane="topRight" activeCell="F126" sqref="F126"/>
    </sheetView>
  </sheetViews>
  <sheetFormatPr baseColWidth="10" defaultColWidth="11.1640625" defaultRowHeight="15" customHeight="1" outlineLevelRow="1" x14ac:dyDescent="0.2"/>
  <cols>
    <col min="1" max="1" width="2.1640625" customWidth="1"/>
    <col min="2" max="2" width="4.6640625" customWidth="1"/>
    <col min="3" max="3" width="47.6640625" customWidth="1"/>
    <col min="4" max="4" width="14" customWidth="1"/>
    <col min="5" max="5" width="2" customWidth="1"/>
    <col min="6" max="6" width="20.83203125" customWidth="1"/>
    <col min="7" max="7" width="11.33203125" bestFit="1" customWidth="1"/>
    <col min="8" max="8" width="13.5" customWidth="1"/>
    <col min="9" max="22" width="12.5" customWidth="1"/>
    <col min="23" max="27" width="12" customWidth="1"/>
  </cols>
  <sheetData>
    <row r="1" spans="1:27" ht="15.75" customHeight="1" x14ac:dyDescent="0.2">
      <c r="A1" s="1"/>
      <c r="B1" s="33" t="s">
        <v>38</v>
      </c>
      <c r="C1" s="33"/>
      <c r="D1" s="33"/>
      <c r="E1" s="33"/>
      <c r="F1" s="33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1.5" customHeight="1" x14ac:dyDescent="0.2">
      <c r="A3" s="31"/>
      <c r="B3" s="20"/>
      <c r="C3" s="86" t="s">
        <v>39</v>
      </c>
      <c r="D3" s="87"/>
      <c r="E3" s="87"/>
      <c r="F3" s="87"/>
      <c r="G3" s="87"/>
      <c r="H3" s="32"/>
      <c r="I3" s="32"/>
      <c r="J3" s="32"/>
      <c r="K3" s="32"/>
      <c r="L3" s="32"/>
      <c r="M3" s="32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s="41" customFormat="1" ht="25" customHeight="1" x14ac:dyDescent="0.2">
      <c r="A6" s="39"/>
      <c r="B6" s="40" t="s">
        <v>29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</row>
    <row r="7" spans="1:27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61" customFormat="1" ht="15.75" customHeight="1" outlineLevel="1" x14ac:dyDescent="0.2">
      <c r="A8" s="60"/>
      <c r="B8" s="62" t="s">
        <v>63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</row>
    <row r="9" spans="1:27" ht="15.75" customHeight="1" outlineLevel="1" x14ac:dyDescent="0.2">
      <c r="A9" s="1"/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" outlineLevel="1" x14ac:dyDescent="0.2">
      <c r="C10" t="s">
        <v>54</v>
      </c>
      <c r="D10" s="36">
        <v>66458.513999999675</v>
      </c>
      <c r="F10" t="s">
        <v>111</v>
      </c>
    </row>
    <row r="11" spans="1:27" ht="16" outlineLevel="1" x14ac:dyDescent="0.2">
      <c r="C11" t="s">
        <v>55</v>
      </c>
      <c r="D11" s="36">
        <v>63330.169000001297</v>
      </c>
      <c r="F11" t="s">
        <v>111</v>
      </c>
    </row>
    <row r="12" spans="1:27" ht="16" outlineLevel="1" x14ac:dyDescent="0.2">
      <c r="C12" s="55" t="s">
        <v>56</v>
      </c>
      <c r="D12" s="56">
        <v>180689.93499999747</v>
      </c>
      <c r="E12" s="43"/>
      <c r="F12" s="43" t="s">
        <v>111</v>
      </c>
    </row>
    <row r="13" spans="1:27" ht="16" outlineLevel="1" x14ac:dyDescent="0.2">
      <c r="C13" s="57" t="s">
        <v>57</v>
      </c>
      <c r="D13" s="58">
        <f>SUM(D10:D12)</f>
        <v>310478.61799999845</v>
      </c>
      <c r="E13" s="57"/>
      <c r="F13" s="57" t="s">
        <v>111</v>
      </c>
    </row>
    <row r="14" spans="1:27" ht="15.75" customHeight="1" outlineLevel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s="61" customFormat="1" ht="15.75" customHeight="1" outlineLevel="1" x14ac:dyDescent="0.2">
      <c r="A15" s="60"/>
      <c r="B15" s="62" t="s">
        <v>108</v>
      </c>
      <c r="C15" s="60"/>
      <c r="D15" s="60"/>
      <c r="E15" s="60"/>
      <c r="F15" s="60"/>
      <c r="G15" s="60" t="s">
        <v>72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spans="1:27" ht="15.75" customHeight="1" outlineLevel="1" x14ac:dyDescent="0.2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" outlineLevel="1" x14ac:dyDescent="0.2">
      <c r="C17" t="s">
        <v>58</v>
      </c>
      <c r="D17" s="59">
        <v>0.107</v>
      </c>
      <c r="G17" t="s">
        <v>73</v>
      </c>
    </row>
    <row r="18" spans="1:27" ht="16" outlineLevel="1" x14ac:dyDescent="0.2">
      <c r="C18" t="s">
        <v>59</v>
      </c>
      <c r="D18" s="59">
        <v>6.0499999999999998E-2</v>
      </c>
      <c r="G18" t="s">
        <v>73</v>
      </c>
    </row>
    <row r="19" spans="1:27" ht="16" outlineLevel="1" x14ac:dyDescent="0.2">
      <c r="C19" t="s">
        <v>60</v>
      </c>
      <c r="D19" s="59">
        <v>0.73529999999999995</v>
      </c>
      <c r="G19" t="s">
        <v>73</v>
      </c>
    </row>
    <row r="20" spans="1:27" ht="16" outlineLevel="1" x14ac:dyDescent="0.2">
      <c r="C20" t="s">
        <v>61</v>
      </c>
      <c r="D20" s="59">
        <v>0.26469999999999999</v>
      </c>
      <c r="G20" t="s">
        <v>73</v>
      </c>
    </row>
    <row r="21" spans="1:27" ht="16" outlineLevel="1" x14ac:dyDescent="0.2">
      <c r="C21" t="s">
        <v>62</v>
      </c>
      <c r="D21" s="35">
        <v>0.24</v>
      </c>
      <c r="G21" t="s">
        <v>73</v>
      </c>
    </row>
    <row r="22" spans="1:27" ht="16" outlineLevel="1" x14ac:dyDescent="0.2">
      <c r="C22" s="21" t="s">
        <v>36</v>
      </c>
      <c r="D22" s="38">
        <f>D19*D17+D20*D18*(1-D21)</f>
        <v>9.0848005999999995E-2</v>
      </c>
      <c r="E22" s="21"/>
      <c r="F22" s="21" t="s">
        <v>22</v>
      </c>
    </row>
    <row r="23" spans="1:27" ht="16" outlineLevel="1" x14ac:dyDescent="0.2">
      <c r="C23" s="21" t="s">
        <v>23</v>
      </c>
      <c r="D23" s="38">
        <f>D21</f>
        <v>0.24</v>
      </c>
      <c r="E23" s="21"/>
      <c r="F23" s="21"/>
    </row>
    <row r="24" spans="1:27" ht="15.75" customHeight="1" outlineLevel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61" customFormat="1" ht="15.75" customHeight="1" outlineLevel="1" x14ac:dyDescent="0.2">
      <c r="A25" s="60"/>
      <c r="B25" s="62" t="s">
        <v>109</v>
      </c>
      <c r="C25" s="60"/>
      <c r="D25" s="60"/>
      <c r="E25" s="60"/>
      <c r="F25" s="60"/>
      <c r="G25" s="60" t="s">
        <v>72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spans="1:27" ht="15.75" customHeight="1" outlineLevel="1" x14ac:dyDescent="0.2">
      <c r="A26" s="1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" outlineLevel="1" x14ac:dyDescent="0.2">
      <c r="C27" t="s">
        <v>58</v>
      </c>
      <c r="D27" s="59">
        <v>8.9399999999999993E-2</v>
      </c>
      <c r="G27" t="s">
        <v>73</v>
      </c>
    </row>
    <row r="28" spans="1:27" ht="16" outlineLevel="1" x14ac:dyDescent="0.2">
      <c r="C28" t="s">
        <v>59</v>
      </c>
      <c r="D28" s="59">
        <v>5.7500000000000002E-2</v>
      </c>
      <c r="G28" t="s">
        <v>73</v>
      </c>
    </row>
    <row r="29" spans="1:27" ht="16" outlineLevel="1" x14ac:dyDescent="0.2">
      <c r="C29" t="s">
        <v>60</v>
      </c>
      <c r="D29" s="59">
        <v>0.52649999999999997</v>
      </c>
      <c r="G29" t="s">
        <v>73</v>
      </c>
    </row>
    <row r="30" spans="1:27" ht="16" outlineLevel="1" x14ac:dyDescent="0.2">
      <c r="C30" t="s">
        <v>61</v>
      </c>
      <c r="D30" s="59">
        <v>0.47349999999999998</v>
      </c>
      <c r="G30" t="s">
        <v>73</v>
      </c>
    </row>
    <row r="31" spans="1:27" ht="16" outlineLevel="1" x14ac:dyDescent="0.2">
      <c r="C31" t="s">
        <v>62</v>
      </c>
      <c r="D31" s="35">
        <v>0.24</v>
      </c>
      <c r="G31" t="s">
        <v>73</v>
      </c>
    </row>
    <row r="32" spans="1:27" ht="16" outlineLevel="1" x14ac:dyDescent="0.2">
      <c r="C32" s="21" t="s">
        <v>36</v>
      </c>
      <c r="D32" s="38">
        <f>D29*D27+D30*D28*(1-D31)</f>
        <v>6.7761049999999989E-2</v>
      </c>
      <c r="E32" s="21"/>
      <c r="F32" s="21" t="s">
        <v>22</v>
      </c>
    </row>
    <row r="33" spans="1:27" ht="16" outlineLevel="1" x14ac:dyDescent="0.2">
      <c r="C33" s="21" t="s">
        <v>23</v>
      </c>
      <c r="D33" s="38">
        <f>D31</f>
        <v>0.24</v>
      </c>
      <c r="E33" s="21"/>
      <c r="F33" s="21"/>
    </row>
    <row r="34" spans="1:27" ht="15.75" customHeight="1" outlineLevel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61" customFormat="1" ht="15.75" customHeight="1" outlineLevel="1" x14ac:dyDescent="0.2">
      <c r="A35" s="60"/>
      <c r="B35" s="62" t="s">
        <v>64</v>
      </c>
      <c r="C35" s="60"/>
      <c r="D35" s="60"/>
      <c r="E35" s="60"/>
      <c r="F35" s="60"/>
      <c r="G35" s="60" t="s">
        <v>72</v>
      </c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spans="1:27" ht="15.75" customHeight="1" outlineLevel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outlineLevel="1" x14ac:dyDescent="0.2">
      <c r="A37" s="21"/>
      <c r="B37" s="21"/>
      <c r="C37" s="21" t="s">
        <v>28</v>
      </c>
      <c r="D37" s="34">
        <v>10</v>
      </c>
      <c r="E37" s="29"/>
      <c r="F37" s="29" t="s">
        <v>27</v>
      </c>
      <c r="G37" s="20"/>
      <c r="H37" s="21"/>
      <c r="I37" s="2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outlineLevel="1" x14ac:dyDescent="0.2">
      <c r="A38" s="21"/>
      <c r="B38" s="21"/>
      <c r="C38" s="21" t="s">
        <v>33</v>
      </c>
      <c r="D38" s="54">
        <f>D43*1000/D41</f>
        <v>72.332172677289734</v>
      </c>
      <c r="E38" s="29"/>
      <c r="F38" s="29" t="s">
        <v>30</v>
      </c>
      <c r="G38" s="20"/>
      <c r="H38" s="21"/>
      <c r="I38" s="2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outlineLevel="1" x14ac:dyDescent="0.2">
      <c r="A39" s="21"/>
      <c r="B39" s="21"/>
      <c r="C39" s="21" t="s">
        <v>34</v>
      </c>
      <c r="D39" s="54">
        <f>ROUND(D38*1.3,0)</f>
        <v>94</v>
      </c>
      <c r="E39" s="29"/>
      <c r="F39" s="29" t="s">
        <v>30</v>
      </c>
      <c r="G39" s="20"/>
      <c r="H39" s="21"/>
      <c r="I39" s="2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outlineLevel="1" x14ac:dyDescent="0.2">
      <c r="A40" s="21"/>
      <c r="B40" s="21"/>
      <c r="C40" s="21" t="s">
        <v>34</v>
      </c>
      <c r="D40" s="54">
        <f>ROUND(D39/10,0)*10</f>
        <v>90</v>
      </c>
      <c r="E40" s="29"/>
      <c r="F40" s="28" t="s">
        <v>30</v>
      </c>
      <c r="G40" s="20"/>
      <c r="H40" s="30"/>
      <c r="I40" s="3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outlineLevel="1" x14ac:dyDescent="0.2">
      <c r="A41" s="21"/>
      <c r="B41" s="21"/>
      <c r="C41" s="21" t="s">
        <v>26</v>
      </c>
      <c r="D41" s="36">
        <f>8760*0.7</f>
        <v>6132</v>
      </c>
      <c r="E41" s="29"/>
      <c r="F41" s="28" t="s">
        <v>25</v>
      </c>
      <c r="G41" s="20"/>
      <c r="H41" s="1"/>
      <c r="I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outlineLevel="1" x14ac:dyDescent="0.2">
      <c r="A42" s="21"/>
      <c r="B42" s="21"/>
      <c r="C42" s="21" t="s">
        <v>52</v>
      </c>
      <c r="D42" s="36">
        <f>D13</f>
        <v>310478.61799999845</v>
      </c>
      <c r="E42" s="29"/>
      <c r="F42" s="28" t="s">
        <v>53</v>
      </c>
      <c r="G42" s="20"/>
      <c r="H42" s="1"/>
      <c r="I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outlineLevel="1" x14ac:dyDescent="0.2">
      <c r="A43" s="21"/>
      <c r="B43" s="21"/>
      <c r="C43" s="21" t="s">
        <v>46</v>
      </c>
      <c r="D43" s="37">
        <f>(D42/(1-D66))/1000</f>
        <v>443.54088285714067</v>
      </c>
      <c r="E43" s="29"/>
      <c r="F43" s="28" t="s">
        <v>24</v>
      </c>
      <c r="G43" s="20"/>
      <c r="H43" s="1"/>
      <c r="J43" s="83"/>
      <c r="K43" s="82"/>
      <c r="M43" s="8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outlineLevel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61" customFormat="1" ht="15.75" customHeight="1" outlineLevel="1" x14ac:dyDescent="0.2">
      <c r="A45" s="60"/>
      <c r="B45" s="62" t="s">
        <v>74</v>
      </c>
      <c r="C45" s="60"/>
      <c r="D45" s="60"/>
      <c r="E45" s="60"/>
      <c r="F45" s="60"/>
      <c r="G45" s="60" t="s">
        <v>72</v>
      </c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spans="1:27" ht="15.75" customHeight="1" outlineLevel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outlineLevel="1" x14ac:dyDescent="0.2">
      <c r="A47" s="21"/>
      <c r="B47" s="21"/>
      <c r="C47" s="21" t="s">
        <v>67</v>
      </c>
      <c r="D47" s="37">
        <f>SUM(D48:D52)</f>
        <v>310</v>
      </c>
      <c r="E47" s="29"/>
      <c r="F47" s="28" t="s">
        <v>32</v>
      </c>
      <c r="G47" s="20"/>
      <c r="H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outlineLevel="1" x14ac:dyDescent="0.2">
      <c r="A48" s="21"/>
      <c r="B48" s="21"/>
      <c r="C48" s="63" t="s">
        <v>68</v>
      </c>
      <c r="D48" s="36">
        <v>90</v>
      </c>
      <c r="E48" s="29"/>
      <c r="F48" s="28" t="s">
        <v>32</v>
      </c>
      <c r="G48" s="65" t="s">
        <v>75</v>
      </c>
      <c r="H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outlineLevel="1" x14ac:dyDescent="0.2">
      <c r="A49" s="21"/>
      <c r="B49" s="21"/>
      <c r="C49" s="63" t="s">
        <v>69</v>
      </c>
      <c r="D49" s="36">
        <v>105</v>
      </c>
      <c r="E49" s="29"/>
      <c r="F49" s="28" t="s">
        <v>32</v>
      </c>
      <c r="G49" s="20"/>
      <c r="H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outlineLevel="1" x14ac:dyDescent="0.2">
      <c r="A50" s="21"/>
      <c r="B50" s="21"/>
      <c r="C50" s="63" t="s">
        <v>65</v>
      </c>
      <c r="D50" s="36">
        <v>45</v>
      </c>
      <c r="E50" s="29"/>
      <c r="F50" s="28" t="s">
        <v>32</v>
      </c>
      <c r="G50" s="20"/>
      <c r="H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outlineLevel="1" x14ac:dyDescent="0.2">
      <c r="A51" s="21"/>
      <c r="B51" s="21"/>
      <c r="C51" s="63" t="s">
        <v>70</v>
      </c>
      <c r="D51" s="36">
        <v>35</v>
      </c>
      <c r="E51" s="29"/>
      <c r="F51" s="28" t="s">
        <v>32</v>
      </c>
      <c r="G51" s="20"/>
      <c r="H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outlineLevel="1" x14ac:dyDescent="0.2">
      <c r="A52" s="21"/>
      <c r="B52" s="21"/>
      <c r="C52" s="63" t="s">
        <v>77</v>
      </c>
      <c r="D52" s="36">
        <v>35</v>
      </c>
      <c r="E52" s="29"/>
      <c r="F52" s="28" t="s">
        <v>32</v>
      </c>
      <c r="G52" s="20"/>
      <c r="H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outlineLevel="1" x14ac:dyDescent="0.2">
      <c r="A53" s="21"/>
      <c r="B53" s="21"/>
      <c r="C53" s="63" t="s">
        <v>93</v>
      </c>
      <c r="D53" s="35">
        <v>0.1</v>
      </c>
      <c r="E53" s="29"/>
      <c r="F53" s="28" t="s">
        <v>90</v>
      </c>
      <c r="G53" s="20"/>
      <c r="H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outlineLevel="1" x14ac:dyDescent="0.2">
      <c r="A54" s="21"/>
      <c r="B54" s="21"/>
      <c r="C54" s="66" t="s">
        <v>67</v>
      </c>
      <c r="D54" s="36">
        <f>(D47*D40/1000)*(1+D53)</f>
        <v>30.69</v>
      </c>
      <c r="E54" s="21"/>
      <c r="F54" s="27" t="s">
        <v>35</v>
      </c>
      <c r="G54" s="20"/>
      <c r="H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outlineLevel="1" x14ac:dyDescent="0.2">
      <c r="A55" s="21"/>
      <c r="B55" s="21"/>
      <c r="C55" s="21" t="s">
        <v>103</v>
      </c>
      <c r="D55" s="36">
        <v>10</v>
      </c>
      <c r="E55" s="21"/>
      <c r="F55" s="28" t="s">
        <v>37</v>
      </c>
      <c r="G55" s="20" t="s">
        <v>76</v>
      </c>
      <c r="H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outlineLevel="1" x14ac:dyDescent="0.2">
      <c r="A56" s="21"/>
      <c r="B56" s="21"/>
      <c r="C56" s="21" t="s">
        <v>94</v>
      </c>
      <c r="D56" s="36">
        <f>IF(OR(D85="FIC",D85="COMBO"),0,D55)</f>
        <v>0</v>
      </c>
      <c r="E56" s="29"/>
      <c r="F56" s="28" t="s">
        <v>37</v>
      </c>
      <c r="G56" s="20" t="s">
        <v>76</v>
      </c>
      <c r="H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outlineLevel="1" x14ac:dyDescent="0.2">
      <c r="A57" s="21"/>
      <c r="B57" s="21"/>
      <c r="C57" s="21" t="s">
        <v>66</v>
      </c>
      <c r="D57" s="36">
        <v>3.5</v>
      </c>
      <c r="E57" s="21"/>
      <c r="F57" s="21" t="s">
        <v>71</v>
      </c>
      <c r="G57" s="65" t="s">
        <v>75</v>
      </c>
      <c r="H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outlineLevel="1" x14ac:dyDescent="0.2">
      <c r="A58" s="21"/>
      <c r="B58" s="21"/>
      <c r="C58" s="21" t="s">
        <v>15</v>
      </c>
      <c r="D58" s="64">
        <v>2.5</v>
      </c>
      <c r="E58" s="21"/>
      <c r="F58" s="27" t="s">
        <v>40</v>
      </c>
      <c r="G58" s="65" t="s">
        <v>75</v>
      </c>
      <c r="H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outlineLevel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61" customFormat="1" ht="15.75" customHeight="1" outlineLevel="1" x14ac:dyDescent="0.2">
      <c r="A60" s="60"/>
      <c r="B60" s="62" t="s">
        <v>79</v>
      </c>
      <c r="C60" s="60"/>
      <c r="D60" s="60"/>
      <c r="E60" s="60"/>
      <c r="F60" s="60"/>
      <c r="G60" s="60" t="s">
        <v>72</v>
      </c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spans="1:27" ht="15.75" customHeight="1" outlineLevel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outlineLevel="1" x14ac:dyDescent="0.2">
      <c r="A62" s="1"/>
      <c r="B62" s="1"/>
      <c r="C62" s="21" t="s">
        <v>91</v>
      </c>
      <c r="D62" s="69">
        <f>0.0560958904038811</f>
        <v>5.6095890403881098E-2</v>
      </c>
      <c r="E62" s="21"/>
      <c r="F62" s="27" t="s">
        <v>78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outlineLevel="1" x14ac:dyDescent="0.2">
      <c r="A63" s="1"/>
      <c r="B63" s="1"/>
      <c r="C63" s="21" t="s">
        <v>95</v>
      </c>
      <c r="D63" s="69">
        <f>IF(OR(D85="FIP",D85="COMBO"),D83,0)</f>
        <v>0</v>
      </c>
      <c r="E63" s="21"/>
      <c r="F63" s="2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outlineLevel="1" x14ac:dyDescent="0.2">
      <c r="A64" s="1"/>
      <c r="B64" s="1"/>
      <c r="C64" s="21" t="s">
        <v>88</v>
      </c>
      <c r="D64" s="69">
        <v>0.30399999999999999</v>
      </c>
      <c r="E64" s="21"/>
      <c r="F64" s="27" t="s">
        <v>78</v>
      </c>
      <c r="G64" s="1"/>
      <c r="H64" s="1">
        <v>3.8889321999999997E-2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8" ht="15.75" customHeight="1" outlineLevel="1" x14ac:dyDescent="0.2">
      <c r="A65" s="1"/>
      <c r="B65" s="1"/>
      <c r="C65" s="21" t="s">
        <v>84</v>
      </c>
      <c r="D65" s="35">
        <f>IF(OR(D85="FIC",D85="COMBO"), D84,0%)</f>
        <v>0.6</v>
      </c>
      <c r="E65" s="21"/>
      <c r="F65" s="2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8" ht="15.75" customHeight="1" outlineLevel="1" x14ac:dyDescent="0.2">
      <c r="A66" s="21"/>
      <c r="B66" s="21"/>
      <c r="C66" s="21" t="s">
        <v>41</v>
      </c>
      <c r="D66" s="35">
        <v>0.3</v>
      </c>
      <c r="E66" s="21"/>
      <c r="F66" s="27"/>
      <c r="G66" s="21"/>
      <c r="H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8" ht="15.75" customHeight="1" outlineLevel="1" x14ac:dyDescent="0.2">
      <c r="A67" s="21"/>
      <c r="B67" s="21"/>
      <c r="C67" s="21" t="s">
        <v>42</v>
      </c>
      <c r="D67" s="36">
        <f>D43*D66</f>
        <v>133.0622648571422</v>
      </c>
      <c r="E67" s="21"/>
      <c r="F67" s="27" t="s">
        <v>24</v>
      </c>
      <c r="G67" s="21"/>
      <c r="H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8" ht="15.75" customHeight="1" outlineLevel="1" x14ac:dyDescent="0.2">
      <c r="A68" s="21"/>
      <c r="B68" s="21"/>
      <c r="C68" s="21" t="s">
        <v>43</v>
      </c>
      <c r="D68" s="35">
        <v>0</v>
      </c>
      <c r="E68" s="21"/>
      <c r="F68" s="27"/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8" ht="15.75" customHeight="1" outlineLevel="1" x14ac:dyDescent="0.2">
      <c r="A69" s="21"/>
      <c r="B69" s="21"/>
      <c r="C69" s="21" t="s">
        <v>107</v>
      </c>
      <c r="D69" s="67">
        <v>0.35</v>
      </c>
      <c r="E69" s="21"/>
      <c r="F69" s="27"/>
      <c r="G69" s="2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8" ht="15.75" customHeight="1" x14ac:dyDescent="0.2">
      <c r="A70" s="21"/>
      <c r="B70" s="21"/>
      <c r="C70" s="21"/>
      <c r="D70" s="75"/>
      <c r="E70" s="21"/>
      <c r="F70" s="27"/>
      <c r="G70" s="2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8" ht="15.75" customHeight="1" x14ac:dyDescent="0.2">
      <c r="A71" s="21"/>
      <c r="B71" s="21"/>
      <c r="G71" s="2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8" s="71" customFormat="1" ht="22" customHeight="1" x14ac:dyDescent="0.2">
      <c r="A72" s="70"/>
      <c r="B72" s="73" t="s">
        <v>83</v>
      </c>
      <c r="G72" s="70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spans="1:28" ht="16" x14ac:dyDescent="0.2">
      <c r="A73" s="21"/>
      <c r="B73" s="74"/>
      <c r="G73" s="2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8" ht="16" x14ac:dyDescent="0.2">
      <c r="A74" s="21"/>
      <c r="B74" s="74"/>
      <c r="G74" s="21"/>
      <c r="H74" s="18">
        <v>2022</v>
      </c>
      <c r="I74" s="18">
        <v>2023</v>
      </c>
      <c r="J74" s="18">
        <v>2024</v>
      </c>
      <c r="K74" s="18">
        <v>2025</v>
      </c>
      <c r="L74" s="18">
        <v>2026</v>
      </c>
      <c r="M74" s="18">
        <v>2027</v>
      </c>
      <c r="N74" s="18">
        <v>2028</v>
      </c>
      <c r="O74" s="18">
        <v>2029</v>
      </c>
      <c r="P74" s="18">
        <v>2030</v>
      </c>
      <c r="Q74" s="18">
        <v>2031</v>
      </c>
      <c r="R74" s="18">
        <v>2032</v>
      </c>
      <c r="T74" s="1"/>
      <c r="U74" s="1"/>
      <c r="V74" s="1"/>
      <c r="W74" s="1"/>
      <c r="X74" s="1"/>
      <c r="Y74" s="1"/>
      <c r="Z74" s="1"/>
      <c r="AA74" s="1"/>
      <c r="AB74" s="1"/>
    </row>
    <row r="75" spans="1:28" ht="16" x14ac:dyDescent="0.2">
      <c r="A75" s="21"/>
      <c r="B75" s="74"/>
      <c r="C75" t="s">
        <v>89</v>
      </c>
      <c r="D75" s="68">
        <f>I75</f>
        <v>116.125</v>
      </c>
      <c r="F75" t="s">
        <v>40</v>
      </c>
      <c r="G75" s="21" t="s">
        <v>87</v>
      </c>
      <c r="H75" s="76">
        <v>281.375</v>
      </c>
      <c r="I75" s="76">
        <v>116.125</v>
      </c>
      <c r="J75" s="76">
        <v>82</v>
      </c>
      <c r="K75" s="76">
        <v>84.875</v>
      </c>
      <c r="L75" s="76">
        <f>K75*(L77/K77)</f>
        <v>77.911571207430342</v>
      </c>
      <c r="M75" s="76">
        <f>L75*(M77/L77)</f>
        <v>71.355437306501557</v>
      </c>
      <c r="N75" s="76">
        <f>M75</f>
        <v>71.355437306501557</v>
      </c>
      <c r="O75" s="76">
        <f t="shared" ref="O75:R75" si="0">N75</f>
        <v>71.355437306501557</v>
      </c>
      <c r="P75" s="76">
        <f t="shared" si="0"/>
        <v>71.355437306501557</v>
      </c>
      <c r="Q75" s="76">
        <f t="shared" si="0"/>
        <v>71.355437306501557</v>
      </c>
      <c r="R75" s="76">
        <f t="shared" si="0"/>
        <v>71.355437306501557</v>
      </c>
      <c r="T75" s="1"/>
      <c r="U75" s="1"/>
      <c r="V75" s="1"/>
      <c r="W75" s="1"/>
      <c r="X75" s="1"/>
      <c r="Y75" s="1"/>
      <c r="Z75" s="1"/>
      <c r="AA75" s="1"/>
      <c r="AB75" s="1"/>
    </row>
    <row r="76" spans="1:28" ht="16" x14ac:dyDescent="0.2">
      <c r="A76" s="21"/>
      <c r="B76" s="74"/>
      <c r="C76" t="s">
        <v>83</v>
      </c>
      <c r="D76" s="68">
        <f>H76</f>
        <v>304</v>
      </c>
      <c r="F76" t="s">
        <v>40</v>
      </c>
      <c r="G76" s="21"/>
      <c r="H76" s="76">
        <f>D64*1000</f>
        <v>304</v>
      </c>
      <c r="I76" s="76">
        <f>H76*I75/H75</f>
        <v>125.46246112838739</v>
      </c>
      <c r="J76" s="76">
        <f t="shared" ref="J76:R76" si="1">I76*J75/I75</f>
        <v>88.593513993780547</v>
      </c>
      <c r="K76" s="76">
        <f t="shared" si="1"/>
        <v>91.699689027099069</v>
      </c>
      <c r="L76" s="76">
        <f t="shared" si="1"/>
        <v>84.176339927352544</v>
      </c>
      <c r="M76" s="76">
        <f t="shared" si="1"/>
        <v>77.093035774949698</v>
      </c>
      <c r="N76" s="76">
        <f t="shared" si="1"/>
        <v>77.093035774949698</v>
      </c>
      <c r="O76" s="76">
        <f t="shared" si="1"/>
        <v>77.093035774949698</v>
      </c>
      <c r="P76" s="76">
        <f t="shared" si="1"/>
        <v>77.093035774949698</v>
      </c>
      <c r="Q76" s="76">
        <f t="shared" si="1"/>
        <v>77.093035774949698</v>
      </c>
      <c r="R76" s="76">
        <f t="shared" si="1"/>
        <v>77.093035774949698</v>
      </c>
      <c r="T76" s="1"/>
      <c r="U76" s="1"/>
      <c r="V76" s="1"/>
      <c r="W76" s="1"/>
      <c r="X76" s="1"/>
      <c r="Y76" s="1"/>
      <c r="Z76" s="1"/>
      <c r="AA76" s="1"/>
      <c r="AB76" s="1"/>
    </row>
    <row r="77" spans="1:28" ht="16" x14ac:dyDescent="0.2">
      <c r="A77" s="21"/>
      <c r="B77" s="74"/>
      <c r="C77" t="s">
        <v>85</v>
      </c>
      <c r="D77" s="68">
        <f>I77</f>
        <v>37.670999999999999</v>
      </c>
      <c r="F77" t="s">
        <v>40</v>
      </c>
      <c r="G77" s="21" t="s">
        <v>86</v>
      </c>
      <c r="H77" s="76">
        <v>138.07499999999999</v>
      </c>
      <c r="I77" s="76">
        <v>37.670999999999999</v>
      </c>
      <c r="J77" s="76">
        <v>29.66</v>
      </c>
      <c r="K77" s="76">
        <v>32.299999999999997</v>
      </c>
      <c r="L77" s="76">
        <v>29.65</v>
      </c>
      <c r="M77" s="76">
        <v>27.155000000000001</v>
      </c>
      <c r="N77" s="76">
        <f>M77</f>
        <v>27.155000000000001</v>
      </c>
      <c r="O77" s="76">
        <f t="shared" ref="O77:R77" si="2">N77</f>
        <v>27.155000000000001</v>
      </c>
      <c r="P77" s="76">
        <f t="shared" si="2"/>
        <v>27.155000000000001</v>
      </c>
      <c r="Q77" s="76">
        <f t="shared" si="2"/>
        <v>27.155000000000001</v>
      </c>
      <c r="R77" s="76">
        <f t="shared" si="2"/>
        <v>27.155000000000001</v>
      </c>
      <c r="T77" s="1"/>
      <c r="U77" s="1"/>
      <c r="V77" s="1"/>
      <c r="W77" s="1"/>
      <c r="X77" s="1"/>
      <c r="Y77" s="1"/>
      <c r="Z77" s="1"/>
      <c r="AA77" s="1"/>
      <c r="AB77" s="1"/>
    </row>
    <row r="78" spans="1:28" ht="16" x14ac:dyDescent="0.2">
      <c r="A78" s="21"/>
      <c r="B78" s="74"/>
      <c r="C78" t="s">
        <v>80</v>
      </c>
      <c r="D78" s="77">
        <f>H78</f>
        <v>56.0958904038811</v>
      </c>
      <c r="F78" t="s">
        <v>40</v>
      </c>
      <c r="G78" s="21"/>
      <c r="H78" s="76">
        <f>D62*1000</f>
        <v>56.0958904038811</v>
      </c>
      <c r="I78" s="78">
        <f>H78</f>
        <v>56.0958904038811</v>
      </c>
      <c r="J78" s="76">
        <f t="shared" ref="J78:R78" si="3">I78*J77/I77</f>
        <v>44.166709388630871</v>
      </c>
      <c r="K78" s="76">
        <f t="shared" si="3"/>
        <v>48.097933690248716</v>
      </c>
      <c r="L78" s="76">
        <f t="shared" si="3"/>
        <v>44.151818387488369</v>
      </c>
      <c r="M78" s="76">
        <f t="shared" si="3"/>
        <v>40.436513602436648</v>
      </c>
      <c r="N78" s="76">
        <f t="shared" si="3"/>
        <v>40.436513602436641</v>
      </c>
      <c r="O78" s="76">
        <f t="shared" si="3"/>
        <v>40.436513602436641</v>
      </c>
      <c r="P78" s="76">
        <f t="shared" si="3"/>
        <v>40.436513602436641</v>
      </c>
      <c r="Q78" s="76">
        <f t="shared" si="3"/>
        <v>40.436513602436641</v>
      </c>
      <c r="R78" s="76">
        <f t="shared" si="3"/>
        <v>40.436513602436641</v>
      </c>
      <c r="T78" s="1"/>
      <c r="U78" s="1"/>
      <c r="V78" s="1"/>
      <c r="W78" s="1"/>
      <c r="X78" s="1"/>
      <c r="Y78" s="1"/>
      <c r="Z78" s="1"/>
      <c r="AA78" s="1"/>
      <c r="AB78" s="1"/>
    </row>
    <row r="79" spans="1:28" ht="16" x14ac:dyDescent="0.2">
      <c r="A79" s="21"/>
      <c r="B79" s="74"/>
      <c r="D79" s="77"/>
      <c r="G79" s="21"/>
      <c r="H79" s="76"/>
      <c r="I79" s="78"/>
      <c r="J79" s="76"/>
      <c r="K79" s="76"/>
      <c r="L79" s="76"/>
      <c r="M79" s="76"/>
      <c r="N79" s="76"/>
      <c r="O79" s="76"/>
      <c r="P79" s="76"/>
      <c r="Q79" s="76"/>
      <c r="R79" s="76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2">
      <c r="A80" s="21"/>
      <c r="B80" s="21"/>
      <c r="G80" s="2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71" customFormat="1" ht="22" customHeight="1" x14ac:dyDescent="0.2">
      <c r="A81" s="70"/>
      <c r="B81" s="73" t="s">
        <v>81</v>
      </c>
      <c r="G81" s="70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</row>
    <row r="82" spans="1:27" ht="16" x14ac:dyDescent="0.2">
      <c r="A82" s="21"/>
      <c r="B82" s="74"/>
      <c r="G82" s="2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" x14ac:dyDescent="0.2">
      <c r="A83" s="21"/>
      <c r="B83" s="74"/>
      <c r="C83" t="s">
        <v>96</v>
      </c>
      <c r="D83" s="35">
        <v>0.15</v>
      </c>
      <c r="G83" s="2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" x14ac:dyDescent="0.2">
      <c r="A84" s="21"/>
      <c r="B84" s="74"/>
      <c r="C84" t="s">
        <v>97</v>
      </c>
      <c r="D84" s="35">
        <v>0.6</v>
      </c>
      <c r="G84" s="2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" x14ac:dyDescent="0.2">
      <c r="A85" s="21"/>
      <c r="B85" s="74"/>
      <c r="C85" t="s">
        <v>82</v>
      </c>
      <c r="D85" s="36" t="s">
        <v>115</v>
      </c>
      <c r="G85" s="2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21"/>
      <c r="B86" s="21"/>
      <c r="C86" s="19"/>
      <c r="D86" s="21"/>
      <c r="E86" s="21"/>
      <c r="F86" s="21"/>
      <c r="G86" s="2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22"/>
      <c r="B87" s="26" t="s">
        <v>98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spans="1:27" ht="9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21"/>
      <c r="B89" s="21"/>
      <c r="C89" s="20"/>
      <c r="D89" s="19"/>
      <c r="E89" s="19"/>
      <c r="F89" s="88" t="s">
        <v>17</v>
      </c>
      <c r="G89" s="89"/>
      <c r="H89" s="18">
        <v>0</v>
      </c>
      <c r="I89" s="18">
        <v>1</v>
      </c>
      <c r="J89" s="18">
        <v>2</v>
      </c>
      <c r="K89" s="18">
        <v>3</v>
      </c>
      <c r="L89" s="18">
        <v>4</v>
      </c>
      <c r="M89" s="18">
        <v>5</v>
      </c>
      <c r="N89" s="18">
        <v>6</v>
      </c>
      <c r="O89" s="18">
        <v>7</v>
      </c>
      <c r="P89" s="18">
        <v>8</v>
      </c>
      <c r="Q89" s="18">
        <v>9</v>
      </c>
      <c r="R89" s="18">
        <v>10</v>
      </c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9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6" t="s">
        <v>16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 t="s">
        <v>31</v>
      </c>
      <c r="D92" s="1" t="s">
        <v>40</v>
      </c>
      <c r="E92" s="1"/>
      <c r="F92" s="1"/>
      <c r="G92" s="1"/>
      <c r="H92" s="44">
        <f t="shared" ref="H92:R92" si="4">IF(OR($D$85="FIC",$D$85="COMBO"),H78*(1-$D$69),H78)</f>
        <v>36.462328762522716</v>
      </c>
      <c r="I92" s="44">
        <f t="shared" si="4"/>
        <v>36.462328762522716</v>
      </c>
      <c r="J92" s="44">
        <f t="shared" si="4"/>
        <v>28.708361102610066</v>
      </c>
      <c r="K92" s="44">
        <f t="shared" si="4"/>
        <v>31.263656898661665</v>
      </c>
      <c r="L92" s="44">
        <f t="shared" si="4"/>
        <v>28.698681951867442</v>
      </c>
      <c r="M92" s="44">
        <f t="shared" si="4"/>
        <v>26.283733841583821</v>
      </c>
      <c r="N92" s="44">
        <f t="shared" si="4"/>
        <v>26.283733841583818</v>
      </c>
      <c r="O92" s="44">
        <f t="shared" si="4"/>
        <v>26.283733841583818</v>
      </c>
      <c r="P92" s="44">
        <f t="shared" si="4"/>
        <v>26.283733841583818</v>
      </c>
      <c r="Q92" s="44">
        <f t="shared" si="4"/>
        <v>26.283733841583818</v>
      </c>
      <c r="R92" s="44">
        <f t="shared" si="4"/>
        <v>26.283733841583818</v>
      </c>
      <c r="S92" s="23"/>
      <c r="T92" s="23"/>
      <c r="U92" s="23"/>
      <c r="V92" s="23"/>
      <c r="W92" s="23"/>
      <c r="X92" s="23"/>
      <c r="Y92" s="23"/>
      <c r="Z92" s="23"/>
      <c r="AA92" s="23"/>
    </row>
    <row r="93" spans="1:27" ht="15.75" customHeight="1" x14ac:dyDescent="0.2">
      <c r="A93" s="1"/>
      <c r="B93" s="1"/>
      <c r="C93" s="1" t="s">
        <v>92</v>
      </c>
      <c r="D93" s="1" t="s">
        <v>40</v>
      </c>
      <c r="E93" s="1"/>
      <c r="F93" s="1"/>
      <c r="G93" s="1"/>
      <c r="H93" s="44">
        <f>H92*(1+$D$68)</f>
        <v>36.462328762522716</v>
      </c>
      <c r="I93" s="44">
        <f t="shared" ref="I93:R93" si="5">I92*(1+$D$68)</f>
        <v>36.462328762522716</v>
      </c>
      <c r="J93" s="44">
        <f t="shared" si="5"/>
        <v>28.708361102610066</v>
      </c>
      <c r="K93" s="44">
        <f t="shared" si="5"/>
        <v>31.263656898661665</v>
      </c>
      <c r="L93" s="44">
        <f t="shared" si="5"/>
        <v>28.698681951867442</v>
      </c>
      <c r="M93" s="44">
        <f t="shared" si="5"/>
        <v>26.283733841583821</v>
      </c>
      <c r="N93" s="44">
        <f t="shared" si="5"/>
        <v>26.283733841583818</v>
      </c>
      <c r="O93" s="44">
        <f t="shared" si="5"/>
        <v>26.283733841583818</v>
      </c>
      <c r="P93" s="44">
        <f t="shared" si="5"/>
        <v>26.283733841583818</v>
      </c>
      <c r="Q93" s="44">
        <f t="shared" si="5"/>
        <v>26.283733841583818</v>
      </c>
      <c r="R93" s="44">
        <f t="shared" si="5"/>
        <v>26.283733841583818</v>
      </c>
      <c r="S93" s="23"/>
      <c r="T93" s="23"/>
      <c r="U93" s="23"/>
      <c r="V93" s="23"/>
      <c r="W93" s="23"/>
      <c r="X93" s="23"/>
      <c r="Y93" s="23"/>
      <c r="Z93" s="23"/>
      <c r="AA93" s="23"/>
    </row>
    <row r="94" spans="1:27" ht="15.75" customHeight="1" x14ac:dyDescent="0.2">
      <c r="A94" s="1"/>
      <c r="B94" s="1"/>
      <c r="C94" s="1" t="s">
        <v>44</v>
      </c>
      <c r="D94" s="1" t="s">
        <v>18</v>
      </c>
      <c r="E94" s="1"/>
      <c r="F94" s="1"/>
      <c r="G94" s="1"/>
      <c r="H94" s="44"/>
      <c r="I94" s="44">
        <f>IF(OR($D$85="BASE",$D$85="FIP"),$D$67,0)</f>
        <v>0</v>
      </c>
      <c r="J94" s="44">
        <f t="shared" ref="J94:R94" si="6">IF(OR($D$85="BASE",$D$85="FIP"),$D$67,0)</f>
        <v>0</v>
      </c>
      <c r="K94" s="44">
        <f t="shared" si="6"/>
        <v>0</v>
      </c>
      <c r="L94" s="44">
        <f t="shared" si="6"/>
        <v>0</v>
      </c>
      <c r="M94" s="44">
        <f t="shared" si="6"/>
        <v>0</v>
      </c>
      <c r="N94" s="44">
        <f t="shared" si="6"/>
        <v>0</v>
      </c>
      <c r="O94" s="44">
        <f t="shared" si="6"/>
        <v>0</v>
      </c>
      <c r="P94" s="44">
        <f t="shared" si="6"/>
        <v>0</v>
      </c>
      <c r="Q94" s="44">
        <f t="shared" si="6"/>
        <v>0</v>
      </c>
      <c r="R94" s="44">
        <f t="shared" si="6"/>
        <v>0</v>
      </c>
      <c r="S94" s="23"/>
      <c r="T94" s="23"/>
      <c r="U94" s="23"/>
      <c r="V94" s="23"/>
      <c r="W94" s="23"/>
      <c r="X94" s="23"/>
      <c r="Y94" s="23"/>
      <c r="Z94" s="23"/>
      <c r="AA94" s="23"/>
    </row>
    <row r="95" spans="1:27" ht="15.75" customHeight="1" x14ac:dyDescent="0.2">
      <c r="A95" s="1"/>
      <c r="B95" s="1"/>
      <c r="C95" s="42" t="s">
        <v>45</v>
      </c>
      <c r="D95" s="42" t="s">
        <v>18</v>
      </c>
      <c r="E95" s="43"/>
      <c r="F95" s="43"/>
      <c r="G95" s="43"/>
      <c r="H95" s="45"/>
      <c r="I95" s="45">
        <f>$D$43-I94</f>
        <v>443.54088285714067</v>
      </c>
      <c r="J95" s="45">
        <f t="shared" ref="J95:R95" si="7">$D$43-J94</f>
        <v>443.54088285714067</v>
      </c>
      <c r="K95" s="45">
        <f t="shared" si="7"/>
        <v>443.54088285714067</v>
      </c>
      <c r="L95" s="45">
        <f t="shared" si="7"/>
        <v>443.54088285714067</v>
      </c>
      <c r="M95" s="45">
        <f t="shared" si="7"/>
        <v>443.54088285714067</v>
      </c>
      <c r="N95" s="45">
        <f t="shared" si="7"/>
        <v>443.54088285714067</v>
      </c>
      <c r="O95" s="45">
        <f t="shared" si="7"/>
        <v>443.54088285714067</v>
      </c>
      <c r="P95" s="45">
        <f t="shared" si="7"/>
        <v>443.54088285714067</v>
      </c>
      <c r="Q95" s="45">
        <f t="shared" si="7"/>
        <v>443.54088285714067</v>
      </c>
      <c r="R95" s="45">
        <f t="shared" si="7"/>
        <v>443.54088285714067</v>
      </c>
      <c r="S95" s="23"/>
      <c r="T95" s="23"/>
      <c r="U95" s="23"/>
      <c r="V95" s="23"/>
      <c r="W95" s="23"/>
      <c r="X95" s="23"/>
      <c r="Y95" s="23"/>
      <c r="Z95" s="23"/>
      <c r="AA95" s="23"/>
    </row>
    <row r="96" spans="1:27" ht="15.75" customHeight="1" x14ac:dyDescent="0.2">
      <c r="A96" s="9"/>
      <c r="B96" s="9"/>
      <c r="C96" s="9" t="s">
        <v>21</v>
      </c>
      <c r="D96" s="24" t="s">
        <v>35</v>
      </c>
      <c r="E96" s="9"/>
      <c r="F96" s="9"/>
      <c r="G96" s="9"/>
      <c r="H96" s="46">
        <f>(H95*H92+H94*H93)/1000</f>
        <v>0</v>
      </c>
      <c r="I96" s="46">
        <f>(I95*I92+I94*I93)/1000</f>
        <v>16.172533490356638</v>
      </c>
      <c r="J96" s="46">
        <f t="shared" ref="J96:R96" si="8">(J95*J92+J94*J93)/1000</f>
        <v>12.733331828833265</v>
      </c>
      <c r="K96" s="46">
        <f t="shared" si="8"/>
        <v>13.866709982175131</v>
      </c>
      <c r="L96" s="46">
        <f t="shared" si="8"/>
        <v>12.729038729767575</v>
      </c>
      <c r="M96" s="46">
        <f t="shared" si="8"/>
        <v>11.657910512878194</v>
      </c>
      <c r="N96" s="46">
        <f t="shared" si="8"/>
        <v>11.657910512878193</v>
      </c>
      <c r="O96" s="46">
        <f t="shared" si="8"/>
        <v>11.657910512878193</v>
      </c>
      <c r="P96" s="46">
        <f t="shared" si="8"/>
        <v>11.657910512878193</v>
      </c>
      <c r="Q96" s="46">
        <f t="shared" si="8"/>
        <v>11.657910512878193</v>
      </c>
      <c r="R96" s="46">
        <f t="shared" si="8"/>
        <v>11.657910512878193</v>
      </c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5.75" customHeight="1" x14ac:dyDescent="0.2">
      <c r="A97" s="1"/>
      <c r="B97" s="1"/>
      <c r="C97" s="1"/>
      <c r="D97" s="1"/>
      <c r="E97" s="1"/>
      <c r="F97" s="1"/>
      <c r="G97" s="1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23"/>
      <c r="T97" s="23"/>
      <c r="U97" s="23"/>
      <c r="V97" s="23"/>
      <c r="W97" s="23"/>
      <c r="X97" s="23"/>
      <c r="Y97" s="23"/>
      <c r="Z97" s="23"/>
      <c r="AA97" s="23"/>
    </row>
    <row r="98" spans="1:27" ht="15.75" customHeight="1" x14ac:dyDescent="0.2">
      <c r="A98" s="1"/>
      <c r="B98" s="1"/>
      <c r="C98" s="42" t="s">
        <v>117</v>
      </c>
      <c r="D98" s="42" t="s">
        <v>35</v>
      </c>
      <c r="E98" s="42"/>
      <c r="F98" s="42"/>
      <c r="G98" s="42"/>
      <c r="H98" s="45">
        <f>H95*H78*$D$63/1000</f>
        <v>0</v>
      </c>
      <c r="I98" s="45">
        <f t="shared" ref="I98:R98" si="9">I95*I78*$D$63/1000</f>
        <v>0</v>
      </c>
      <c r="J98" s="45">
        <f t="shared" si="9"/>
        <v>0</v>
      </c>
      <c r="K98" s="45">
        <f t="shared" si="9"/>
        <v>0</v>
      </c>
      <c r="L98" s="45">
        <f t="shared" si="9"/>
        <v>0</v>
      </c>
      <c r="M98" s="45">
        <f t="shared" si="9"/>
        <v>0</v>
      </c>
      <c r="N98" s="45">
        <f t="shared" si="9"/>
        <v>0</v>
      </c>
      <c r="O98" s="45">
        <f t="shared" si="9"/>
        <v>0</v>
      </c>
      <c r="P98" s="45">
        <f t="shared" si="9"/>
        <v>0</v>
      </c>
      <c r="Q98" s="45">
        <f t="shared" si="9"/>
        <v>0</v>
      </c>
      <c r="R98" s="45">
        <f t="shared" si="9"/>
        <v>0</v>
      </c>
      <c r="S98" s="23"/>
      <c r="T98" s="23"/>
      <c r="U98" s="23"/>
      <c r="V98" s="23"/>
      <c r="W98" s="23"/>
      <c r="X98" s="23"/>
      <c r="Y98" s="23"/>
      <c r="Z98" s="23"/>
      <c r="AA98" s="23"/>
    </row>
    <row r="99" spans="1:27" ht="15.75" customHeight="1" x14ac:dyDescent="0.2">
      <c r="A99" s="9"/>
      <c r="B99" s="9"/>
      <c r="C99" s="9" t="s">
        <v>105</v>
      </c>
      <c r="D99" s="24" t="s">
        <v>35</v>
      </c>
      <c r="E99" s="9"/>
      <c r="F99" s="9"/>
      <c r="G99" s="9"/>
      <c r="H99" s="46">
        <f>H98+H96</f>
        <v>0</v>
      </c>
      <c r="I99" s="46">
        <f t="shared" ref="I99:R99" si="10">I98+I96</f>
        <v>16.172533490356638</v>
      </c>
      <c r="J99" s="46">
        <f t="shared" si="10"/>
        <v>12.733331828833265</v>
      </c>
      <c r="K99" s="46">
        <f t="shared" si="10"/>
        <v>13.866709982175131</v>
      </c>
      <c r="L99" s="46">
        <f t="shared" si="10"/>
        <v>12.729038729767575</v>
      </c>
      <c r="M99" s="46">
        <f t="shared" si="10"/>
        <v>11.657910512878194</v>
      </c>
      <c r="N99" s="46">
        <f t="shared" si="10"/>
        <v>11.657910512878193</v>
      </c>
      <c r="O99" s="46">
        <f t="shared" si="10"/>
        <v>11.657910512878193</v>
      </c>
      <c r="P99" s="46">
        <f t="shared" si="10"/>
        <v>11.657910512878193</v>
      </c>
      <c r="Q99" s="46">
        <f t="shared" si="10"/>
        <v>11.657910512878193</v>
      </c>
      <c r="R99" s="46">
        <f t="shared" si="10"/>
        <v>11.657910512878193</v>
      </c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6" t="s">
        <v>20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 t="s">
        <v>19</v>
      </c>
      <c r="D102" s="1" t="s">
        <v>35</v>
      </c>
      <c r="E102" s="1"/>
      <c r="F102" s="1"/>
      <c r="G102" s="1"/>
      <c r="H102" s="44">
        <f t="shared" ref="H102:R102" si="11">-($D$58*(H94+H95)/1000)-($D$57*$D$39/1000)</f>
        <v>-0.32900000000000001</v>
      </c>
      <c r="I102" s="44">
        <f t="shared" si="11"/>
        <v>-1.4378522071428517</v>
      </c>
      <c r="J102" s="44">
        <f t="shared" si="11"/>
        <v>-1.4378522071428517</v>
      </c>
      <c r="K102" s="44">
        <f t="shared" si="11"/>
        <v>-1.4378522071428517</v>
      </c>
      <c r="L102" s="44">
        <f t="shared" si="11"/>
        <v>-1.4378522071428517</v>
      </c>
      <c r="M102" s="44">
        <f t="shared" si="11"/>
        <v>-1.4378522071428517</v>
      </c>
      <c r="N102" s="44">
        <f t="shared" si="11"/>
        <v>-1.4378522071428517</v>
      </c>
      <c r="O102" s="44">
        <f t="shared" si="11"/>
        <v>-1.4378522071428517</v>
      </c>
      <c r="P102" s="44">
        <f t="shared" si="11"/>
        <v>-1.4378522071428517</v>
      </c>
      <c r="Q102" s="44">
        <f t="shared" si="11"/>
        <v>-1.4378522071428517</v>
      </c>
      <c r="R102" s="44">
        <f t="shared" si="11"/>
        <v>-1.4378522071428517</v>
      </c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 ht="15.75" customHeight="1" x14ac:dyDescent="0.2">
      <c r="A103" s="1"/>
      <c r="B103" s="1"/>
      <c r="C103" s="42" t="s">
        <v>47</v>
      </c>
      <c r="D103" s="42" t="s">
        <v>35</v>
      </c>
      <c r="E103" s="42"/>
      <c r="F103" s="42"/>
      <c r="G103" s="42"/>
      <c r="H103" s="45">
        <f>-$D$56</f>
        <v>0</v>
      </c>
      <c r="I103" s="45">
        <f t="shared" ref="I103:R103" si="12">-$D$56</f>
        <v>0</v>
      </c>
      <c r="J103" s="45">
        <f t="shared" si="12"/>
        <v>0</v>
      </c>
      <c r="K103" s="45">
        <f t="shared" si="12"/>
        <v>0</v>
      </c>
      <c r="L103" s="45">
        <f t="shared" si="12"/>
        <v>0</v>
      </c>
      <c r="M103" s="45">
        <f t="shared" si="12"/>
        <v>0</v>
      </c>
      <c r="N103" s="45">
        <f t="shared" si="12"/>
        <v>0</v>
      </c>
      <c r="O103" s="45">
        <f t="shared" si="12"/>
        <v>0</v>
      </c>
      <c r="P103" s="45">
        <f t="shared" si="12"/>
        <v>0</v>
      </c>
      <c r="Q103" s="45">
        <f t="shared" si="12"/>
        <v>0</v>
      </c>
      <c r="R103" s="45">
        <f t="shared" si="12"/>
        <v>0</v>
      </c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5.75" customHeight="1" x14ac:dyDescent="0.2">
      <c r="A104" s="9"/>
      <c r="B104" s="9"/>
      <c r="C104" s="9" t="s">
        <v>15</v>
      </c>
      <c r="D104" s="9" t="s">
        <v>35</v>
      </c>
      <c r="E104" s="9"/>
      <c r="F104" s="9"/>
      <c r="G104" s="9"/>
      <c r="H104" s="46">
        <f>SUM(H102:H103)</f>
        <v>-0.32900000000000001</v>
      </c>
      <c r="I104" s="46">
        <f>SUM(I102:I103)</f>
        <v>-1.4378522071428517</v>
      </c>
      <c r="J104" s="46">
        <f t="shared" ref="J104:R104" si="13">SUM(J102:J103)</f>
        <v>-1.4378522071428517</v>
      </c>
      <c r="K104" s="46">
        <f t="shared" si="13"/>
        <v>-1.4378522071428517</v>
      </c>
      <c r="L104" s="46">
        <f t="shared" si="13"/>
        <v>-1.4378522071428517</v>
      </c>
      <c r="M104" s="46">
        <f t="shared" si="13"/>
        <v>-1.4378522071428517</v>
      </c>
      <c r="N104" s="46">
        <f t="shared" si="13"/>
        <v>-1.4378522071428517</v>
      </c>
      <c r="O104" s="46">
        <f t="shared" si="13"/>
        <v>-1.4378522071428517</v>
      </c>
      <c r="P104" s="46">
        <f t="shared" si="13"/>
        <v>-1.4378522071428517</v>
      </c>
      <c r="Q104" s="46">
        <f t="shared" si="13"/>
        <v>-1.4378522071428517</v>
      </c>
      <c r="R104" s="46">
        <f t="shared" si="13"/>
        <v>-1.4378522071428517</v>
      </c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6" t="s">
        <v>50</v>
      </c>
      <c r="C107" s="1"/>
      <c r="D107" s="1"/>
      <c r="E107" s="1"/>
      <c r="F107" s="88" t="s">
        <v>17</v>
      </c>
      <c r="G107" s="90"/>
      <c r="H107" s="18">
        <v>0</v>
      </c>
      <c r="I107" s="18">
        <v>1</v>
      </c>
      <c r="J107" s="18">
        <v>2</v>
      </c>
      <c r="K107" s="18">
        <v>3</v>
      </c>
      <c r="L107" s="18">
        <v>4</v>
      </c>
      <c r="M107" s="18">
        <v>5</v>
      </c>
      <c r="N107" s="18">
        <v>6</v>
      </c>
      <c r="O107" s="18">
        <v>7</v>
      </c>
      <c r="P107" s="18">
        <v>8</v>
      </c>
      <c r="Q107" s="18">
        <v>9</v>
      </c>
      <c r="R107" s="18">
        <v>10</v>
      </c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 t="s">
        <v>16</v>
      </c>
      <c r="D108" s="1" t="s">
        <v>35</v>
      </c>
      <c r="E108" s="1"/>
      <c r="F108" s="1"/>
      <c r="G108" s="1"/>
      <c r="H108" s="44">
        <f>H99</f>
        <v>0</v>
      </c>
      <c r="I108" s="44">
        <f t="shared" ref="I108:R108" si="14">I99</f>
        <v>16.172533490356638</v>
      </c>
      <c r="J108" s="44">
        <f t="shared" si="14"/>
        <v>12.733331828833265</v>
      </c>
      <c r="K108" s="44">
        <f t="shared" si="14"/>
        <v>13.866709982175131</v>
      </c>
      <c r="L108" s="44">
        <f t="shared" si="14"/>
        <v>12.729038729767575</v>
      </c>
      <c r="M108" s="44">
        <f t="shared" si="14"/>
        <v>11.657910512878194</v>
      </c>
      <c r="N108" s="44">
        <f t="shared" si="14"/>
        <v>11.657910512878193</v>
      </c>
      <c r="O108" s="44">
        <f t="shared" si="14"/>
        <v>11.657910512878193</v>
      </c>
      <c r="P108" s="44">
        <f t="shared" si="14"/>
        <v>11.657910512878193</v>
      </c>
      <c r="Q108" s="44">
        <f t="shared" si="14"/>
        <v>11.657910512878193</v>
      </c>
      <c r="R108" s="44">
        <f t="shared" si="14"/>
        <v>11.657910512878193</v>
      </c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2">
      <c r="A109" s="1"/>
      <c r="B109" s="1"/>
      <c r="C109" s="1" t="s">
        <v>15</v>
      </c>
      <c r="D109" s="17" t="s">
        <v>35</v>
      </c>
      <c r="E109" s="1"/>
      <c r="F109" s="1"/>
      <c r="G109" s="1"/>
      <c r="H109" s="44">
        <f t="shared" ref="H109:R109" si="15">H104</f>
        <v>-0.32900000000000001</v>
      </c>
      <c r="I109" s="44">
        <f t="shared" si="15"/>
        <v>-1.4378522071428517</v>
      </c>
      <c r="J109" s="44">
        <f t="shared" si="15"/>
        <v>-1.4378522071428517</v>
      </c>
      <c r="K109" s="44">
        <f t="shared" si="15"/>
        <v>-1.4378522071428517</v>
      </c>
      <c r="L109" s="44">
        <f t="shared" si="15"/>
        <v>-1.4378522071428517</v>
      </c>
      <c r="M109" s="44">
        <f t="shared" si="15"/>
        <v>-1.4378522071428517</v>
      </c>
      <c r="N109" s="44">
        <f t="shared" si="15"/>
        <v>-1.4378522071428517</v>
      </c>
      <c r="O109" s="44">
        <f t="shared" si="15"/>
        <v>-1.4378522071428517</v>
      </c>
      <c r="P109" s="44">
        <f t="shared" si="15"/>
        <v>-1.4378522071428517</v>
      </c>
      <c r="Q109" s="44">
        <f t="shared" si="15"/>
        <v>-1.4378522071428517</v>
      </c>
      <c r="R109" s="44">
        <f t="shared" si="15"/>
        <v>-1.4378522071428517</v>
      </c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2">
      <c r="A110" s="1"/>
      <c r="B110" s="1"/>
      <c r="C110" s="13" t="s">
        <v>14</v>
      </c>
      <c r="D110" s="13" t="s">
        <v>35</v>
      </c>
      <c r="E110" s="13"/>
      <c r="F110" s="13"/>
      <c r="G110" s="13"/>
      <c r="H110" s="45">
        <f>-D54</f>
        <v>-30.69</v>
      </c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2"/>
      <c r="T110" s="42"/>
      <c r="U110" s="42"/>
      <c r="V110" s="13"/>
      <c r="W110" s="13"/>
      <c r="X110" s="13"/>
      <c r="Y110" s="13"/>
      <c r="Z110" s="13"/>
      <c r="AA110" s="13"/>
    </row>
    <row r="111" spans="1:27" ht="15.75" customHeight="1" x14ac:dyDescent="0.2">
      <c r="A111" s="9"/>
      <c r="B111" s="9"/>
      <c r="C111" s="9" t="s">
        <v>13</v>
      </c>
      <c r="D111" s="9" t="s">
        <v>35</v>
      </c>
      <c r="E111" s="9"/>
      <c r="F111" s="9"/>
      <c r="G111" s="53"/>
      <c r="H111" s="48">
        <f>SUM(H108:H110)</f>
        <v>-31.019000000000002</v>
      </c>
      <c r="I111" s="48">
        <f t="shared" ref="I111:R111" si="16">SUM(I108:I109)</f>
        <v>14.734681283213787</v>
      </c>
      <c r="J111" s="48">
        <f t="shared" si="16"/>
        <v>11.295479621690413</v>
      </c>
      <c r="K111" s="48">
        <f t="shared" si="16"/>
        <v>12.428857775032279</v>
      </c>
      <c r="L111" s="48">
        <f t="shared" si="16"/>
        <v>11.291186522624724</v>
      </c>
      <c r="M111" s="48">
        <f t="shared" si="16"/>
        <v>10.220058305735343</v>
      </c>
      <c r="N111" s="48">
        <f t="shared" si="16"/>
        <v>10.220058305735341</v>
      </c>
      <c r="O111" s="48">
        <f t="shared" si="16"/>
        <v>10.220058305735341</v>
      </c>
      <c r="P111" s="48">
        <f t="shared" si="16"/>
        <v>10.220058305735341</v>
      </c>
      <c r="Q111" s="48">
        <f t="shared" si="16"/>
        <v>10.220058305735341</v>
      </c>
      <c r="R111" s="48">
        <f t="shared" si="16"/>
        <v>10.220058305735341</v>
      </c>
      <c r="S111" s="47"/>
      <c r="T111" s="47"/>
      <c r="U111" s="15"/>
      <c r="V111" s="15"/>
      <c r="W111" s="15"/>
      <c r="X111" s="15"/>
      <c r="Y111" s="15"/>
      <c r="Z111" s="15"/>
      <c r="AA111" s="15"/>
    </row>
    <row r="112" spans="1:27" ht="15.75" customHeight="1" x14ac:dyDescent="0.2">
      <c r="A112" s="9"/>
      <c r="B112" s="9"/>
      <c r="C112" s="4" t="s">
        <v>12</v>
      </c>
      <c r="D112" s="4" t="s">
        <v>35</v>
      </c>
      <c r="E112" s="4"/>
      <c r="F112" s="4"/>
      <c r="G112" s="53"/>
      <c r="H112" s="48">
        <f>H111</f>
        <v>-31.019000000000002</v>
      </c>
      <c r="I112" s="48">
        <f t="shared" ref="I112:R112" si="17">I111</f>
        <v>14.734681283213787</v>
      </c>
      <c r="J112" s="48">
        <f t="shared" si="17"/>
        <v>11.295479621690413</v>
      </c>
      <c r="K112" s="48">
        <f t="shared" si="17"/>
        <v>12.428857775032279</v>
      </c>
      <c r="L112" s="48">
        <f t="shared" si="17"/>
        <v>11.291186522624724</v>
      </c>
      <c r="M112" s="48">
        <f t="shared" si="17"/>
        <v>10.220058305735343</v>
      </c>
      <c r="N112" s="48">
        <f t="shared" si="17"/>
        <v>10.220058305735341</v>
      </c>
      <c r="O112" s="48">
        <f t="shared" si="17"/>
        <v>10.220058305735341</v>
      </c>
      <c r="P112" s="48">
        <f t="shared" si="17"/>
        <v>10.220058305735341</v>
      </c>
      <c r="Q112" s="48">
        <f t="shared" si="17"/>
        <v>10.220058305735341</v>
      </c>
      <c r="R112" s="48">
        <f t="shared" si="17"/>
        <v>10.220058305735341</v>
      </c>
      <c r="S112" s="25"/>
      <c r="T112" s="25"/>
      <c r="U112" s="14"/>
      <c r="V112" s="14"/>
      <c r="W112" s="14"/>
      <c r="X112" s="14"/>
      <c r="Y112" s="14"/>
      <c r="Z112" s="14"/>
      <c r="AA112" s="14"/>
    </row>
    <row r="113" spans="1:27" ht="15.75" customHeight="1" x14ac:dyDescent="0.2">
      <c r="A113" s="11"/>
      <c r="B113" s="11"/>
      <c r="C113" s="11" t="s">
        <v>11</v>
      </c>
      <c r="D113" s="11" t="s">
        <v>35</v>
      </c>
      <c r="E113" s="11"/>
      <c r="F113" s="11"/>
      <c r="G113" s="11"/>
      <c r="H113" s="44">
        <f>-$D$54/$D$37</f>
        <v>-3.069</v>
      </c>
      <c r="I113" s="44">
        <f t="shared" ref="I113:R113" si="18">-$D$54/$D$37</f>
        <v>-3.069</v>
      </c>
      <c r="J113" s="44">
        <f t="shared" si="18"/>
        <v>-3.069</v>
      </c>
      <c r="K113" s="44">
        <f t="shared" si="18"/>
        <v>-3.069</v>
      </c>
      <c r="L113" s="44">
        <f t="shared" si="18"/>
        <v>-3.069</v>
      </c>
      <c r="M113" s="44">
        <f t="shared" si="18"/>
        <v>-3.069</v>
      </c>
      <c r="N113" s="44">
        <f t="shared" si="18"/>
        <v>-3.069</v>
      </c>
      <c r="O113" s="44">
        <f t="shared" si="18"/>
        <v>-3.069</v>
      </c>
      <c r="P113" s="44">
        <f t="shared" si="18"/>
        <v>-3.069</v>
      </c>
      <c r="Q113" s="44">
        <f t="shared" si="18"/>
        <v>-3.069</v>
      </c>
      <c r="R113" s="44">
        <f t="shared" si="18"/>
        <v>-3.069</v>
      </c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2">
      <c r="A114" s="1"/>
      <c r="B114" s="1"/>
      <c r="C114" s="1" t="s">
        <v>10</v>
      </c>
      <c r="D114" s="1" t="s">
        <v>35</v>
      </c>
      <c r="E114" s="1"/>
      <c r="F114" s="1"/>
      <c r="G114" s="1"/>
      <c r="H114" s="44">
        <f t="shared" ref="H114:R114" si="19">SUM(H112:H113)</f>
        <v>-34.088000000000001</v>
      </c>
      <c r="I114" s="44">
        <f t="shared" si="19"/>
        <v>11.665681283213786</v>
      </c>
      <c r="J114" s="44">
        <f t="shared" si="19"/>
        <v>8.2264796216904124</v>
      </c>
      <c r="K114" s="44">
        <f t="shared" si="19"/>
        <v>9.3598577750322782</v>
      </c>
      <c r="L114" s="44">
        <f t="shared" si="19"/>
        <v>8.2221865226247246</v>
      </c>
      <c r="M114" s="44">
        <f t="shared" si="19"/>
        <v>7.1510583057353427</v>
      </c>
      <c r="N114" s="44">
        <f t="shared" si="19"/>
        <v>7.151058305735341</v>
      </c>
      <c r="O114" s="44">
        <f t="shared" si="19"/>
        <v>7.151058305735341</v>
      </c>
      <c r="P114" s="44">
        <f t="shared" si="19"/>
        <v>7.151058305735341</v>
      </c>
      <c r="Q114" s="44">
        <f t="shared" si="19"/>
        <v>7.151058305735341</v>
      </c>
      <c r="R114" s="44">
        <f t="shared" si="19"/>
        <v>7.151058305735341</v>
      </c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2">
      <c r="A115" s="1"/>
      <c r="B115" s="1"/>
      <c r="C115" s="13" t="s">
        <v>9</v>
      </c>
      <c r="D115" s="13" t="s">
        <v>35</v>
      </c>
      <c r="E115" s="13"/>
      <c r="F115" s="13"/>
      <c r="G115" s="42"/>
      <c r="H115" s="45"/>
      <c r="I115" s="45">
        <f t="shared" ref="I115:R115" si="20">-I114*$D$23</f>
        <v>-2.7997635079713086</v>
      </c>
      <c r="J115" s="45">
        <f t="shared" si="20"/>
        <v>-1.9743551092056988</v>
      </c>
      <c r="K115" s="45">
        <f t="shared" si="20"/>
        <v>-2.2463658660077468</v>
      </c>
      <c r="L115" s="45">
        <f t="shared" si="20"/>
        <v>-1.9733247654299337</v>
      </c>
      <c r="M115" s="45">
        <f t="shared" si="20"/>
        <v>-1.7162539933764822</v>
      </c>
      <c r="N115" s="45">
        <f t="shared" si="20"/>
        <v>-1.7162539933764818</v>
      </c>
      <c r="O115" s="45">
        <f t="shared" si="20"/>
        <v>-1.7162539933764818</v>
      </c>
      <c r="P115" s="45">
        <f t="shared" si="20"/>
        <v>-1.7162539933764818</v>
      </c>
      <c r="Q115" s="45">
        <f t="shared" si="20"/>
        <v>-1.7162539933764818</v>
      </c>
      <c r="R115" s="45">
        <f t="shared" si="20"/>
        <v>-1.7162539933764818</v>
      </c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.75" customHeight="1" x14ac:dyDescent="0.2">
      <c r="A116" s="1"/>
      <c r="B116" s="1"/>
      <c r="C116" s="9" t="s">
        <v>8</v>
      </c>
      <c r="D116" s="9" t="s">
        <v>35</v>
      </c>
      <c r="E116" s="9"/>
      <c r="F116" s="1"/>
      <c r="G116" s="1"/>
      <c r="H116" s="46">
        <f>H114</f>
        <v>-34.088000000000001</v>
      </c>
      <c r="I116" s="46">
        <f t="shared" ref="I116:R116" si="21">SUM(I112,I115)</f>
        <v>11.934917775242479</v>
      </c>
      <c r="J116" s="46">
        <f t="shared" si="21"/>
        <v>9.3211245124847153</v>
      </c>
      <c r="K116" s="46">
        <f t="shared" si="21"/>
        <v>10.182491909024533</v>
      </c>
      <c r="L116" s="46">
        <f t="shared" si="21"/>
        <v>9.3178617571947893</v>
      </c>
      <c r="M116" s="46">
        <f t="shared" si="21"/>
        <v>8.5038043123588611</v>
      </c>
      <c r="N116" s="46">
        <f t="shared" si="21"/>
        <v>8.5038043123588594</v>
      </c>
      <c r="O116" s="46">
        <f t="shared" si="21"/>
        <v>8.5038043123588594</v>
      </c>
      <c r="P116" s="46">
        <f t="shared" si="21"/>
        <v>8.5038043123588594</v>
      </c>
      <c r="Q116" s="46">
        <f t="shared" si="21"/>
        <v>8.5038043123588594</v>
      </c>
      <c r="R116" s="46">
        <f t="shared" si="21"/>
        <v>8.5038043123588594</v>
      </c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2">
      <c r="A117" s="1"/>
      <c r="B117" s="1"/>
      <c r="C117" s="1" t="s">
        <v>7</v>
      </c>
      <c r="D117" s="1" t="s">
        <v>35</v>
      </c>
      <c r="E117" s="1"/>
      <c r="F117" s="1"/>
      <c r="G117" s="1"/>
      <c r="H117" s="44">
        <f t="shared" ref="H117:R117" si="22">H116/(1+$D$22)^H89</f>
        <v>-34.088000000000001</v>
      </c>
      <c r="I117" s="44">
        <f t="shared" si="22"/>
        <v>10.940953927216949</v>
      </c>
      <c r="J117" s="44">
        <f t="shared" si="22"/>
        <v>7.8332110006472542</v>
      </c>
      <c r="K117" s="44">
        <f t="shared" si="22"/>
        <v>7.844429194979547</v>
      </c>
      <c r="L117" s="44">
        <f t="shared" si="22"/>
        <v>6.5805060751339814</v>
      </c>
      <c r="M117" s="44">
        <f t="shared" si="22"/>
        <v>5.505440168463573</v>
      </c>
      <c r="N117" s="44">
        <f t="shared" si="22"/>
        <v>5.0469360884210772</v>
      </c>
      <c r="O117" s="44">
        <f t="shared" si="22"/>
        <v>4.6266171461664438</v>
      </c>
      <c r="P117" s="44">
        <f t="shared" si="22"/>
        <v>4.2413032069716623</v>
      </c>
      <c r="Q117" s="44">
        <f t="shared" si="22"/>
        <v>3.8880789840960319</v>
      </c>
      <c r="R117" s="44">
        <f t="shared" si="22"/>
        <v>3.5642719817155091</v>
      </c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2">
      <c r="A118" s="1"/>
      <c r="B118" s="1"/>
      <c r="C118" s="1" t="s">
        <v>51</v>
      </c>
      <c r="D118" s="1" t="s">
        <v>35</v>
      </c>
      <c r="E118" s="1"/>
      <c r="F118" s="1"/>
      <c r="G118" s="1"/>
      <c r="H118" s="44">
        <f>H117</f>
        <v>-34.088000000000001</v>
      </c>
      <c r="I118" s="44">
        <f>H118+I117</f>
        <v>-23.147046072783052</v>
      </c>
      <c r="J118" s="44">
        <f t="shared" ref="J118:R118" si="23">I118+J117</f>
        <v>-15.313835072135799</v>
      </c>
      <c r="K118" s="44">
        <f t="shared" si="23"/>
        <v>-7.4694058771562517</v>
      </c>
      <c r="L118" s="44">
        <f t="shared" si="23"/>
        <v>-0.88889980202227026</v>
      </c>
      <c r="M118" s="44">
        <f t="shared" si="23"/>
        <v>4.6165403664413027</v>
      </c>
      <c r="N118" s="44">
        <f t="shared" si="23"/>
        <v>9.6634764548623799</v>
      </c>
      <c r="O118" s="44">
        <f t="shared" si="23"/>
        <v>14.290093601028824</v>
      </c>
      <c r="P118" s="44">
        <f t="shared" si="23"/>
        <v>18.531396808000487</v>
      </c>
      <c r="Q118" s="44">
        <f t="shared" si="23"/>
        <v>22.41947579209652</v>
      </c>
      <c r="R118" s="44">
        <f t="shared" si="23"/>
        <v>25.983747773812031</v>
      </c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2">
      <c r="A119" s="1"/>
      <c r="B119" s="1"/>
      <c r="C119" s="1"/>
      <c r="D119" s="1"/>
      <c r="E119" s="1"/>
      <c r="F119" s="1"/>
      <c r="G119" s="1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44">
        <f>IF(H118&lt;0,(13-6)/12,0)</f>
        <v>0.58333333333333337</v>
      </c>
      <c r="I120" s="44">
        <f>IF(COUNTIF($H120:H120,"=0")=COUNTA($H120:H120),IF(I118&lt;0,(13-6)/12,0),IF(I118&lt;0,1,IF(I118=0,IF(H118&gt;=0,0,1),IF(H118&lt;0,-H118/I117,0))))</f>
        <v>1</v>
      </c>
      <c r="J120" s="44">
        <f>IF(COUNTIF($H120:I120,"=0")=COUNTA($H120:I120),IF(J118&lt;0,(13-6)/12,0),IF(J118&lt;0,1,IF(J118=0,IF(I118&gt;=0,0,1),IF(I118&lt;0,-I118/J117,0))))</f>
        <v>1</v>
      </c>
      <c r="K120" s="44">
        <f>IF(COUNTIF($H120:J120,"=0")=COUNTA($H120:J120),IF(K118&lt;0,(13-6)/12,0),IF(K118&lt;0,1,IF(K118=0,IF(J118&gt;=0,0,1),IF(J118&lt;0,-J118/K117,0))))</f>
        <v>1</v>
      </c>
      <c r="L120" s="44">
        <f>IF(COUNTIF($H120:K120,"=0")=COUNTA($H120:K120),IF(L118&lt;0,(13-6)/12,0),IF(L118&lt;0,1,IF(L118=0,IF(K118&gt;=0,0,1),IF(K118&lt;0,-K118/L117,0))))</f>
        <v>1</v>
      </c>
      <c r="M120" s="44">
        <f>IF(COUNTIF($H120:L120,"=0")=COUNTA($H120:L120),IF(M118&lt;0,(13-6)/12,0),IF(M118&lt;0,1,IF(M118=0,IF(L118&gt;=0,0,1),IF(L118&lt;0,-L118/M117,0))))</f>
        <v>0.1614584437978443</v>
      </c>
      <c r="N120" s="44">
        <f>IF(COUNTIF($H120:M120,"=0")=COUNTA($H120:M120),IF(N118&lt;0,(13-6)/12,0),IF(N118&lt;0,1,IF(N118=0,IF(M118&gt;=0,0,1),IF(M118&lt;0,-M118/N117,0))))</f>
        <v>0</v>
      </c>
      <c r="O120" s="44">
        <f>IF(COUNTIF($H120:N120,"=0")=COUNTA($H120:N120),IF(O118&lt;0,(13-6)/12,0),IF(O118&lt;0,1,IF(O118=0,IF(N118&gt;=0,0,1),IF(N118&lt;0,-N118/O117,0))))</f>
        <v>0</v>
      </c>
      <c r="P120" s="44">
        <f>IF(COUNTIF($H120:O120,"=0")=COUNTA($H120:O120),IF(P118&lt;0,(13-6)/12,0),IF(P118&lt;0,1,IF(P118=0,IF(O118&gt;=0,0,1),IF(O118&lt;0,-O118/P117,0))))</f>
        <v>0</v>
      </c>
      <c r="Q120" s="44">
        <f>IF(COUNTIF($H120:P120,"=0")=COUNTA($H120:P120),IF(Q118&lt;0,(13-6)/12,0),IF(Q118&lt;0,1,IF(Q118=0,IF(P118&gt;=0,0,1),IF(P118&lt;0,-P118/Q117,0))))</f>
        <v>0</v>
      </c>
      <c r="R120" s="44">
        <f>IF(COUNTIF($H120:Q120,"=0")=COUNTA($H120:Q120),IF(R118&lt;0,(13-6)/12,0),IF(R118&lt;0,1,IF(R118=0,IF(Q118&gt;=0,0,1),IF(Q118&lt;0,-Q118/R117,0))))</f>
        <v>0</v>
      </c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2">
      <c r="A121" s="1"/>
      <c r="B121" s="1"/>
      <c r="C121" s="1"/>
      <c r="D121" s="1" t="s">
        <v>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6" t="s">
        <v>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5" t="s">
        <v>4</v>
      </c>
      <c r="D123" s="4" t="s">
        <v>35</v>
      </c>
      <c r="E123" s="3"/>
      <c r="F123" s="81">
        <f>NPV(D22,I116:R116)+H116</f>
        <v>25.983747773812034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9"/>
      <c r="C125" s="5" t="s">
        <v>3</v>
      </c>
      <c r="D125" s="4" t="s">
        <v>35</v>
      </c>
      <c r="E125" s="3"/>
      <c r="F125" s="80">
        <f>SUM(H117:R117)</f>
        <v>25.983747773812031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7">
        <f>NPV(F129,I116:R116)+H116</f>
        <v>6.5701194843370558E-4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6" t="s">
        <v>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5" t="s">
        <v>1</v>
      </c>
      <c r="D129" s="4" t="s">
        <v>0</v>
      </c>
      <c r="E129" s="3"/>
      <c r="F129" s="2">
        <v>0.2576149605965406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6" t="s">
        <v>48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49" t="s">
        <v>49</v>
      </c>
      <c r="D133" s="50" t="s">
        <v>27</v>
      </c>
      <c r="E133" s="51"/>
      <c r="F133" s="52">
        <f>IF(SUM(H120:R120)=0,0,SUM(H120:R120))</f>
        <v>4.7447917771311783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22"/>
      <c r="B137" s="26" t="s">
        <v>99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21"/>
      <c r="B139" s="21"/>
      <c r="C139" s="20"/>
      <c r="D139" s="19"/>
      <c r="E139" s="19"/>
      <c r="F139" s="88" t="s">
        <v>17</v>
      </c>
      <c r="G139" s="90"/>
      <c r="H139" s="18">
        <v>0</v>
      </c>
      <c r="I139" s="18">
        <v>1</v>
      </c>
      <c r="J139" s="18">
        <v>2</v>
      </c>
      <c r="K139" s="18">
        <v>3</v>
      </c>
      <c r="L139" s="18">
        <v>4</v>
      </c>
      <c r="M139" s="18">
        <v>5</v>
      </c>
      <c r="N139" s="18">
        <v>6</v>
      </c>
      <c r="O139" s="18">
        <v>7</v>
      </c>
      <c r="P139" s="18">
        <v>8</v>
      </c>
      <c r="Q139" s="18">
        <v>9</v>
      </c>
      <c r="R139" s="18">
        <v>10</v>
      </c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9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6" t="s">
        <v>100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 t="s">
        <v>31</v>
      </c>
      <c r="D142" s="1" t="s">
        <v>40</v>
      </c>
      <c r="E142" s="1"/>
      <c r="F142" s="1"/>
      <c r="G142" s="1"/>
      <c r="H142" s="44">
        <f>H92</f>
        <v>36.462328762522716</v>
      </c>
      <c r="I142" s="44">
        <f t="shared" ref="I142:R142" si="24">I92</f>
        <v>36.462328762522716</v>
      </c>
      <c r="J142" s="44">
        <f t="shared" si="24"/>
        <v>28.708361102610066</v>
      </c>
      <c r="K142" s="44">
        <f t="shared" si="24"/>
        <v>31.263656898661665</v>
      </c>
      <c r="L142" s="44">
        <f t="shared" si="24"/>
        <v>28.698681951867442</v>
      </c>
      <c r="M142" s="44">
        <f t="shared" si="24"/>
        <v>26.283733841583821</v>
      </c>
      <c r="N142" s="44">
        <f t="shared" si="24"/>
        <v>26.283733841583818</v>
      </c>
      <c r="O142" s="44">
        <f t="shared" si="24"/>
        <v>26.283733841583818</v>
      </c>
      <c r="P142" s="44">
        <f t="shared" si="24"/>
        <v>26.283733841583818</v>
      </c>
      <c r="Q142" s="44">
        <f t="shared" si="24"/>
        <v>26.283733841583818</v>
      </c>
      <c r="R142" s="44">
        <f t="shared" si="24"/>
        <v>26.283733841583818</v>
      </c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 ht="15.75" customHeight="1" x14ac:dyDescent="0.2">
      <c r="A143" s="1"/>
      <c r="B143" s="1"/>
      <c r="C143" s="1" t="s">
        <v>101</v>
      </c>
      <c r="D143" s="1" t="s">
        <v>18</v>
      </c>
      <c r="E143" s="1"/>
      <c r="F143" s="1"/>
      <c r="G143" s="1"/>
      <c r="H143" s="44">
        <f>IF(OR($D$85="BASE",$D$85="FIP"),0,H95+H94)</f>
        <v>0</v>
      </c>
      <c r="I143" s="44">
        <f>IF(OR($D$85="BASE",$D$85="FIP"),0,I95+I94)</f>
        <v>443.54088285714067</v>
      </c>
      <c r="J143" s="44">
        <f t="shared" ref="J143:R143" si="25">IF(OR($D$85="BASE",$D$85="FIP"),0,J95+J94)</f>
        <v>443.54088285714067</v>
      </c>
      <c r="K143" s="44">
        <f t="shared" si="25"/>
        <v>443.54088285714067</v>
      </c>
      <c r="L143" s="44">
        <f t="shared" si="25"/>
        <v>443.54088285714067</v>
      </c>
      <c r="M143" s="44">
        <f t="shared" si="25"/>
        <v>443.54088285714067</v>
      </c>
      <c r="N143" s="44">
        <f t="shared" si="25"/>
        <v>443.54088285714067</v>
      </c>
      <c r="O143" s="44">
        <f t="shared" si="25"/>
        <v>443.54088285714067</v>
      </c>
      <c r="P143" s="44">
        <f t="shared" si="25"/>
        <v>443.54088285714067</v>
      </c>
      <c r="Q143" s="44">
        <f t="shared" si="25"/>
        <v>443.54088285714067</v>
      </c>
      <c r="R143" s="44">
        <f t="shared" si="25"/>
        <v>443.54088285714067</v>
      </c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 ht="15.75" customHeight="1" x14ac:dyDescent="0.2">
      <c r="A144" s="1"/>
      <c r="B144" s="1"/>
      <c r="C144" s="1" t="s">
        <v>104</v>
      </c>
      <c r="D144" s="79" t="s">
        <v>35</v>
      </c>
      <c r="E144" s="1"/>
      <c r="F144" s="1"/>
      <c r="G144" s="1"/>
      <c r="H144" s="44">
        <f>-H142*H143/1000</f>
        <v>0</v>
      </c>
      <c r="I144" s="44">
        <f t="shared" ref="I144:R144" si="26">-I142*I143/1000</f>
        <v>-16.172533490356638</v>
      </c>
      <c r="J144" s="44">
        <f t="shared" si="26"/>
        <v>-12.733331828833265</v>
      </c>
      <c r="K144" s="44">
        <f t="shared" si="26"/>
        <v>-13.866709982175131</v>
      </c>
      <c r="L144" s="44">
        <f t="shared" si="26"/>
        <v>-12.729038729767575</v>
      </c>
      <c r="M144" s="44">
        <f t="shared" si="26"/>
        <v>-11.657910512878194</v>
      </c>
      <c r="N144" s="44">
        <f t="shared" si="26"/>
        <v>-11.657910512878193</v>
      </c>
      <c r="O144" s="44">
        <f t="shared" si="26"/>
        <v>-11.657910512878193</v>
      </c>
      <c r="P144" s="44">
        <f t="shared" si="26"/>
        <v>-11.657910512878193</v>
      </c>
      <c r="Q144" s="44">
        <f t="shared" si="26"/>
        <v>-11.657910512878193</v>
      </c>
      <c r="R144" s="44">
        <f t="shared" si="26"/>
        <v>-11.657910512878193</v>
      </c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 ht="15.75" customHeight="1" x14ac:dyDescent="0.2">
      <c r="A145" s="1"/>
      <c r="B145" s="1"/>
      <c r="C145" s="1" t="s">
        <v>15</v>
      </c>
      <c r="D145" s="79" t="s">
        <v>35</v>
      </c>
      <c r="E145" s="1"/>
      <c r="F145" s="1"/>
      <c r="G145" s="1"/>
      <c r="H145" s="44">
        <f>-($D$58*H143/1000)</f>
        <v>0</v>
      </c>
      <c r="I145" s="44">
        <f t="shared" ref="I145:R145" si="27">-($D$58*I143/1000)</f>
        <v>-1.1088522071428517</v>
      </c>
      <c r="J145" s="44">
        <f t="shared" si="27"/>
        <v>-1.1088522071428517</v>
      </c>
      <c r="K145" s="44">
        <f t="shared" si="27"/>
        <v>-1.1088522071428517</v>
      </c>
      <c r="L145" s="44">
        <f t="shared" si="27"/>
        <v>-1.1088522071428517</v>
      </c>
      <c r="M145" s="44">
        <f t="shared" si="27"/>
        <v>-1.1088522071428517</v>
      </c>
      <c r="N145" s="44">
        <f t="shared" si="27"/>
        <v>-1.1088522071428517</v>
      </c>
      <c r="O145" s="44">
        <f t="shared" si="27"/>
        <v>-1.1088522071428517</v>
      </c>
      <c r="P145" s="44">
        <f t="shared" si="27"/>
        <v>-1.1088522071428517</v>
      </c>
      <c r="Q145" s="44">
        <f t="shared" si="27"/>
        <v>-1.1088522071428517</v>
      </c>
      <c r="R145" s="44">
        <f t="shared" si="27"/>
        <v>-1.1088522071428517</v>
      </c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 ht="15.75" customHeight="1" x14ac:dyDescent="0.2">
      <c r="A146" s="1"/>
      <c r="B146" s="1"/>
      <c r="C146" s="42" t="s">
        <v>47</v>
      </c>
      <c r="D146" s="42" t="s">
        <v>35</v>
      </c>
      <c r="E146" s="43"/>
      <c r="F146" s="43"/>
      <c r="G146" s="43"/>
      <c r="H146" s="45">
        <f t="shared" ref="H146:R146" si="28">IF(H139=0,0,IF(OR($D$85="FIC",$D$85="COMBO"),-$D$55,0))</f>
        <v>0</v>
      </c>
      <c r="I146" s="45">
        <f t="shared" si="28"/>
        <v>-10</v>
      </c>
      <c r="J146" s="45">
        <f t="shared" si="28"/>
        <v>-10</v>
      </c>
      <c r="K146" s="45">
        <f t="shared" si="28"/>
        <v>-10</v>
      </c>
      <c r="L146" s="45">
        <f t="shared" si="28"/>
        <v>-10</v>
      </c>
      <c r="M146" s="45">
        <f t="shared" si="28"/>
        <v>-10</v>
      </c>
      <c r="N146" s="45">
        <f t="shared" si="28"/>
        <v>-10</v>
      </c>
      <c r="O146" s="45">
        <f t="shared" si="28"/>
        <v>-10</v>
      </c>
      <c r="P146" s="45">
        <f t="shared" si="28"/>
        <v>-10</v>
      </c>
      <c r="Q146" s="45">
        <f t="shared" si="28"/>
        <v>-10</v>
      </c>
      <c r="R146" s="45">
        <f t="shared" si="28"/>
        <v>-10</v>
      </c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 ht="15.75" customHeight="1" x14ac:dyDescent="0.2">
      <c r="A147" s="9"/>
      <c r="B147" s="9"/>
      <c r="C147" s="9" t="s">
        <v>15</v>
      </c>
      <c r="D147" s="24" t="s">
        <v>35</v>
      </c>
      <c r="E147" s="9"/>
      <c r="F147" s="9"/>
      <c r="G147" s="9"/>
      <c r="H147" s="46">
        <f>H144+H145+H146</f>
        <v>0</v>
      </c>
      <c r="I147" s="46">
        <f t="shared" ref="I147:R147" si="29">I144+I145+I146</f>
        <v>-27.281385697499491</v>
      </c>
      <c r="J147" s="46">
        <f t="shared" si="29"/>
        <v>-23.842184035976118</v>
      </c>
      <c r="K147" s="46">
        <f t="shared" si="29"/>
        <v>-24.975562189317984</v>
      </c>
      <c r="L147" s="46">
        <f t="shared" si="29"/>
        <v>-23.837890936910426</v>
      </c>
      <c r="M147" s="46">
        <f t="shared" si="29"/>
        <v>-22.766762720021045</v>
      </c>
      <c r="N147" s="46">
        <f t="shared" si="29"/>
        <v>-22.766762720021042</v>
      </c>
      <c r="O147" s="46">
        <f t="shared" si="29"/>
        <v>-22.766762720021042</v>
      </c>
      <c r="P147" s="46">
        <f t="shared" si="29"/>
        <v>-22.766762720021042</v>
      </c>
      <c r="Q147" s="46">
        <f t="shared" si="29"/>
        <v>-22.766762720021042</v>
      </c>
      <c r="R147" s="46">
        <f t="shared" si="29"/>
        <v>-22.766762720021042</v>
      </c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6" t="s">
        <v>105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 t="s">
        <v>31</v>
      </c>
      <c r="D150" s="1" t="s">
        <v>40</v>
      </c>
      <c r="E150" s="1"/>
      <c r="F150" s="1"/>
      <c r="G150" s="1"/>
      <c r="H150" s="44">
        <f>H78</f>
        <v>56.0958904038811</v>
      </c>
      <c r="I150" s="44">
        <f t="shared" ref="I150:R150" si="30">I78</f>
        <v>56.0958904038811</v>
      </c>
      <c r="J150" s="44">
        <f t="shared" si="30"/>
        <v>44.166709388630871</v>
      </c>
      <c r="K150" s="44">
        <f t="shared" si="30"/>
        <v>48.097933690248716</v>
      </c>
      <c r="L150" s="44">
        <f t="shared" si="30"/>
        <v>44.151818387488369</v>
      </c>
      <c r="M150" s="44">
        <f t="shared" si="30"/>
        <v>40.436513602436648</v>
      </c>
      <c r="N150" s="44">
        <f t="shared" si="30"/>
        <v>40.436513602436641</v>
      </c>
      <c r="O150" s="44">
        <f t="shared" si="30"/>
        <v>40.436513602436641</v>
      </c>
      <c r="P150" s="44">
        <f t="shared" si="30"/>
        <v>40.436513602436641</v>
      </c>
      <c r="Q150" s="44">
        <f t="shared" si="30"/>
        <v>40.436513602436641</v>
      </c>
      <c r="R150" s="44">
        <f t="shared" si="30"/>
        <v>40.436513602436641</v>
      </c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 ht="15.75" customHeight="1" x14ac:dyDescent="0.2">
      <c r="A151" s="1"/>
      <c r="B151" s="1"/>
      <c r="C151" s="1" t="s">
        <v>102</v>
      </c>
      <c r="D151" s="1" t="s">
        <v>18</v>
      </c>
      <c r="E151" s="1"/>
      <c r="F151" s="1"/>
      <c r="G151" s="1"/>
      <c r="H151" s="44">
        <f t="shared" ref="H151:R151" si="31">H143</f>
        <v>0</v>
      </c>
      <c r="I151" s="44">
        <f t="shared" si="31"/>
        <v>443.54088285714067</v>
      </c>
      <c r="J151" s="44">
        <f t="shared" si="31"/>
        <v>443.54088285714067</v>
      </c>
      <c r="K151" s="44">
        <f t="shared" si="31"/>
        <v>443.54088285714067</v>
      </c>
      <c r="L151" s="44">
        <f t="shared" si="31"/>
        <v>443.54088285714067</v>
      </c>
      <c r="M151" s="44">
        <f t="shared" si="31"/>
        <v>443.54088285714067</v>
      </c>
      <c r="N151" s="44">
        <f t="shared" si="31"/>
        <v>443.54088285714067</v>
      </c>
      <c r="O151" s="44">
        <f t="shared" si="31"/>
        <v>443.54088285714067</v>
      </c>
      <c r="P151" s="44">
        <f t="shared" si="31"/>
        <v>443.54088285714067</v>
      </c>
      <c r="Q151" s="44">
        <f t="shared" si="31"/>
        <v>443.54088285714067</v>
      </c>
      <c r="R151" s="44">
        <f t="shared" si="31"/>
        <v>443.54088285714067</v>
      </c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 ht="15.75" customHeight="1" x14ac:dyDescent="0.2">
      <c r="A152" s="1"/>
      <c r="B152" s="1"/>
      <c r="C152" s="1" t="s">
        <v>106</v>
      </c>
      <c r="D152" s="1" t="s">
        <v>35</v>
      </c>
      <c r="E152" s="1"/>
      <c r="F152" s="1"/>
      <c r="G152" s="1"/>
      <c r="H152" s="44">
        <f t="shared" ref="H152:R152" si="32">H150*H151/1000</f>
        <v>0</v>
      </c>
      <c r="I152" s="44">
        <f t="shared" si="32"/>
        <v>24.880820754394829</v>
      </c>
      <c r="J152" s="44">
        <f t="shared" si="32"/>
        <v>19.589741275128102</v>
      </c>
      <c r="K152" s="44">
        <f t="shared" si="32"/>
        <v>21.333399972577123</v>
      </c>
      <c r="L152" s="44">
        <f t="shared" si="32"/>
        <v>19.583136507334729</v>
      </c>
      <c r="M152" s="44">
        <f t="shared" si="32"/>
        <v>17.935246942889528</v>
      </c>
      <c r="N152" s="44">
        <f t="shared" si="32"/>
        <v>17.935246942889524</v>
      </c>
      <c r="O152" s="44">
        <f t="shared" si="32"/>
        <v>17.935246942889524</v>
      </c>
      <c r="P152" s="44">
        <f t="shared" si="32"/>
        <v>17.935246942889524</v>
      </c>
      <c r="Q152" s="44">
        <f t="shared" si="32"/>
        <v>17.935246942889524</v>
      </c>
      <c r="R152" s="44">
        <f t="shared" si="32"/>
        <v>17.935246942889524</v>
      </c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 ht="15.75" customHeight="1" x14ac:dyDescent="0.2">
      <c r="A153" s="1"/>
      <c r="B153" s="1"/>
      <c r="C153" s="42" t="s">
        <v>47</v>
      </c>
      <c r="D153" s="42" t="s">
        <v>35</v>
      </c>
      <c r="E153" s="42"/>
      <c r="F153" s="42"/>
      <c r="G153" s="42"/>
      <c r="H153" s="45">
        <f t="shared" ref="H153:R153" si="33">IF(H139=0,0,IF(OR($D$85="FIC",$D$85="COMBO"),+$D$55*$D$65,0))</f>
        <v>0</v>
      </c>
      <c r="I153" s="45">
        <f t="shared" si="33"/>
        <v>6</v>
      </c>
      <c r="J153" s="45">
        <f t="shared" si="33"/>
        <v>6</v>
      </c>
      <c r="K153" s="45">
        <f t="shared" si="33"/>
        <v>6</v>
      </c>
      <c r="L153" s="45">
        <f t="shared" si="33"/>
        <v>6</v>
      </c>
      <c r="M153" s="45">
        <f t="shared" si="33"/>
        <v>6</v>
      </c>
      <c r="N153" s="45">
        <f t="shared" si="33"/>
        <v>6</v>
      </c>
      <c r="O153" s="45">
        <f t="shared" si="33"/>
        <v>6</v>
      </c>
      <c r="P153" s="45">
        <f t="shared" si="33"/>
        <v>6</v>
      </c>
      <c r="Q153" s="45">
        <f t="shared" si="33"/>
        <v>6</v>
      </c>
      <c r="R153" s="45">
        <f t="shared" si="33"/>
        <v>6</v>
      </c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5.75" customHeight="1" x14ac:dyDescent="0.2">
      <c r="A154" s="9"/>
      <c r="B154" s="9"/>
      <c r="C154" s="9" t="s">
        <v>21</v>
      </c>
      <c r="D154" s="9" t="s">
        <v>35</v>
      </c>
      <c r="E154" s="9"/>
      <c r="F154" s="9"/>
      <c r="G154" s="9"/>
      <c r="H154" s="46">
        <f>H152+H153</f>
        <v>0</v>
      </c>
      <c r="I154" s="46">
        <f>I152+I153</f>
        <v>30.880820754394829</v>
      </c>
      <c r="J154" s="46">
        <f t="shared" ref="J154:R154" si="34">J152+J153</f>
        <v>25.589741275128102</v>
      </c>
      <c r="K154" s="46">
        <f t="shared" si="34"/>
        <v>27.333399972577123</v>
      </c>
      <c r="L154" s="46">
        <f t="shared" si="34"/>
        <v>25.583136507334729</v>
      </c>
      <c r="M154" s="46">
        <f t="shared" si="34"/>
        <v>23.935246942889528</v>
      </c>
      <c r="N154" s="46">
        <f t="shared" si="34"/>
        <v>23.935246942889524</v>
      </c>
      <c r="O154" s="46">
        <f t="shared" si="34"/>
        <v>23.935246942889524</v>
      </c>
      <c r="P154" s="46">
        <f t="shared" si="34"/>
        <v>23.935246942889524</v>
      </c>
      <c r="Q154" s="46">
        <f t="shared" si="34"/>
        <v>23.935246942889524</v>
      </c>
      <c r="R154" s="46">
        <f t="shared" si="34"/>
        <v>23.935246942889524</v>
      </c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42" t="s">
        <v>117</v>
      </c>
      <c r="D156" s="42" t="s">
        <v>35</v>
      </c>
      <c r="E156" s="42"/>
      <c r="F156" s="42"/>
      <c r="G156" s="42"/>
      <c r="H156" s="45">
        <f>H151*H150*$D$63/1000</f>
        <v>0</v>
      </c>
      <c r="I156" s="45">
        <f t="shared" ref="I156:R156" si="35">I151*I150*$D$63/1000</f>
        <v>0</v>
      </c>
      <c r="J156" s="45">
        <f t="shared" si="35"/>
        <v>0</v>
      </c>
      <c r="K156" s="45">
        <f t="shared" si="35"/>
        <v>0</v>
      </c>
      <c r="L156" s="45">
        <f t="shared" si="35"/>
        <v>0</v>
      </c>
      <c r="M156" s="45">
        <f t="shared" si="35"/>
        <v>0</v>
      </c>
      <c r="N156" s="45">
        <f t="shared" si="35"/>
        <v>0</v>
      </c>
      <c r="O156" s="45">
        <f t="shared" si="35"/>
        <v>0</v>
      </c>
      <c r="P156" s="45">
        <f t="shared" si="35"/>
        <v>0</v>
      </c>
      <c r="Q156" s="45">
        <f t="shared" si="35"/>
        <v>0</v>
      </c>
      <c r="R156" s="45">
        <f t="shared" si="35"/>
        <v>0</v>
      </c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 ht="15.75" customHeight="1" x14ac:dyDescent="0.2">
      <c r="A157" s="9"/>
      <c r="B157" s="9"/>
      <c r="C157" s="9" t="s">
        <v>105</v>
      </c>
      <c r="D157" s="24" t="s">
        <v>35</v>
      </c>
      <c r="E157" s="9"/>
      <c r="F157" s="9"/>
      <c r="G157" s="9"/>
      <c r="H157" s="46">
        <f>H156+H154</f>
        <v>0</v>
      </c>
      <c r="I157" s="46">
        <f t="shared" ref="I157:R157" si="36">I156+I154</f>
        <v>30.880820754394829</v>
      </c>
      <c r="J157" s="46">
        <f t="shared" si="36"/>
        <v>25.589741275128102</v>
      </c>
      <c r="K157" s="46">
        <f t="shared" si="36"/>
        <v>27.333399972577123</v>
      </c>
      <c r="L157" s="46">
        <f t="shared" si="36"/>
        <v>25.583136507334729</v>
      </c>
      <c r="M157" s="46">
        <f t="shared" si="36"/>
        <v>23.935246942889528</v>
      </c>
      <c r="N157" s="46">
        <f t="shared" si="36"/>
        <v>23.935246942889524</v>
      </c>
      <c r="O157" s="46">
        <f t="shared" si="36"/>
        <v>23.935246942889524</v>
      </c>
      <c r="P157" s="46">
        <f t="shared" si="36"/>
        <v>23.935246942889524</v>
      </c>
      <c r="Q157" s="46">
        <f t="shared" si="36"/>
        <v>23.935246942889524</v>
      </c>
      <c r="R157" s="46">
        <f t="shared" si="36"/>
        <v>23.935246942889524</v>
      </c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6" t="s">
        <v>50</v>
      </c>
      <c r="C159" s="1"/>
      <c r="D159" s="1"/>
      <c r="E159" s="1"/>
      <c r="F159" s="88" t="s">
        <v>17</v>
      </c>
      <c r="G159" s="90"/>
      <c r="H159" s="18">
        <v>0</v>
      </c>
      <c r="I159" s="18">
        <v>1</v>
      </c>
      <c r="J159" s="18">
        <v>2</v>
      </c>
      <c r="K159" s="18">
        <v>3</v>
      </c>
      <c r="L159" s="18">
        <v>4</v>
      </c>
      <c r="M159" s="18">
        <v>5</v>
      </c>
      <c r="N159" s="18">
        <v>6</v>
      </c>
      <c r="O159" s="18">
        <v>7</v>
      </c>
      <c r="P159" s="18">
        <v>8</v>
      </c>
      <c r="Q159" s="18">
        <v>9</v>
      </c>
      <c r="R159" s="18">
        <v>10</v>
      </c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 t="s">
        <v>16</v>
      </c>
      <c r="D160" s="1" t="s">
        <v>35</v>
      </c>
      <c r="E160" s="1"/>
      <c r="F160" s="1"/>
      <c r="G160" s="1"/>
      <c r="H160" s="44">
        <f>H157</f>
        <v>0</v>
      </c>
      <c r="I160" s="44">
        <f t="shared" ref="I160:R160" si="37">I157</f>
        <v>30.880820754394829</v>
      </c>
      <c r="J160" s="44">
        <f t="shared" si="37"/>
        <v>25.589741275128102</v>
      </c>
      <c r="K160" s="44">
        <f t="shared" si="37"/>
        <v>27.333399972577123</v>
      </c>
      <c r="L160" s="44">
        <f t="shared" si="37"/>
        <v>25.583136507334729</v>
      </c>
      <c r="M160" s="44">
        <f t="shared" si="37"/>
        <v>23.935246942889528</v>
      </c>
      <c r="N160" s="44">
        <f t="shared" si="37"/>
        <v>23.935246942889524</v>
      </c>
      <c r="O160" s="44">
        <f t="shared" si="37"/>
        <v>23.935246942889524</v>
      </c>
      <c r="P160" s="44">
        <f t="shared" si="37"/>
        <v>23.935246942889524</v>
      </c>
      <c r="Q160" s="44">
        <f t="shared" si="37"/>
        <v>23.935246942889524</v>
      </c>
      <c r="R160" s="44">
        <f t="shared" si="37"/>
        <v>23.935246942889524</v>
      </c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2">
      <c r="A161" s="1"/>
      <c r="B161" s="1"/>
      <c r="C161" s="1" t="s">
        <v>15</v>
      </c>
      <c r="D161" s="17" t="s">
        <v>35</v>
      </c>
      <c r="E161" s="1"/>
      <c r="F161" s="1"/>
      <c r="G161" s="1"/>
      <c r="H161" s="44">
        <f>H147</f>
        <v>0</v>
      </c>
      <c r="I161" s="44">
        <f t="shared" ref="I161:R161" si="38">I147</f>
        <v>-27.281385697499491</v>
      </c>
      <c r="J161" s="44">
        <f t="shared" si="38"/>
        <v>-23.842184035976118</v>
      </c>
      <c r="K161" s="44">
        <f t="shared" si="38"/>
        <v>-24.975562189317984</v>
      </c>
      <c r="L161" s="44">
        <f t="shared" si="38"/>
        <v>-23.837890936910426</v>
      </c>
      <c r="M161" s="44">
        <f t="shared" si="38"/>
        <v>-22.766762720021045</v>
      </c>
      <c r="N161" s="44">
        <f t="shared" si="38"/>
        <v>-22.766762720021042</v>
      </c>
      <c r="O161" s="44">
        <f t="shared" si="38"/>
        <v>-22.766762720021042</v>
      </c>
      <c r="P161" s="44">
        <f t="shared" si="38"/>
        <v>-22.766762720021042</v>
      </c>
      <c r="Q161" s="44">
        <f t="shared" si="38"/>
        <v>-22.766762720021042</v>
      </c>
      <c r="R161" s="44">
        <f t="shared" si="38"/>
        <v>-22.766762720021042</v>
      </c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2">
      <c r="A162" s="1"/>
      <c r="B162" s="1"/>
      <c r="C162" s="13" t="s">
        <v>14</v>
      </c>
      <c r="D162" s="13" t="s">
        <v>35</v>
      </c>
      <c r="E162" s="13"/>
      <c r="F162" s="13"/>
      <c r="G162" s="13"/>
      <c r="H162" s="45">
        <f>-D107</f>
        <v>0</v>
      </c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2"/>
      <c r="T162" s="42"/>
      <c r="U162" s="42"/>
      <c r="V162" s="13"/>
      <c r="W162" s="13"/>
      <c r="X162" s="13"/>
      <c r="Y162" s="13"/>
      <c r="Z162" s="13"/>
      <c r="AA162" s="13"/>
    </row>
    <row r="163" spans="1:27" ht="15.75" customHeight="1" x14ac:dyDescent="0.2">
      <c r="A163" s="9"/>
      <c r="B163" s="9"/>
      <c r="C163" s="9" t="s">
        <v>13</v>
      </c>
      <c r="D163" s="9" t="s">
        <v>35</v>
      </c>
      <c r="E163" s="9"/>
      <c r="F163" s="9"/>
      <c r="G163" s="53"/>
      <c r="H163" s="48">
        <f>SUM(H160:H162)</f>
        <v>0</v>
      </c>
      <c r="I163" s="48">
        <f>SUM(I160:I161)</f>
        <v>3.5994350568953379</v>
      </c>
      <c r="J163" s="48">
        <f t="shared" ref="J163:R163" si="39">SUM(J160:J161)</f>
        <v>1.747557239151984</v>
      </c>
      <c r="K163" s="48">
        <f t="shared" si="39"/>
        <v>2.3578377832591393</v>
      </c>
      <c r="L163" s="48">
        <f t="shared" si="39"/>
        <v>1.7452455704243022</v>
      </c>
      <c r="M163" s="48">
        <f t="shared" si="39"/>
        <v>1.1684842228684822</v>
      </c>
      <c r="N163" s="48">
        <f t="shared" si="39"/>
        <v>1.1684842228684822</v>
      </c>
      <c r="O163" s="48">
        <f t="shared" si="39"/>
        <v>1.1684842228684822</v>
      </c>
      <c r="P163" s="48">
        <f t="shared" si="39"/>
        <v>1.1684842228684822</v>
      </c>
      <c r="Q163" s="48">
        <f t="shared" si="39"/>
        <v>1.1684842228684822</v>
      </c>
      <c r="R163" s="48">
        <f t="shared" si="39"/>
        <v>1.1684842228684822</v>
      </c>
      <c r="S163" s="47"/>
      <c r="T163" s="47"/>
      <c r="U163" s="15"/>
      <c r="V163" s="15"/>
      <c r="W163" s="15"/>
      <c r="X163" s="15"/>
      <c r="Y163" s="15"/>
      <c r="Z163" s="15"/>
      <c r="AA163" s="15"/>
    </row>
    <row r="164" spans="1:27" ht="15.75" customHeight="1" x14ac:dyDescent="0.2">
      <c r="A164" s="9"/>
      <c r="B164" s="9"/>
      <c r="C164" s="4" t="s">
        <v>12</v>
      </c>
      <c r="D164" s="4" t="s">
        <v>35</v>
      </c>
      <c r="E164" s="4"/>
      <c r="F164" s="4"/>
      <c r="G164" s="53"/>
      <c r="H164" s="48">
        <f>H163</f>
        <v>0</v>
      </c>
      <c r="I164" s="48">
        <f t="shared" ref="I164:R164" si="40">I163</f>
        <v>3.5994350568953379</v>
      </c>
      <c r="J164" s="48">
        <f t="shared" si="40"/>
        <v>1.747557239151984</v>
      </c>
      <c r="K164" s="48">
        <f t="shared" si="40"/>
        <v>2.3578377832591393</v>
      </c>
      <c r="L164" s="48">
        <f t="shared" si="40"/>
        <v>1.7452455704243022</v>
      </c>
      <c r="M164" s="48">
        <f t="shared" si="40"/>
        <v>1.1684842228684822</v>
      </c>
      <c r="N164" s="48">
        <f t="shared" si="40"/>
        <v>1.1684842228684822</v>
      </c>
      <c r="O164" s="48">
        <f t="shared" si="40"/>
        <v>1.1684842228684822</v>
      </c>
      <c r="P164" s="48">
        <f t="shared" si="40"/>
        <v>1.1684842228684822</v>
      </c>
      <c r="Q164" s="48">
        <f t="shared" si="40"/>
        <v>1.1684842228684822</v>
      </c>
      <c r="R164" s="48">
        <f t="shared" si="40"/>
        <v>1.1684842228684822</v>
      </c>
      <c r="S164" s="25"/>
      <c r="T164" s="25"/>
      <c r="U164" s="14"/>
      <c r="V164" s="14"/>
      <c r="W164" s="14"/>
      <c r="X164" s="14"/>
      <c r="Y164" s="14"/>
      <c r="Z164" s="14"/>
      <c r="AA164" s="14"/>
    </row>
    <row r="165" spans="1:27" ht="15.75" customHeight="1" x14ac:dyDescent="0.2">
      <c r="A165" s="11"/>
      <c r="B165" s="11"/>
      <c r="C165" s="11" t="s">
        <v>11</v>
      </c>
      <c r="D165" s="11" t="s">
        <v>35</v>
      </c>
      <c r="E165" s="11"/>
      <c r="F165" s="11"/>
      <c r="G165" s="11"/>
      <c r="H165" s="44">
        <f>0</f>
        <v>0</v>
      </c>
      <c r="I165" s="44">
        <f>0</f>
        <v>0</v>
      </c>
      <c r="J165" s="44">
        <f>0</f>
        <v>0</v>
      </c>
      <c r="K165" s="44">
        <f>0</f>
        <v>0</v>
      </c>
      <c r="L165" s="44">
        <f>0</f>
        <v>0</v>
      </c>
      <c r="M165" s="44">
        <f>0</f>
        <v>0</v>
      </c>
      <c r="N165" s="44">
        <f>0</f>
        <v>0</v>
      </c>
      <c r="O165" s="44">
        <f>0</f>
        <v>0</v>
      </c>
      <c r="P165" s="44">
        <f>0</f>
        <v>0</v>
      </c>
      <c r="Q165" s="44">
        <f>0</f>
        <v>0</v>
      </c>
      <c r="R165" s="44">
        <f>0</f>
        <v>0</v>
      </c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2">
      <c r="A166" s="1"/>
      <c r="B166" s="1"/>
      <c r="C166" s="1" t="s">
        <v>10</v>
      </c>
      <c r="D166" s="1" t="s">
        <v>35</v>
      </c>
      <c r="E166" s="1"/>
      <c r="F166" s="1"/>
      <c r="G166" s="1"/>
      <c r="H166" s="44">
        <f t="shared" ref="H166:R166" si="41">SUM(H164:H165)</f>
        <v>0</v>
      </c>
      <c r="I166" s="44">
        <f t="shared" si="41"/>
        <v>3.5994350568953379</v>
      </c>
      <c r="J166" s="44">
        <f t="shared" si="41"/>
        <v>1.747557239151984</v>
      </c>
      <c r="K166" s="44">
        <f t="shared" si="41"/>
        <v>2.3578377832591393</v>
      </c>
      <c r="L166" s="44">
        <f t="shared" si="41"/>
        <v>1.7452455704243022</v>
      </c>
      <c r="M166" s="44">
        <f t="shared" si="41"/>
        <v>1.1684842228684822</v>
      </c>
      <c r="N166" s="44">
        <f t="shared" si="41"/>
        <v>1.1684842228684822</v>
      </c>
      <c r="O166" s="44">
        <f t="shared" si="41"/>
        <v>1.1684842228684822</v>
      </c>
      <c r="P166" s="44">
        <f t="shared" si="41"/>
        <v>1.1684842228684822</v>
      </c>
      <c r="Q166" s="44">
        <f t="shared" si="41"/>
        <v>1.1684842228684822</v>
      </c>
      <c r="R166" s="44">
        <f t="shared" si="41"/>
        <v>1.1684842228684822</v>
      </c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2">
      <c r="A167" s="1"/>
      <c r="B167" s="1"/>
      <c r="C167" s="13" t="s">
        <v>9</v>
      </c>
      <c r="D167" s="13" t="s">
        <v>35</v>
      </c>
      <c r="E167" s="13"/>
      <c r="F167" s="13"/>
      <c r="G167" s="42"/>
      <c r="H167" s="45"/>
      <c r="I167" s="45">
        <f t="shared" ref="I167:R167" si="42">-I166*$D$23</f>
        <v>-0.86386441365488109</v>
      </c>
      <c r="J167" s="45">
        <f t="shared" si="42"/>
        <v>-0.41941373739647614</v>
      </c>
      <c r="K167" s="45">
        <f t="shared" si="42"/>
        <v>-0.5658810679821934</v>
      </c>
      <c r="L167" s="45">
        <f t="shared" si="42"/>
        <v>-0.41885893690183251</v>
      </c>
      <c r="M167" s="45">
        <f t="shared" si="42"/>
        <v>-0.28043621348843573</v>
      </c>
      <c r="N167" s="45">
        <f t="shared" si="42"/>
        <v>-0.28043621348843573</v>
      </c>
      <c r="O167" s="45">
        <f t="shared" si="42"/>
        <v>-0.28043621348843573</v>
      </c>
      <c r="P167" s="45">
        <f t="shared" si="42"/>
        <v>-0.28043621348843573</v>
      </c>
      <c r="Q167" s="45">
        <f t="shared" si="42"/>
        <v>-0.28043621348843573</v>
      </c>
      <c r="R167" s="45">
        <f t="shared" si="42"/>
        <v>-0.28043621348843573</v>
      </c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customHeight="1" x14ac:dyDescent="0.2">
      <c r="A168" s="1"/>
      <c r="B168" s="1"/>
      <c r="C168" s="9" t="s">
        <v>8</v>
      </c>
      <c r="D168" s="9" t="s">
        <v>35</v>
      </c>
      <c r="E168" s="9"/>
      <c r="F168" s="1"/>
      <c r="G168" s="1"/>
      <c r="H168" s="46">
        <f>H166</f>
        <v>0</v>
      </c>
      <c r="I168" s="46">
        <f t="shared" ref="I168:R168" si="43">SUM(I164,I167)</f>
        <v>2.735570643240457</v>
      </c>
      <c r="J168" s="46">
        <f t="shared" si="43"/>
        <v>1.3281435017555079</v>
      </c>
      <c r="K168" s="46">
        <f t="shared" si="43"/>
        <v>1.791956715276946</v>
      </c>
      <c r="L168" s="46">
        <f t="shared" si="43"/>
        <v>1.3263866335224697</v>
      </c>
      <c r="M168" s="46">
        <f t="shared" si="43"/>
        <v>0.88804800938004647</v>
      </c>
      <c r="N168" s="46">
        <f t="shared" si="43"/>
        <v>0.88804800938004647</v>
      </c>
      <c r="O168" s="46">
        <f t="shared" si="43"/>
        <v>0.88804800938004647</v>
      </c>
      <c r="P168" s="46">
        <f t="shared" si="43"/>
        <v>0.88804800938004647</v>
      </c>
      <c r="Q168" s="46">
        <f t="shared" si="43"/>
        <v>0.88804800938004647</v>
      </c>
      <c r="R168" s="46">
        <f t="shared" si="43"/>
        <v>0.88804800938004647</v>
      </c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2">
      <c r="A169" s="1"/>
      <c r="B169" s="1"/>
      <c r="C169" s="1" t="s">
        <v>7</v>
      </c>
      <c r="D169" s="1" t="s">
        <v>35</v>
      </c>
      <c r="E169" s="1"/>
      <c r="F169" s="1"/>
      <c r="G169" s="1"/>
      <c r="H169" s="44">
        <f t="shared" ref="H169:R169" si="44">H168/(1+$D$22)^H139</f>
        <v>0</v>
      </c>
      <c r="I169" s="44">
        <f t="shared" si="44"/>
        <v>2.5077468430010192</v>
      </c>
      <c r="J169" s="44">
        <f t="shared" si="44"/>
        <v>1.1161344615078137</v>
      </c>
      <c r="K169" s="44">
        <f t="shared" si="44"/>
        <v>1.3804948434085969</v>
      </c>
      <c r="L169" s="44">
        <f t="shared" si="44"/>
        <v>0.93672728006847339</v>
      </c>
      <c r="M169" s="44">
        <f t="shared" si="44"/>
        <v>0.57493034914497498</v>
      </c>
      <c r="N169" s="44">
        <f t="shared" si="44"/>
        <v>0.52704899856137699</v>
      </c>
      <c r="O169" s="44">
        <f t="shared" si="44"/>
        <v>0.48315530272086032</v>
      </c>
      <c r="P169" s="44">
        <f t="shared" si="44"/>
        <v>0.44291716175246898</v>
      </c>
      <c r="Q169" s="44">
        <f t="shared" si="44"/>
        <v>0.40603013372741953</v>
      </c>
      <c r="R169" s="44">
        <f t="shared" si="44"/>
        <v>0.37221513125030137</v>
      </c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2">
      <c r="A170" s="1"/>
      <c r="B170" s="1"/>
      <c r="C170" s="1" t="s">
        <v>51</v>
      </c>
      <c r="D170" s="1" t="s">
        <v>35</v>
      </c>
      <c r="E170" s="1"/>
      <c r="F170" s="1"/>
      <c r="G170" s="1"/>
      <c r="H170" s="44">
        <f>H169</f>
        <v>0</v>
      </c>
      <c r="I170" s="44">
        <f>H170+I169</f>
        <v>2.5077468430010192</v>
      </c>
      <c r="J170" s="44">
        <f t="shared" ref="J170:R170" si="45">I170+J169</f>
        <v>3.6238813045088332</v>
      </c>
      <c r="K170" s="44">
        <f t="shared" si="45"/>
        <v>5.00437614791743</v>
      </c>
      <c r="L170" s="44">
        <f t="shared" si="45"/>
        <v>5.9411034279859036</v>
      </c>
      <c r="M170" s="44">
        <f t="shared" si="45"/>
        <v>6.5160337771308789</v>
      </c>
      <c r="N170" s="44">
        <f t="shared" si="45"/>
        <v>7.0430827756922563</v>
      </c>
      <c r="O170" s="44">
        <f t="shared" si="45"/>
        <v>7.5262380784131162</v>
      </c>
      <c r="P170" s="44">
        <f t="shared" si="45"/>
        <v>7.969155240165585</v>
      </c>
      <c r="Q170" s="44">
        <f t="shared" si="45"/>
        <v>8.3751853738930038</v>
      </c>
      <c r="R170" s="44">
        <f t="shared" si="45"/>
        <v>8.7474005051433057</v>
      </c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44">
        <f>IF(H170&lt;0,(13-6)/12,0)</f>
        <v>0</v>
      </c>
      <c r="I172" s="44">
        <f>IF(COUNTIF($H172:H172,"=0")=COUNTA($H172:H172),IF(I170&lt;0,(13-6)/12,0),IF(I170&lt;0,1,IF(I170=0,IF(H170&gt;=0,0,1),IF(H170&lt;0,-H170/I169,0))))</f>
        <v>0</v>
      </c>
      <c r="J172" s="44">
        <f>IF(COUNTIF($H172:I172,"=0")=COUNTA($H172:I172),IF(J170&lt;0,(13-6)/12,0),IF(J170&lt;0,1,IF(J170=0,IF(I170&gt;=0,0,1),IF(I170&lt;0,-I170/J169,0))))</f>
        <v>0</v>
      </c>
      <c r="K172" s="44">
        <f>IF(COUNTIF($H172:J172,"=0")=COUNTA($H172:J172),IF(K170&lt;0,(13-6)/12,0),IF(K170&lt;0,1,IF(K170=0,IF(J170&gt;=0,0,1),IF(J170&lt;0,-J170/K169,0))))</f>
        <v>0</v>
      </c>
      <c r="L172" s="44">
        <f>IF(COUNTIF($H172:K172,"=0")=COUNTA($H172:K172),IF(L170&lt;0,(13-6)/12,0),IF(L170&lt;0,1,IF(L170=0,IF(K170&gt;=0,0,1),IF(K170&lt;0,-K170/L169,0))))</f>
        <v>0</v>
      </c>
      <c r="M172" s="44">
        <f>IF(COUNTIF($H172:L172,"=0")=COUNTA($H172:L172),IF(M170&lt;0,(13-6)/12,0),IF(M170&lt;0,1,IF(M170=0,IF(L170&gt;=0,0,1),IF(L170&lt;0,-L170/M169,0))))</f>
        <v>0</v>
      </c>
      <c r="N172" s="44">
        <f>IF(COUNTIF($H172:M172,"=0")=COUNTA($H172:M172),IF(N170&lt;0,(13-6)/12,0),IF(N170&lt;0,1,IF(N170=0,IF(M170&gt;=0,0,1),IF(M170&lt;0,-M170/N169,0))))</f>
        <v>0</v>
      </c>
      <c r="O172" s="44">
        <f>IF(COUNTIF($H172:N172,"=0")=COUNTA($H172:N172),IF(O170&lt;0,(13-6)/12,0),IF(O170&lt;0,1,IF(O170=0,IF(N170&gt;=0,0,1),IF(N170&lt;0,-N170/O169,0))))</f>
        <v>0</v>
      </c>
      <c r="P172" s="44">
        <f>IF(COUNTIF($H172:O172,"=0")=COUNTA($H172:O172),IF(P170&lt;0,(13-6)/12,0),IF(P170&lt;0,1,IF(P170=0,IF(O170&gt;=0,0,1),IF(O170&lt;0,-O170/P169,0))))</f>
        <v>0</v>
      </c>
      <c r="Q172" s="44">
        <f>IF(COUNTIF($H172:P172,"=0")=COUNTA($H172:P172),IF(Q170&lt;0,(13-6)/12,0),IF(Q170&lt;0,1,IF(Q170=0,IF(P170&gt;=0,0,1),IF(P170&lt;0,-P170/Q169,0))))</f>
        <v>0</v>
      </c>
      <c r="R172" s="44">
        <f>IF(COUNTIF($H172:Q172,"=0")=COUNTA($H172:Q172),IF(R170&lt;0,(13-6)/12,0),IF(R170&lt;0,1,IF(R170=0,IF(Q170&gt;=0,0,1),IF(Q170&lt;0,-Q170/R169,0))))</f>
        <v>0</v>
      </c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2">
      <c r="A173" s="1"/>
      <c r="B173" s="1"/>
      <c r="C173" s="1"/>
      <c r="D173" s="1" t="s">
        <v>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6" t="s">
        <v>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5" t="s">
        <v>4</v>
      </c>
      <c r="D175" s="4" t="s">
        <v>35</v>
      </c>
      <c r="E175" s="3"/>
      <c r="F175" s="10">
        <f>NPV(D82,I168:R168)+H168</f>
        <v>12.510345550075659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9"/>
      <c r="C177" s="5" t="s">
        <v>3</v>
      </c>
      <c r="D177" s="4" t="s">
        <v>35</v>
      </c>
      <c r="E177" s="3"/>
      <c r="F177" s="8">
        <f>SUM(H169:R169)</f>
        <v>8.7474005051433057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7">
        <f>NPV(F181,I168:R168)+H168</f>
        <v>4.9653887326104593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6" t="s">
        <v>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5" t="s">
        <v>1</v>
      </c>
      <c r="D181" s="4" t="s">
        <v>0</v>
      </c>
      <c r="E181" s="3"/>
      <c r="F181" s="2">
        <v>0.30256107521085068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6" t="s">
        <v>112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49" t="s">
        <v>113</v>
      </c>
      <c r="D185" s="50" t="s">
        <v>35</v>
      </c>
      <c r="E185" s="51"/>
      <c r="F185" s="52">
        <f>AVERAGE(I169:R169)</f>
        <v>0.87474005051433057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49" t="s">
        <v>114</v>
      </c>
      <c r="D186" s="50" t="s">
        <v>40</v>
      </c>
      <c r="E186" s="51"/>
      <c r="F186" s="52">
        <f>F185*1000/I151</f>
        <v>1.9721745713259857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.7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.7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.7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.7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5.7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5.7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5.7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5.75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5.75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5.75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5.75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5.75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5.75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5.75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5.75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5.75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5.75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5.75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5.75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5.75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5.75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5.75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5.75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5.75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5.75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5.75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5.75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5.75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5.75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5.75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5.75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5.75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5.75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5.75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5.75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5.75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5.75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5.75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5.75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5.75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5.75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5.75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5.75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5.75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5.75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5.75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5.75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5.75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5.75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5.75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5.75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5.75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5.75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5.75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5.75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5.75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5.75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5.75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5.75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5.75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5.75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5.75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5.75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5.75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5.75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5.75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5.75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5.75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5.75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5.75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5.75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5.75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5.75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5.75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5.75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5.75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5.75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5.75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5.75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5.75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5.75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</sheetData>
  <dataConsolidate/>
  <mergeCells count="5">
    <mergeCell ref="C3:G3"/>
    <mergeCell ref="F89:G89"/>
    <mergeCell ref="F107:G107"/>
    <mergeCell ref="F139:G139"/>
    <mergeCell ref="F159:G159"/>
  </mergeCells>
  <dataValidations count="3">
    <dataValidation type="list" allowBlank="1" showInputMessage="1" showErrorMessage="1" sqref="D84" xr:uid="{95293F30-FFB1-0348-8070-65FCA392506D}">
      <formula1>"0.5,0.55,0.6,0.65,0.7"</formula1>
    </dataValidation>
    <dataValidation type="list" allowBlank="1" showInputMessage="1" showErrorMessage="1" sqref="D83" xr:uid="{6FE9D79B-F05F-3F4F-9FCA-78774B654775}">
      <formula1>"0.05,0.1,0.15,0.2,0.25"</formula1>
    </dataValidation>
    <dataValidation type="list" allowBlank="1" showInputMessage="1" showErrorMessage="1" sqref="D85" xr:uid="{EBBFBE85-9577-DF44-9C6A-6EB73EE71746}">
      <formula1>"BASE,FIP,FIC,COMBO"</formula1>
    </dataValidation>
  </dataValidations>
  <hyperlinks>
    <hyperlink ref="G48" r:id="rId1" xr:uid="{DC4D333B-A34D-6E4A-8FBE-1D90C26CF19C}"/>
    <hyperlink ref="G58" r:id="rId2" xr:uid="{2CA83466-1588-AB49-B1D4-2E4FE1BEFB63}"/>
    <hyperlink ref="G57" r:id="rId3" xr:uid="{7719DF92-0211-944C-B1CD-040309A0565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FF28-AB75-1F41-8594-7D1689BD69BB}">
  <dimension ref="A1:AB1089"/>
  <sheetViews>
    <sheetView showGridLines="0" tabSelected="1" topLeftCell="A156" zoomScaleNormal="100" workbookViewId="0">
      <pane xSplit="7" topLeftCell="H1" activePane="topRight" state="frozen"/>
      <selection pane="topRight" activeCell="F189" sqref="F189"/>
    </sheetView>
  </sheetViews>
  <sheetFormatPr baseColWidth="10" defaultColWidth="11.1640625" defaultRowHeight="15" customHeight="1" outlineLevelRow="1" x14ac:dyDescent="0.2"/>
  <cols>
    <col min="1" max="1" width="2.1640625" customWidth="1"/>
    <col min="2" max="2" width="4.6640625" customWidth="1"/>
    <col min="3" max="3" width="47.6640625" customWidth="1"/>
    <col min="4" max="4" width="14" customWidth="1"/>
    <col min="5" max="5" width="2" customWidth="1"/>
    <col min="6" max="6" width="20.83203125" customWidth="1"/>
    <col min="7" max="7" width="11.33203125" bestFit="1" customWidth="1"/>
    <col min="8" max="8" width="13.5" customWidth="1"/>
    <col min="9" max="22" width="12.5" customWidth="1"/>
    <col min="23" max="27" width="12" customWidth="1"/>
  </cols>
  <sheetData>
    <row r="1" spans="1:27" ht="15.75" customHeight="1" x14ac:dyDescent="0.2">
      <c r="A1" s="1"/>
      <c r="B1" s="33" t="s">
        <v>38</v>
      </c>
      <c r="C1" s="33"/>
      <c r="D1" s="33"/>
      <c r="E1" s="33"/>
      <c r="F1" s="33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1.5" customHeight="1" x14ac:dyDescent="0.2">
      <c r="A3" s="31"/>
      <c r="B3" s="20"/>
      <c r="C3" s="86" t="s">
        <v>39</v>
      </c>
      <c r="D3" s="87"/>
      <c r="E3" s="87"/>
      <c r="F3" s="87"/>
      <c r="G3" s="87"/>
      <c r="H3" s="32"/>
      <c r="I3" s="32"/>
      <c r="J3" s="32"/>
      <c r="K3" s="32"/>
      <c r="L3" s="32"/>
      <c r="M3" s="32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s="41" customFormat="1" ht="25" customHeight="1" x14ac:dyDescent="0.2">
      <c r="A6" s="39"/>
      <c r="B6" s="40" t="s">
        <v>29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</row>
    <row r="7" spans="1:27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61" customFormat="1" ht="15.75" customHeight="1" outlineLevel="1" x14ac:dyDescent="0.2">
      <c r="A8" s="60"/>
      <c r="B8" s="62" t="s">
        <v>63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</row>
    <row r="9" spans="1:27" ht="15.75" customHeight="1" outlineLevel="1" x14ac:dyDescent="0.2">
      <c r="A9" s="1"/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" outlineLevel="1" x14ac:dyDescent="0.2">
      <c r="C10" t="s">
        <v>54</v>
      </c>
      <c r="D10" s="36">
        <v>66458.513999999675</v>
      </c>
      <c r="F10" t="s">
        <v>111</v>
      </c>
    </row>
    <row r="11" spans="1:27" ht="16" outlineLevel="1" x14ac:dyDescent="0.2">
      <c r="C11" t="s">
        <v>55</v>
      </c>
      <c r="D11" s="36">
        <v>63330.169000001297</v>
      </c>
      <c r="F11" t="s">
        <v>111</v>
      </c>
    </row>
    <row r="12" spans="1:27" ht="16" outlineLevel="1" x14ac:dyDescent="0.2">
      <c r="C12" s="55" t="s">
        <v>56</v>
      </c>
      <c r="D12" s="56">
        <v>180689.93499999747</v>
      </c>
      <c r="E12" s="43"/>
      <c r="F12" s="43" t="s">
        <v>111</v>
      </c>
    </row>
    <row r="13" spans="1:27" ht="16" outlineLevel="1" x14ac:dyDescent="0.2">
      <c r="C13" s="57" t="s">
        <v>57</v>
      </c>
      <c r="D13" s="58">
        <f>SUM(D10:D12)</f>
        <v>310478.61799999845</v>
      </c>
      <c r="E13" s="57"/>
      <c r="F13" s="57" t="s">
        <v>111</v>
      </c>
    </row>
    <row r="14" spans="1:27" ht="15.75" customHeight="1" outlineLevel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s="61" customFormat="1" ht="15.75" customHeight="1" outlineLevel="1" x14ac:dyDescent="0.2">
      <c r="A15" s="60"/>
      <c r="B15" s="62" t="s">
        <v>108</v>
      </c>
      <c r="C15" s="60"/>
      <c r="D15" s="60"/>
      <c r="E15" s="60"/>
      <c r="F15" s="60"/>
      <c r="G15" s="60" t="s">
        <v>72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spans="1:27" ht="15.75" customHeight="1" outlineLevel="1" x14ac:dyDescent="0.2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" outlineLevel="1" x14ac:dyDescent="0.2">
      <c r="C17" t="s">
        <v>58</v>
      </c>
      <c r="D17" s="59">
        <v>0.107</v>
      </c>
      <c r="G17" t="s">
        <v>73</v>
      </c>
    </row>
    <row r="18" spans="1:27" ht="16" outlineLevel="1" x14ac:dyDescent="0.2">
      <c r="C18" t="s">
        <v>59</v>
      </c>
      <c r="D18" s="59">
        <v>6.0499999999999998E-2</v>
      </c>
      <c r="G18" t="s">
        <v>73</v>
      </c>
    </row>
    <row r="19" spans="1:27" ht="16" outlineLevel="1" x14ac:dyDescent="0.2">
      <c r="C19" t="s">
        <v>60</v>
      </c>
      <c r="D19" s="59">
        <v>0.73529999999999995</v>
      </c>
      <c r="G19" t="s">
        <v>73</v>
      </c>
    </row>
    <row r="20" spans="1:27" ht="16" outlineLevel="1" x14ac:dyDescent="0.2">
      <c r="C20" t="s">
        <v>61</v>
      </c>
      <c r="D20" s="59">
        <v>0.26469999999999999</v>
      </c>
      <c r="G20" t="s">
        <v>73</v>
      </c>
    </row>
    <row r="21" spans="1:27" ht="16" outlineLevel="1" x14ac:dyDescent="0.2">
      <c r="C21" t="s">
        <v>62</v>
      </c>
      <c r="D21" s="35">
        <v>0.24</v>
      </c>
      <c r="G21" t="s">
        <v>73</v>
      </c>
    </row>
    <row r="22" spans="1:27" ht="16" outlineLevel="1" x14ac:dyDescent="0.2">
      <c r="C22" s="21" t="s">
        <v>36</v>
      </c>
      <c r="D22" s="38">
        <f>D19*D17+D20*D18*(1-D21)</f>
        <v>9.0848005999999995E-2</v>
      </c>
      <c r="E22" s="21"/>
      <c r="F22" s="21" t="s">
        <v>22</v>
      </c>
    </row>
    <row r="23" spans="1:27" ht="16" outlineLevel="1" x14ac:dyDescent="0.2">
      <c r="C23" s="21" t="s">
        <v>23</v>
      </c>
      <c r="D23" s="38">
        <f>D21</f>
        <v>0.24</v>
      </c>
      <c r="E23" s="21"/>
      <c r="F23" s="21"/>
    </row>
    <row r="24" spans="1:27" ht="15.75" customHeight="1" outlineLevel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61" customFormat="1" ht="15.75" customHeight="1" outlineLevel="1" x14ac:dyDescent="0.2">
      <c r="A25" s="60"/>
      <c r="B25" s="62" t="s">
        <v>109</v>
      </c>
      <c r="C25" s="60"/>
      <c r="D25" s="60"/>
      <c r="E25" s="60"/>
      <c r="F25" s="60"/>
      <c r="G25" s="60" t="s">
        <v>72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spans="1:27" ht="15.75" customHeight="1" outlineLevel="1" x14ac:dyDescent="0.2">
      <c r="A26" s="1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" outlineLevel="1" x14ac:dyDescent="0.2">
      <c r="C27" t="s">
        <v>58</v>
      </c>
      <c r="D27" s="59">
        <v>8.9399999999999993E-2</v>
      </c>
      <c r="G27" t="s">
        <v>73</v>
      </c>
    </row>
    <row r="28" spans="1:27" ht="16" outlineLevel="1" x14ac:dyDescent="0.2">
      <c r="C28" t="s">
        <v>59</v>
      </c>
      <c r="D28" s="59">
        <v>5.7500000000000002E-2</v>
      </c>
      <c r="G28" t="s">
        <v>73</v>
      </c>
    </row>
    <row r="29" spans="1:27" ht="16" outlineLevel="1" x14ac:dyDescent="0.2">
      <c r="C29" t="s">
        <v>60</v>
      </c>
      <c r="D29" s="59">
        <v>0.52649999999999997</v>
      </c>
      <c r="G29" t="s">
        <v>73</v>
      </c>
    </row>
    <row r="30" spans="1:27" ht="16" outlineLevel="1" x14ac:dyDescent="0.2">
      <c r="C30" t="s">
        <v>61</v>
      </c>
      <c r="D30" s="59">
        <v>0.47349999999999998</v>
      </c>
      <c r="G30" t="s">
        <v>73</v>
      </c>
    </row>
    <row r="31" spans="1:27" ht="16" outlineLevel="1" x14ac:dyDescent="0.2">
      <c r="C31" t="s">
        <v>62</v>
      </c>
      <c r="D31" s="35">
        <v>0.24</v>
      </c>
      <c r="G31" t="s">
        <v>73</v>
      </c>
    </row>
    <row r="32" spans="1:27" ht="16" outlineLevel="1" x14ac:dyDescent="0.2">
      <c r="C32" s="21" t="s">
        <v>36</v>
      </c>
      <c r="D32" s="38">
        <f>D29*D27+D30*D28*(1-D31)</f>
        <v>6.7761049999999989E-2</v>
      </c>
      <c r="E32" s="21"/>
      <c r="F32" s="21" t="s">
        <v>22</v>
      </c>
    </row>
    <row r="33" spans="1:27" ht="16" outlineLevel="1" x14ac:dyDescent="0.2">
      <c r="C33" s="21" t="s">
        <v>23</v>
      </c>
      <c r="D33" s="38">
        <f>D31</f>
        <v>0.24</v>
      </c>
      <c r="E33" s="21"/>
      <c r="F33" s="21"/>
    </row>
    <row r="34" spans="1:27" ht="15.75" customHeight="1" outlineLevel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61" customFormat="1" ht="15.75" customHeight="1" outlineLevel="1" x14ac:dyDescent="0.2">
      <c r="A35" s="60"/>
      <c r="B35" s="62" t="s">
        <v>64</v>
      </c>
      <c r="C35" s="60"/>
      <c r="D35" s="60"/>
      <c r="E35" s="60"/>
      <c r="F35" s="60"/>
      <c r="G35" s="60" t="s">
        <v>72</v>
      </c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spans="1:27" ht="15.75" customHeight="1" outlineLevel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outlineLevel="1" x14ac:dyDescent="0.2">
      <c r="A37" s="21"/>
      <c r="B37" s="21"/>
      <c r="C37" s="21" t="s">
        <v>28</v>
      </c>
      <c r="D37" s="34">
        <v>10</v>
      </c>
      <c r="E37" s="29"/>
      <c r="F37" s="29" t="s">
        <v>27</v>
      </c>
      <c r="G37" s="20"/>
      <c r="H37" s="21"/>
      <c r="I37" s="2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outlineLevel="1" x14ac:dyDescent="0.2">
      <c r="A38" s="21"/>
      <c r="B38" s="21"/>
      <c r="C38" s="21" t="s">
        <v>33</v>
      </c>
      <c r="D38" s="54">
        <f>D43*1000/D41</f>
        <v>72.332172677289734</v>
      </c>
      <c r="E38" s="29"/>
      <c r="F38" s="29" t="s">
        <v>30</v>
      </c>
      <c r="G38" s="20"/>
      <c r="H38" s="21"/>
      <c r="I38" s="2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outlineLevel="1" x14ac:dyDescent="0.2">
      <c r="A39" s="21"/>
      <c r="B39" s="21"/>
      <c r="C39" s="21" t="s">
        <v>34</v>
      </c>
      <c r="D39" s="54">
        <f>ROUND(D38*1.3,0)</f>
        <v>94</v>
      </c>
      <c r="E39" s="29"/>
      <c r="F39" s="29" t="s">
        <v>30</v>
      </c>
      <c r="G39" s="20"/>
      <c r="H39" s="21"/>
      <c r="I39" s="2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outlineLevel="1" x14ac:dyDescent="0.2">
      <c r="A40" s="21"/>
      <c r="B40" s="21"/>
      <c r="C40" s="21" t="s">
        <v>34</v>
      </c>
      <c r="D40" s="54">
        <f>ROUND(D39/10,0)*10</f>
        <v>90</v>
      </c>
      <c r="E40" s="29"/>
      <c r="F40" s="28" t="s">
        <v>30</v>
      </c>
      <c r="G40" s="20"/>
      <c r="H40" s="30"/>
      <c r="I40" s="3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outlineLevel="1" x14ac:dyDescent="0.2">
      <c r="A41" s="21"/>
      <c r="B41" s="21"/>
      <c r="C41" s="21" t="s">
        <v>26</v>
      </c>
      <c r="D41" s="36">
        <f>8760*0.7</f>
        <v>6132</v>
      </c>
      <c r="E41" s="29"/>
      <c r="F41" s="28" t="s">
        <v>25</v>
      </c>
      <c r="G41" s="20"/>
      <c r="H41" s="1"/>
      <c r="I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outlineLevel="1" x14ac:dyDescent="0.2">
      <c r="A42" s="21"/>
      <c r="B42" s="21"/>
      <c r="C42" s="21" t="s">
        <v>52</v>
      </c>
      <c r="D42" s="36">
        <f>D13</f>
        <v>310478.61799999845</v>
      </c>
      <c r="E42" s="29"/>
      <c r="F42" s="28" t="s">
        <v>53</v>
      </c>
      <c r="G42" s="20"/>
      <c r="H42" s="1"/>
      <c r="I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outlineLevel="1" x14ac:dyDescent="0.2">
      <c r="A43" s="21"/>
      <c r="B43" s="21"/>
      <c r="C43" s="21" t="s">
        <v>46</v>
      </c>
      <c r="D43" s="37">
        <f>(D42/(1-D66))/1000</f>
        <v>443.54088285714067</v>
      </c>
      <c r="E43" s="29"/>
      <c r="F43" s="28" t="s">
        <v>24</v>
      </c>
      <c r="G43" s="20"/>
      <c r="H43" s="1"/>
      <c r="J43" s="83"/>
      <c r="K43" s="82"/>
      <c r="M43" s="8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outlineLevel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61" customFormat="1" ht="15.75" customHeight="1" outlineLevel="1" x14ac:dyDescent="0.2">
      <c r="A45" s="60"/>
      <c r="B45" s="62" t="s">
        <v>74</v>
      </c>
      <c r="C45" s="60"/>
      <c r="D45" s="60"/>
      <c r="E45" s="60"/>
      <c r="F45" s="60"/>
      <c r="G45" s="60" t="s">
        <v>72</v>
      </c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spans="1:27" ht="15.75" customHeight="1" outlineLevel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outlineLevel="1" x14ac:dyDescent="0.2">
      <c r="A47" s="21"/>
      <c r="B47" s="21"/>
      <c r="C47" s="21" t="s">
        <v>67</v>
      </c>
      <c r="D47" s="37">
        <f>SUM(D48:D52)</f>
        <v>310</v>
      </c>
      <c r="E47" s="29"/>
      <c r="F47" s="28" t="s">
        <v>32</v>
      </c>
      <c r="G47" s="20"/>
      <c r="H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outlineLevel="1" x14ac:dyDescent="0.2">
      <c r="A48" s="21"/>
      <c r="B48" s="21"/>
      <c r="C48" s="63" t="s">
        <v>68</v>
      </c>
      <c r="D48" s="36">
        <v>90</v>
      </c>
      <c r="E48" s="29"/>
      <c r="F48" s="28" t="s">
        <v>32</v>
      </c>
      <c r="G48" s="65" t="s">
        <v>75</v>
      </c>
      <c r="H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outlineLevel="1" x14ac:dyDescent="0.2">
      <c r="A49" s="21"/>
      <c r="B49" s="21"/>
      <c r="C49" s="63" t="s">
        <v>69</v>
      </c>
      <c r="D49" s="36">
        <v>105</v>
      </c>
      <c r="E49" s="29"/>
      <c r="F49" s="28" t="s">
        <v>32</v>
      </c>
      <c r="G49" s="20"/>
      <c r="H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outlineLevel="1" x14ac:dyDescent="0.2">
      <c r="A50" s="21"/>
      <c r="B50" s="21"/>
      <c r="C50" s="63" t="s">
        <v>65</v>
      </c>
      <c r="D50" s="36">
        <v>45</v>
      </c>
      <c r="E50" s="29"/>
      <c r="F50" s="28" t="s">
        <v>32</v>
      </c>
      <c r="G50" s="20"/>
      <c r="H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outlineLevel="1" x14ac:dyDescent="0.2">
      <c r="A51" s="21"/>
      <c r="B51" s="21"/>
      <c r="C51" s="63" t="s">
        <v>70</v>
      </c>
      <c r="D51" s="36">
        <v>35</v>
      </c>
      <c r="E51" s="29"/>
      <c r="F51" s="28" t="s">
        <v>32</v>
      </c>
      <c r="G51" s="20"/>
      <c r="H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outlineLevel="1" x14ac:dyDescent="0.2">
      <c r="A52" s="21"/>
      <c r="B52" s="21"/>
      <c r="C52" s="63" t="s">
        <v>77</v>
      </c>
      <c r="D52" s="36">
        <v>35</v>
      </c>
      <c r="E52" s="29"/>
      <c r="F52" s="28" t="s">
        <v>32</v>
      </c>
      <c r="G52" s="20"/>
      <c r="H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outlineLevel="1" x14ac:dyDescent="0.2">
      <c r="A53" s="21"/>
      <c r="B53" s="21"/>
      <c r="C53" s="63" t="s">
        <v>93</v>
      </c>
      <c r="D53" s="35">
        <v>0.1</v>
      </c>
      <c r="E53" s="29"/>
      <c r="F53" s="28" t="s">
        <v>90</v>
      </c>
      <c r="G53" s="20"/>
      <c r="H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outlineLevel="1" x14ac:dyDescent="0.2">
      <c r="A54" s="21"/>
      <c r="B54" s="21"/>
      <c r="C54" s="66" t="s">
        <v>67</v>
      </c>
      <c r="D54" s="36">
        <f>(D47*D40/1000)*(1+D53)</f>
        <v>30.69</v>
      </c>
      <c r="E54" s="21"/>
      <c r="F54" s="27" t="s">
        <v>35</v>
      </c>
      <c r="G54" s="20"/>
      <c r="H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outlineLevel="1" x14ac:dyDescent="0.2">
      <c r="A55" s="21"/>
      <c r="B55" s="21"/>
      <c r="C55" s="21" t="s">
        <v>103</v>
      </c>
      <c r="D55" s="36">
        <v>10</v>
      </c>
      <c r="E55" s="21"/>
      <c r="F55" s="28" t="s">
        <v>37</v>
      </c>
      <c r="G55" s="20" t="s">
        <v>76</v>
      </c>
      <c r="H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outlineLevel="1" x14ac:dyDescent="0.2">
      <c r="A56" s="21"/>
      <c r="B56" s="21"/>
      <c r="C56" s="21" t="s">
        <v>94</v>
      </c>
      <c r="D56" s="36">
        <f>IF(OR(D85="FIC",D85="COMBO"),0,D55)</f>
        <v>0</v>
      </c>
      <c r="E56" s="29"/>
      <c r="F56" s="28" t="s">
        <v>37</v>
      </c>
      <c r="G56" s="20" t="s">
        <v>76</v>
      </c>
      <c r="H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outlineLevel="1" x14ac:dyDescent="0.2">
      <c r="A57" s="21"/>
      <c r="B57" s="21"/>
      <c r="C57" s="21" t="s">
        <v>66</v>
      </c>
      <c r="D57" s="36">
        <v>3.5</v>
      </c>
      <c r="E57" s="21"/>
      <c r="F57" s="21" t="s">
        <v>71</v>
      </c>
      <c r="G57" s="65" t="s">
        <v>75</v>
      </c>
      <c r="H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outlineLevel="1" x14ac:dyDescent="0.2">
      <c r="A58" s="21"/>
      <c r="B58" s="21"/>
      <c r="C58" s="21" t="s">
        <v>15</v>
      </c>
      <c r="D58" s="64">
        <v>2.5</v>
      </c>
      <c r="E58" s="21"/>
      <c r="F58" s="27" t="s">
        <v>40</v>
      </c>
      <c r="G58" s="65" t="s">
        <v>75</v>
      </c>
      <c r="H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outlineLevel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61" customFormat="1" ht="15.75" customHeight="1" outlineLevel="1" x14ac:dyDescent="0.2">
      <c r="A60" s="60"/>
      <c r="B60" s="62" t="s">
        <v>79</v>
      </c>
      <c r="C60" s="60"/>
      <c r="D60" s="60"/>
      <c r="E60" s="60"/>
      <c r="F60" s="60"/>
      <c r="G60" s="60" t="s">
        <v>72</v>
      </c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spans="1:27" ht="15.75" customHeight="1" outlineLevel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outlineLevel="1" x14ac:dyDescent="0.2">
      <c r="A62" s="1"/>
      <c r="B62" s="1"/>
      <c r="C62" s="21" t="s">
        <v>91</v>
      </c>
      <c r="D62" s="69">
        <f>0.0560958904038811</f>
        <v>5.6095890403881098E-2</v>
      </c>
      <c r="E62" s="21"/>
      <c r="F62" s="27" t="s">
        <v>78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outlineLevel="1" x14ac:dyDescent="0.2">
      <c r="A63" s="1"/>
      <c r="B63" s="1"/>
      <c r="C63" s="21" t="s">
        <v>95</v>
      </c>
      <c r="D63" s="69">
        <f>IF(OR(D85="FIP",D85="COMBO"),D83,0)</f>
        <v>0.15</v>
      </c>
      <c r="E63" s="21"/>
      <c r="F63" s="2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outlineLevel="1" x14ac:dyDescent="0.2">
      <c r="A64" s="1"/>
      <c r="B64" s="1"/>
      <c r="C64" s="21" t="s">
        <v>88</v>
      </c>
      <c r="D64" s="69">
        <v>0.30399999999999999</v>
      </c>
      <c r="E64" s="21"/>
      <c r="F64" s="27" t="s">
        <v>78</v>
      </c>
      <c r="G64" s="1"/>
      <c r="H64" s="1">
        <v>3.8889321999999997E-2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8" ht="15.75" customHeight="1" outlineLevel="1" x14ac:dyDescent="0.2">
      <c r="A65" s="1"/>
      <c r="B65" s="1"/>
      <c r="C65" s="21" t="s">
        <v>84</v>
      </c>
      <c r="D65" s="35">
        <f>IF(OR(D85="FIC",D85="COMBO"), D84,0%)</f>
        <v>0.6</v>
      </c>
      <c r="E65" s="21"/>
      <c r="F65" s="2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8" ht="15.75" customHeight="1" outlineLevel="1" x14ac:dyDescent="0.2">
      <c r="A66" s="21"/>
      <c r="B66" s="21"/>
      <c r="C66" s="21" t="s">
        <v>41</v>
      </c>
      <c r="D66" s="35">
        <v>0.3</v>
      </c>
      <c r="E66" s="21"/>
      <c r="F66" s="27"/>
      <c r="G66" s="21"/>
      <c r="H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8" ht="15.75" customHeight="1" outlineLevel="1" x14ac:dyDescent="0.2">
      <c r="A67" s="21"/>
      <c r="B67" s="21"/>
      <c r="C67" s="21" t="s">
        <v>42</v>
      </c>
      <c r="D67" s="36">
        <f>D43*D66</f>
        <v>133.0622648571422</v>
      </c>
      <c r="E67" s="21"/>
      <c r="F67" s="27" t="s">
        <v>24</v>
      </c>
      <c r="G67" s="21"/>
      <c r="H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8" ht="15.75" customHeight="1" outlineLevel="1" x14ac:dyDescent="0.2">
      <c r="A68" s="21"/>
      <c r="B68" s="21"/>
      <c r="C68" s="21" t="s">
        <v>43</v>
      </c>
      <c r="D68" s="35">
        <v>0</v>
      </c>
      <c r="E68" s="21"/>
      <c r="F68" s="27"/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8" ht="15.75" customHeight="1" outlineLevel="1" x14ac:dyDescent="0.2">
      <c r="A69" s="21"/>
      <c r="B69" s="21"/>
      <c r="C69" s="21" t="s">
        <v>107</v>
      </c>
      <c r="D69" s="67">
        <v>0.35</v>
      </c>
      <c r="E69" s="21"/>
      <c r="F69" s="27"/>
      <c r="G69" s="2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8" ht="15.75" customHeight="1" x14ac:dyDescent="0.2">
      <c r="A70" s="21"/>
      <c r="B70" s="21"/>
      <c r="C70" s="21"/>
      <c r="D70" s="75"/>
      <c r="E70" s="21"/>
      <c r="F70" s="27"/>
      <c r="G70" s="2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8" ht="15.75" customHeight="1" x14ac:dyDescent="0.2">
      <c r="A71" s="21"/>
      <c r="B71" s="21"/>
      <c r="G71" s="2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8" s="71" customFormat="1" ht="22" customHeight="1" x14ac:dyDescent="0.2">
      <c r="A72" s="70"/>
      <c r="B72" s="73" t="s">
        <v>83</v>
      </c>
      <c r="G72" s="70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spans="1:28" ht="16" x14ac:dyDescent="0.2">
      <c r="A73" s="21"/>
      <c r="B73" s="74"/>
      <c r="G73" s="2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8" ht="16" x14ac:dyDescent="0.2">
      <c r="A74" s="21"/>
      <c r="B74" s="74"/>
      <c r="G74" s="21"/>
      <c r="H74" s="18">
        <v>2022</v>
      </c>
      <c r="I74" s="18">
        <v>2023</v>
      </c>
      <c r="J74" s="18">
        <v>2024</v>
      </c>
      <c r="K74" s="18">
        <v>2025</v>
      </c>
      <c r="L74" s="18">
        <v>2026</v>
      </c>
      <c r="M74" s="18">
        <v>2027</v>
      </c>
      <c r="N74" s="18">
        <v>2028</v>
      </c>
      <c r="O74" s="18">
        <v>2029</v>
      </c>
      <c r="P74" s="18">
        <v>2030</v>
      </c>
      <c r="Q74" s="18">
        <v>2031</v>
      </c>
      <c r="R74" s="18">
        <v>2032</v>
      </c>
      <c r="T74" s="1"/>
      <c r="U74" s="1"/>
      <c r="V74" s="1"/>
      <c r="W74" s="1"/>
      <c r="X74" s="1"/>
      <c r="Y74" s="1"/>
      <c r="Z74" s="1"/>
      <c r="AA74" s="1"/>
      <c r="AB74" s="1"/>
    </row>
    <row r="75" spans="1:28" ht="16" x14ac:dyDescent="0.2">
      <c r="A75" s="21"/>
      <c r="B75" s="74"/>
      <c r="C75" t="s">
        <v>89</v>
      </c>
      <c r="D75" s="68">
        <f>I75</f>
        <v>116.125</v>
      </c>
      <c r="F75" t="s">
        <v>40</v>
      </c>
      <c r="G75" s="21" t="s">
        <v>87</v>
      </c>
      <c r="H75" s="76">
        <v>281.375</v>
      </c>
      <c r="I75" s="76">
        <v>116.125</v>
      </c>
      <c r="J75" s="76">
        <v>82</v>
      </c>
      <c r="K75" s="76">
        <v>84.875</v>
      </c>
      <c r="L75" s="76">
        <f>K75*(L77/K77)</f>
        <v>77.911571207430342</v>
      </c>
      <c r="M75" s="76">
        <f>L75*(M77/L77)</f>
        <v>71.355437306501557</v>
      </c>
      <c r="N75" s="76">
        <f>M75</f>
        <v>71.355437306501557</v>
      </c>
      <c r="O75" s="76">
        <f t="shared" ref="O75:R75" si="0">N75</f>
        <v>71.355437306501557</v>
      </c>
      <c r="P75" s="76">
        <f t="shared" si="0"/>
        <v>71.355437306501557</v>
      </c>
      <c r="Q75" s="76">
        <f t="shared" si="0"/>
        <v>71.355437306501557</v>
      </c>
      <c r="R75" s="76">
        <f t="shared" si="0"/>
        <v>71.355437306501557</v>
      </c>
      <c r="T75" s="1"/>
      <c r="U75" s="1"/>
      <c r="V75" s="1"/>
      <c r="W75" s="1"/>
      <c r="X75" s="1"/>
      <c r="Y75" s="1"/>
      <c r="Z75" s="1"/>
      <c r="AA75" s="1"/>
      <c r="AB75" s="1"/>
    </row>
    <row r="76" spans="1:28" ht="16" x14ac:dyDescent="0.2">
      <c r="A76" s="21"/>
      <c r="B76" s="74"/>
      <c r="C76" t="s">
        <v>83</v>
      </c>
      <c r="D76" s="68">
        <f>H76</f>
        <v>304</v>
      </c>
      <c r="F76" t="s">
        <v>40</v>
      </c>
      <c r="G76" s="21"/>
      <c r="H76" s="76">
        <f>D64*1000</f>
        <v>304</v>
      </c>
      <c r="I76" s="76">
        <f>H76*I75/H75</f>
        <v>125.46246112838739</v>
      </c>
      <c r="J76" s="76">
        <f t="shared" ref="J76:R76" si="1">I76*J75/I75</f>
        <v>88.593513993780547</v>
      </c>
      <c r="K76" s="76">
        <f t="shared" si="1"/>
        <v>91.699689027099069</v>
      </c>
      <c r="L76" s="76">
        <f t="shared" si="1"/>
        <v>84.176339927352544</v>
      </c>
      <c r="M76" s="76">
        <f t="shared" si="1"/>
        <v>77.093035774949698</v>
      </c>
      <c r="N76" s="76">
        <f t="shared" si="1"/>
        <v>77.093035774949698</v>
      </c>
      <c r="O76" s="76">
        <f t="shared" si="1"/>
        <v>77.093035774949698</v>
      </c>
      <c r="P76" s="76">
        <f t="shared" si="1"/>
        <v>77.093035774949698</v>
      </c>
      <c r="Q76" s="76">
        <f t="shared" si="1"/>
        <v>77.093035774949698</v>
      </c>
      <c r="R76" s="76">
        <f t="shared" si="1"/>
        <v>77.093035774949698</v>
      </c>
      <c r="T76" s="1"/>
      <c r="U76" s="1"/>
      <c r="V76" s="1"/>
      <c r="W76" s="1"/>
      <c r="X76" s="1"/>
      <c r="Y76" s="1"/>
      <c r="Z76" s="1"/>
      <c r="AA76" s="1"/>
      <c r="AB76" s="1"/>
    </row>
    <row r="77" spans="1:28" ht="16" x14ac:dyDescent="0.2">
      <c r="A77" s="21"/>
      <c r="B77" s="74"/>
      <c r="C77" t="s">
        <v>85</v>
      </c>
      <c r="D77" s="68">
        <f>I77</f>
        <v>37.670999999999999</v>
      </c>
      <c r="F77" t="s">
        <v>40</v>
      </c>
      <c r="G77" s="21" t="s">
        <v>86</v>
      </c>
      <c r="H77" s="76">
        <v>138.07499999999999</v>
      </c>
      <c r="I77" s="76">
        <v>37.670999999999999</v>
      </c>
      <c r="J77" s="76">
        <v>29.66</v>
      </c>
      <c r="K77" s="76">
        <v>32.299999999999997</v>
      </c>
      <c r="L77" s="76">
        <v>29.65</v>
      </c>
      <c r="M77" s="76">
        <v>27.155000000000001</v>
      </c>
      <c r="N77" s="76">
        <f>M77</f>
        <v>27.155000000000001</v>
      </c>
      <c r="O77" s="76">
        <f t="shared" ref="O77:R77" si="2">N77</f>
        <v>27.155000000000001</v>
      </c>
      <c r="P77" s="76">
        <f t="shared" si="2"/>
        <v>27.155000000000001</v>
      </c>
      <c r="Q77" s="76">
        <f t="shared" si="2"/>
        <v>27.155000000000001</v>
      </c>
      <c r="R77" s="76">
        <f t="shared" si="2"/>
        <v>27.155000000000001</v>
      </c>
      <c r="T77" s="1"/>
      <c r="U77" s="1"/>
      <c r="V77" s="1"/>
      <c r="W77" s="1"/>
      <c r="X77" s="1"/>
      <c r="Y77" s="1"/>
      <c r="Z77" s="1"/>
      <c r="AA77" s="1"/>
      <c r="AB77" s="1"/>
    </row>
    <row r="78" spans="1:28" ht="16" x14ac:dyDescent="0.2">
      <c r="A78" s="21"/>
      <c r="B78" s="74"/>
      <c r="C78" t="s">
        <v>80</v>
      </c>
      <c r="D78" s="77">
        <f>H78</f>
        <v>56.0958904038811</v>
      </c>
      <c r="F78" t="s">
        <v>40</v>
      </c>
      <c r="G78" s="21"/>
      <c r="H78" s="76">
        <f>D62*1000</f>
        <v>56.0958904038811</v>
      </c>
      <c r="I78" s="78">
        <f>H78</f>
        <v>56.0958904038811</v>
      </c>
      <c r="J78" s="76">
        <f t="shared" ref="J78:R78" si="3">I78*J77/I77</f>
        <v>44.166709388630871</v>
      </c>
      <c r="K78" s="76">
        <f t="shared" si="3"/>
        <v>48.097933690248716</v>
      </c>
      <c r="L78" s="76">
        <f t="shared" si="3"/>
        <v>44.151818387488369</v>
      </c>
      <c r="M78" s="76">
        <f t="shared" si="3"/>
        <v>40.436513602436648</v>
      </c>
      <c r="N78" s="76">
        <f t="shared" si="3"/>
        <v>40.436513602436641</v>
      </c>
      <c r="O78" s="76">
        <f t="shared" si="3"/>
        <v>40.436513602436641</v>
      </c>
      <c r="P78" s="76">
        <f t="shared" si="3"/>
        <v>40.436513602436641</v>
      </c>
      <c r="Q78" s="76">
        <f t="shared" si="3"/>
        <v>40.436513602436641</v>
      </c>
      <c r="R78" s="76">
        <f t="shared" si="3"/>
        <v>40.436513602436641</v>
      </c>
      <c r="T78" s="1"/>
      <c r="U78" s="1"/>
      <c r="V78" s="1"/>
      <c r="W78" s="1"/>
      <c r="X78" s="1"/>
      <c r="Y78" s="1"/>
      <c r="Z78" s="1"/>
      <c r="AA78" s="1"/>
      <c r="AB78" s="1"/>
    </row>
    <row r="79" spans="1:28" ht="16" x14ac:dyDescent="0.2">
      <c r="A79" s="21"/>
      <c r="B79" s="74"/>
      <c r="D79" s="77"/>
      <c r="G79" s="21"/>
      <c r="H79" s="76"/>
      <c r="I79" s="78"/>
      <c r="J79" s="76"/>
      <c r="K79" s="76"/>
      <c r="L79" s="76"/>
      <c r="M79" s="76"/>
      <c r="N79" s="76"/>
      <c r="O79" s="76"/>
      <c r="P79" s="76"/>
      <c r="Q79" s="76"/>
      <c r="R79" s="76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2">
      <c r="A80" s="21"/>
      <c r="B80" s="21"/>
      <c r="G80" s="2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71" customFormat="1" ht="22" customHeight="1" x14ac:dyDescent="0.2">
      <c r="A81" s="70"/>
      <c r="B81" s="73" t="s">
        <v>81</v>
      </c>
      <c r="G81" s="70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</row>
    <row r="82" spans="1:27" ht="16" x14ac:dyDescent="0.2">
      <c r="A82" s="21"/>
      <c r="B82" s="74"/>
      <c r="G82" s="2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" x14ac:dyDescent="0.2">
      <c r="A83" s="21"/>
      <c r="B83" s="74"/>
      <c r="C83" t="s">
        <v>96</v>
      </c>
      <c r="D83" s="35">
        <v>0.15</v>
      </c>
      <c r="G83" s="2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" x14ac:dyDescent="0.2">
      <c r="A84" s="21"/>
      <c r="B84" s="74"/>
      <c r="C84" t="s">
        <v>97</v>
      </c>
      <c r="D84" s="35">
        <v>0.6</v>
      </c>
      <c r="G84" s="2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" x14ac:dyDescent="0.2">
      <c r="A85" s="21"/>
      <c r="B85" s="74"/>
      <c r="C85" t="s">
        <v>82</v>
      </c>
      <c r="D85" s="36" t="s">
        <v>110</v>
      </c>
      <c r="G85" s="2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21"/>
      <c r="B86" s="21"/>
      <c r="C86" s="19"/>
      <c r="D86" s="21"/>
      <c r="E86" s="21"/>
      <c r="F86" s="21"/>
      <c r="G86" s="2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22"/>
      <c r="B87" s="26" t="s">
        <v>98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spans="1:27" ht="9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21"/>
      <c r="B89" s="21"/>
      <c r="C89" s="20"/>
      <c r="D89" s="19"/>
      <c r="E89" s="19"/>
      <c r="F89" s="88" t="s">
        <v>17</v>
      </c>
      <c r="G89" s="89"/>
      <c r="H89" s="18">
        <v>0</v>
      </c>
      <c r="I89" s="18">
        <v>1</v>
      </c>
      <c r="J89" s="18">
        <v>2</v>
      </c>
      <c r="K89" s="18">
        <v>3</v>
      </c>
      <c r="L89" s="18">
        <v>4</v>
      </c>
      <c r="M89" s="18">
        <v>5</v>
      </c>
      <c r="N89" s="18">
        <v>6</v>
      </c>
      <c r="O89" s="18">
        <v>7</v>
      </c>
      <c r="P89" s="18">
        <v>8</v>
      </c>
      <c r="Q89" s="18">
        <v>9</v>
      </c>
      <c r="R89" s="18">
        <v>10</v>
      </c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9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6" t="s">
        <v>16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 t="s">
        <v>31</v>
      </c>
      <c r="D92" s="1" t="s">
        <v>40</v>
      </c>
      <c r="E92" s="1"/>
      <c r="F92" s="1"/>
      <c r="G92" s="1"/>
      <c r="H92" s="44">
        <f t="shared" ref="H92:R92" si="4">IF(OR($D$85="FIC",$D$85="COMBO"),H78*(1-$D$69),H78)</f>
        <v>36.462328762522716</v>
      </c>
      <c r="I92" s="44">
        <f t="shared" si="4"/>
        <v>36.462328762522716</v>
      </c>
      <c r="J92" s="44">
        <f t="shared" si="4"/>
        <v>28.708361102610066</v>
      </c>
      <c r="K92" s="44">
        <f t="shared" si="4"/>
        <v>31.263656898661665</v>
      </c>
      <c r="L92" s="44">
        <f t="shared" si="4"/>
        <v>28.698681951867442</v>
      </c>
      <c r="M92" s="44">
        <f t="shared" si="4"/>
        <v>26.283733841583821</v>
      </c>
      <c r="N92" s="44">
        <f t="shared" si="4"/>
        <v>26.283733841583818</v>
      </c>
      <c r="O92" s="44">
        <f t="shared" si="4"/>
        <v>26.283733841583818</v>
      </c>
      <c r="P92" s="44">
        <f t="shared" si="4"/>
        <v>26.283733841583818</v>
      </c>
      <c r="Q92" s="44">
        <f t="shared" si="4"/>
        <v>26.283733841583818</v>
      </c>
      <c r="R92" s="44">
        <f t="shared" si="4"/>
        <v>26.283733841583818</v>
      </c>
      <c r="S92" s="23"/>
      <c r="T92" s="23"/>
      <c r="U92" s="23"/>
      <c r="V92" s="23"/>
      <c r="W92" s="23"/>
      <c r="X92" s="23"/>
      <c r="Y92" s="23"/>
      <c r="Z92" s="23"/>
      <c r="AA92" s="23"/>
    </row>
    <row r="93" spans="1:27" ht="15.75" customHeight="1" x14ac:dyDescent="0.2">
      <c r="A93" s="1"/>
      <c r="B93" s="1"/>
      <c r="C93" s="1" t="s">
        <v>92</v>
      </c>
      <c r="D93" s="1" t="s">
        <v>40</v>
      </c>
      <c r="E93" s="1"/>
      <c r="F93" s="1"/>
      <c r="G93" s="1"/>
      <c r="H93" s="44">
        <f>H92*(1+$D$68)</f>
        <v>36.462328762522716</v>
      </c>
      <c r="I93" s="44">
        <f t="shared" ref="I93:R93" si="5">I92*(1+$D$68)</f>
        <v>36.462328762522716</v>
      </c>
      <c r="J93" s="44">
        <f t="shared" si="5"/>
        <v>28.708361102610066</v>
      </c>
      <c r="K93" s="44">
        <f t="shared" si="5"/>
        <v>31.263656898661665</v>
      </c>
      <c r="L93" s="44">
        <f t="shared" si="5"/>
        <v>28.698681951867442</v>
      </c>
      <c r="M93" s="44">
        <f t="shared" si="5"/>
        <v>26.283733841583821</v>
      </c>
      <c r="N93" s="44">
        <f t="shared" si="5"/>
        <v>26.283733841583818</v>
      </c>
      <c r="O93" s="44">
        <f t="shared" si="5"/>
        <v>26.283733841583818</v>
      </c>
      <c r="P93" s="44">
        <f t="shared" si="5"/>
        <v>26.283733841583818</v>
      </c>
      <c r="Q93" s="44">
        <f t="shared" si="5"/>
        <v>26.283733841583818</v>
      </c>
      <c r="R93" s="44">
        <f t="shared" si="5"/>
        <v>26.283733841583818</v>
      </c>
      <c r="S93" s="23"/>
      <c r="T93" s="23"/>
      <c r="U93" s="23"/>
      <c r="V93" s="23"/>
      <c r="W93" s="23"/>
      <c r="X93" s="23"/>
      <c r="Y93" s="23"/>
      <c r="Z93" s="23"/>
      <c r="AA93" s="23"/>
    </row>
    <row r="94" spans="1:27" ht="15.75" customHeight="1" x14ac:dyDescent="0.2">
      <c r="A94" s="1"/>
      <c r="B94" s="1"/>
      <c r="C94" s="1" t="s">
        <v>44</v>
      </c>
      <c r="D94" s="1" t="s">
        <v>18</v>
      </c>
      <c r="E94" s="1"/>
      <c r="F94" s="1"/>
      <c r="G94" s="1"/>
      <c r="H94" s="44"/>
      <c r="I94" s="44">
        <f>IF(OR($D$85="BASE",$D$85="FIP"),$D$67,0)</f>
        <v>0</v>
      </c>
      <c r="J94" s="44">
        <f t="shared" ref="J94:R94" si="6">IF(OR($D$85="BASE",$D$85="FIP"),$D$67,0)</f>
        <v>0</v>
      </c>
      <c r="K94" s="44">
        <f t="shared" si="6"/>
        <v>0</v>
      </c>
      <c r="L94" s="44">
        <f t="shared" si="6"/>
        <v>0</v>
      </c>
      <c r="M94" s="44">
        <f t="shared" si="6"/>
        <v>0</v>
      </c>
      <c r="N94" s="44">
        <f t="shared" si="6"/>
        <v>0</v>
      </c>
      <c r="O94" s="44">
        <f t="shared" si="6"/>
        <v>0</v>
      </c>
      <c r="P94" s="44">
        <f t="shared" si="6"/>
        <v>0</v>
      </c>
      <c r="Q94" s="44">
        <f t="shared" si="6"/>
        <v>0</v>
      </c>
      <c r="R94" s="44">
        <f t="shared" si="6"/>
        <v>0</v>
      </c>
      <c r="S94" s="23"/>
      <c r="T94" s="23"/>
      <c r="U94" s="23"/>
      <c r="V94" s="23"/>
      <c r="W94" s="23"/>
      <c r="X94" s="23"/>
      <c r="Y94" s="23"/>
      <c r="Z94" s="23"/>
      <c r="AA94" s="23"/>
    </row>
    <row r="95" spans="1:27" ht="15.75" customHeight="1" x14ac:dyDescent="0.2">
      <c r="A95" s="1"/>
      <c r="B95" s="1"/>
      <c r="C95" s="42" t="s">
        <v>45</v>
      </c>
      <c r="D95" s="42" t="s">
        <v>18</v>
      </c>
      <c r="E95" s="43"/>
      <c r="F95" s="43"/>
      <c r="G95" s="43"/>
      <c r="H95" s="45"/>
      <c r="I95" s="45">
        <f>$D$43-I94</f>
        <v>443.54088285714067</v>
      </c>
      <c r="J95" s="45">
        <f t="shared" ref="J95:R95" si="7">$D$43-J94</f>
        <v>443.54088285714067</v>
      </c>
      <c r="K95" s="45">
        <f t="shared" si="7"/>
        <v>443.54088285714067</v>
      </c>
      <c r="L95" s="45">
        <f t="shared" si="7"/>
        <v>443.54088285714067</v>
      </c>
      <c r="M95" s="45">
        <f t="shared" si="7"/>
        <v>443.54088285714067</v>
      </c>
      <c r="N95" s="45">
        <f t="shared" si="7"/>
        <v>443.54088285714067</v>
      </c>
      <c r="O95" s="45">
        <f t="shared" si="7"/>
        <v>443.54088285714067</v>
      </c>
      <c r="P95" s="45">
        <f t="shared" si="7"/>
        <v>443.54088285714067</v>
      </c>
      <c r="Q95" s="45">
        <f t="shared" si="7"/>
        <v>443.54088285714067</v>
      </c>
      <c r="R95" s="45">
        <f t="shared" si="7"/>
        <v>443.54088285714067</v>
      </c>
      <c r="S95" s="23"/>
      <c r="T95" s="23"/>
      <c r="U95" s="23"/>
      <c r="V95" s="23"/>
      <c r="W95" s="23"/>
      <c r="X95" s="23"/>
      <c r="Y95" s="23"/>
      <c r="Z95" s="23"/>
      <c r="AA95" s="23"/>
    </row>
    <row r="96" spans="1:27" ht="15.75" customHeight="1" x14ac:dyDescent="0.2">
      <c r="A96" s="9"/>
      <c r="B96" s="9"/>
      <c r="C96" s="9" t="s">
        <v>21</v>
      </c>
      <c r="D96" s="24" t="s">
        <v>35</v>
      </c>
      <c r="E96" s="9"/>
      <c r="F96" s="9"/>
      <c r="G96" s="9"/>
      <c r="H96" s="46">
        <f>(H95*H92+H94*H93)/1000</f>
        <v>0</v>
      </c>
      <c r="I96" s="46">
        <f>(I95*I92+I94*I93)/1000</f>
        <v>16.172533490356638</v>
      </c>
      <c r="J96" s="46">
        <f t="shared" ref="J96:R96" si="8">(J95*J92+J94*J93)/1000</f>
        <v>12.733331828833265</v>
      </c>
      <c r="K96" s="46">
        <f t="shared" si="8"/>
        <v>13.866709982175131</v>
      </c>
      <c r="L96" s="46">
        <f t="shared" si="8"/>
        <v>12.729038729767575</v>
      </c>
      <c r="M96" s="46">
        <f t="shared" si="8"/>
        <v>11.657910512878194</v>
      </c>
      <c r="N96" s="46">
        <f t="shared" si="8"/>
        <v>11.657910512878193</v>
      </c>
      <c r="O96" s="46">
        <f t="shared" si="8"/>
        <v>11.657910512878193</v>
      </c>
      <c r="P96" s="46">
        <f t="shared" si="8"/>
        <v>11.657910512878193</v>
      </c>
      <c r="Q96" s="46">
        <f t="shared" si="8"/>
        <v>11.657910512878193</v>
      </c>
      <c r="R96" s="46">
        <f t="shared" si="8"/>
        <v>11.657910512878193</v>
      </c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5.75" customHeight="1" x14ac:dyDescent="0.2">
      <c r="A97" s="1"/>
      <c r="B97" s="1"/>
      <c r="C97" s="1"/>
      <c r="D97" s="1"/>
      <c r="E97" s="1"/>
      <c r="F97" s="1"/>
      <c r="G97" s="1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23"/>
      <c r="T97" s="23"/>
      <c r="U97" s="23"/>
      <c r="V97" s="23"/>
      <c r="W97" s="23"/>
      <c r="X97" s="23"/>
      <c r="Y97" s="23"/>
      <c r="Z97" s="23"/>
      <c r="AA97" s="23"/>
    </row>
    <row r="98" spans="1:27" ht="15.75" customHeight="1" x14ac:dyDescent="0.2">
      <c r="A98" s="1"/>
      <c r="B98" s="1"/>
      <c r="C98" s="42" t="s">
        <v>117</v>
      </c>
      <c r="D98" s="42" t="s">
        <v>35</v>
      </c>
      <c r="E98" s="42"/>
      <c r="F98" s="42"/>
      <c r="G98" s="42"/>
      <c r="H98" s="45">
        <f>H95*H78*$D$63/1000</f>
        <v>0</v>
      </c>
      <c r="I98" s="45">
        <f t="shared" ref="I98:R98" si="9">I95*I78*$D$63/1000</f>
        <v>3.7321231131592243</v>
      </c>
      <c r="J98" s="45">
        <f t="shared" si="9"/>
        <v>2.9384611912692149</v>
      </c>
      <c r="K98" s="45">
        <f t="shared" si="9"/>
        <v>3.2000099958865684</v>
      </c>
      <c r="L98" s="45">
        <f t="shared" si="9"/>
        <v>2.9374704761002093</v>
      </c>
      <c r="M98" s="45">
        <f t="shared" si="9"/>
        <v>2.6902870414334288</v>
      </c>
      <c r="N98" s="45">
        <f t="shared" si="9"/>
        <v>2.6902870414334283</v>
      </c>
      <c r="O98" s="45">
        <f t="shared" si="9"/>
        <v>2.6902870414334283</v>
      </c>
      <c r="P98" s="45">
        <f t="shared" si="9"/>
        <v>2.6902870414334283</v>
      </c>
      <c r="Q98" s="45">
        <f t="shared" si="9"/>
        <v>2.6902870414334283</v>
      </c>
      <c r="R98" s="45">
        <f t="shared" si="9"/>
        <v>2.6902870414334283</v>
      </c>
      <c r="S98" s="23"/>
      <c r="T98" s="23"/>
      <c r="U98" s="23"/>
      <c r="V98" s="23"/>
      <c r="W98" s="23"/>
      <c r="X98" s="23"/>
      <c r="Y98" s="23"/>
      <c r="Z98" s="23"/>
      <c r="AA98" s="23"/>
    </row>
    <row r="99" spans="1:27" ht="15.75" customHeight="1" x14ac:dyDescent="0.2">
      <c r="A99" s="9"/>
      <c r="B99" s="9"/>
      <c r="C99" s="9" t="s">
        <v>105</v>
      </c>
      <c r="D99" s="24" t="s">
        <v>35</v>
      </c>
      <c r="E99" s="9"/>
      <c r="F99" s="9"/>
      <c r="G99" s="9"/>
      <c r="H99" s="46">
        <f>H98+H96</f>
        <v>0</v>
      </c>
      <c r="I99" s="46">
        <f t="shared" ref="I99:R99" si="10">I98+I96</f>
        <v>19.904656603515864</v>
      </c>
      <c r="J99" s="46">
        <f t="shared" si="10"/>
        <v>15.671793020102481</v>
      </c>
      <c r="K99" s="46">
        <f t="shared" si="10"/>
        <v>17.066719978061698</v>
      </c>
      <c r="L99" s="46">
        <f t="shared" si="10"/>
        <v>15.666509205867785</v>
      </c>
      <c r="M99" s="46">
        <f t="shared" si="10"/>
        <v>14.348197554311623</v>
      </c>
      <c r="N99" s="46">
        <f t="shared" si="10"/>
        <v>14.348197554311621</v>
      </c>
      <c r="O99" s="46">
        <f t="shared" si="10"/>
        <v>14.348197554311621</v>
      </c>
      <c r="P99" s="46">
        <f t="shared" si="10"/>
        <v>14.348197554311621</v>
      </c>
      <c r="Q99" s="46">
        <f t="shared" si="10"/>
        <v>14.348197554311621</v>
      </c>
      <c r="R99" s="46">
        <f t="shared" si="10"/>
        <v>14.348197554311621</v>
      </c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6" t="s">
        <v>20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 t="s">
        <v>19</v>
      </c>
      <c r="D102" s="1" t="s">
        <v>35</v>
      </c>
      <c r="E102" s="1"/>
      <c r="F102" s="1"/>
      <c r="G102" s="1"/>
      <c r="H102" s="44">
        <f t="shared" ref="H102:R102" si="11">-($D$58*(H94+H95)/1000)-($D$57*$D$39/1000)</f>
        <v>-0.32900000000000001</v>
      </c>
      <c r="I102" s="44">
        <f t="shared" si="11"/>
        <v>-1.4378522071428517</v>
      </c>
      <c r="J102" s="44">
        <f t="shared" si="11"/>
        <v>-1.4378522071428517</v>
      </c>
      <c r="K102" s="44">
        <f t="shared" si="11"/>
        <v>-1.4378522071428517</v>
      </c>
      <c r="L102" s="44">
        <f t="shared" si="11"/>
        <v>-1.4378522071428517</v>
      </c>
      <c r="M102" s="44">
        <f t="shared" si="11"/>
        <v>-1.4378522071428517</v>
      </c>
      <c r="N102" s="44">
        <f t="shared" si="11"/>
        <v>-1.4378522071428517</v>
      </c>
      <c r="O102" s="44">
        <f t="shared" si="11"/>
        <v>-1.4378522071428517</v>
      </c>
      <c r="P102" s="44">
        <f t="shared" si="11"/>
        <v>-1.4378522071428517</v>
      </c>
      <c r="Q102" s="44">
        <f t="shared" si="11"/>
        <v>-1.4378522071428517</v>
      </c>
      <c r="R102" s="44">
        <f t="shared" si="11"/>
        <v>-1.4378522071428517</v>
      </c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 ht="15.75" customHeight="1" x14ac:dyDescent="0.2">
      <c r="A103" s="1"/>
      <c r="B103" s="1"/>
      <c r="C103" s="42" t="s">
        <v>47</v>
      </c>
      <c r="D103" s="42" t="s">
        <v>35</v>
      </c>
      <c r="E103" s="42"/>
      <c r="F103" s="42"/>
      <c r="G103" s="42"/>
      <c r="H103" s="45">
        <f>-$D$56</f>
        <v>0</v>
      </c>
      <c r="I103" s="45">
        <f t="shared" ref="I103:R103" si="12">-$D$56</f>
        <v>0</v>
      </c>
      <c r="J103" s="45">
        <f t="shared" si="12"/>
        <v>0</v>
      </c>
      <c r="K103" s="45">
        <f t="shared" si="12"/>
        <v>0</v>
      </c>
      <c r="L103" s="45">
        <f t="shared" si="12"/>
        <v>0</v>
      </c>
      <c r="M103" s="45">
        <f t="shared" si="12"/>
        <v>0</v>
      </c>
      <c r="N103" s="45">
        <f t="shared" si="12"/>
        <v>0</v>
      </c>
      <c r="O103" s="45">
        <f t="shared" si="12"/>
        <v>0</v>
      </c>
      <c r="P103" s="45">
        <f t="shared" si="12"/>
        <v>0</v>
      </c>
      <c r="Q103" s="45">
        <f t="shared" si="12"/>
        <v>0</v>
      </c>
      <c r="R103" s="45">
        <f t="shared" si="12"/>
        <v>0</v>
      </c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5.75" customHeight="1" x14ac:dyDescent="0.2">
      <c r="A104" s="9"/>
      <c r="B104" s="9"/>
      <c r="C104" s="9" t="s">
        <v>15</v>
      </c>
      <c r="D104" s="9" t="s">
        <v>35</v>
      </c>
      <c r="E104" s="9"/>
      <c r="F104" s="9"/>
      <c r="G104" s="9"/>
      <c r="H104" s="46">
        <f>SUM(H102:H103)</f>
        <v>-0.32900000000000001</v>
      </c>
      <c r="I104" s="46">
        <f>SUM(I102:I103)</f>
        <v>-1.4378522071428517</v>
      </c>
      <c r="J104" s="46">
        <f t="shared" ref="J104:R104" si="13">SUM(J102:J103)</f>
        <v>-1.4378522071428517</v>
      </c>
      <c r="K104" s="46">
        <f t="shared" si="13"/>
        <v>-1.4378522071428517</v>
      </c>
      <c r="L104" s="46">
        <f t="shared" si="13"/>
        <v>-1.4378522071428517</v>
      </c>
      <c r="M104" s="46">
        <f t="shared" si="13"/>
        <v>-1.4378522071428517</v>
      </c>
      <c r="N104" s="46">
        <f t="shared" si="13"/>
        <v>-1.4378522071428517</v>
      </c>
      <c r="O104" s="46">
        <f t="shared" si="13"/>
        <v>-1.4378522071428517</v>
      </c>
      <c r="P104" s="46">
        <f t="shared" si="13"/>
        <v>-1.4378522071428517</v>
      </c>
      <c r="Q104" s="46">
        <f t="shared" si="13"/>
        <v>-1.4378522071428517</v>
      </c>
      <c r="R104" s="46">
        <f t="shared" si="13"/>
        <v>-1.4378522071428517</v>
      </c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6" t="s">
        <v>50</v>
      </c>
      <c r="C107" s="1"/>
      <c r="D107" s="1"/>
      <c r="E107" s="1"/>
      <c r="F107" s="88" t="s">
        <v>17</v>
      </c>
      <c r="G107" s="90"/>
      <c r="H107" s="18">
        <v>0</v>
      </c>
      <c r="I107" s="18">
        <v>1</v>
      </c>
      <c r="J107" s="18">
        <v>2</v>
      </c>
      <c r="K107" s="18">
        <v>3</v>
      </c>
      <c r="L107" s="18">
        <v>4</v>
      </c>
      <c r="M107" s="18">
        <v>5</v>
      </c>
      <c r="N107" s="18">
        <v>6</v>
      </c>
      <c r="O107" s="18">
        <v>7</v>
      </c>
      <c r="P107" s="18">
        <v>8</v>
      </c>
      <c r="Q107" s="18">
        <v>9</v>
      </c>
      <c r="R107" s="18">
        <v>10</v>
      </c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 t="s">
        <v>16</v>
      </c>
      <c r="D108" s="1" t="s">
        <v>35</v>
      </c>
      <c r="E108" s="1"/>
      <c r="F108" s="1"/>
      <c r="G108" s="1"/>
      <c r="H108" s="44">
        <f>H99</f>
        <v>0</v>
      </c>
      <c r="I108" s="44">
        <f t="shared" ref="I108:R108" si="14">I99</f>
        <v>19.904656603515864</v>
      </c>
      <c r="J108" s="44">
        <f t="shared" si="14"/>
        <v>15.671793020102481</v>
      </c>
      <c r="K108" s="44">
        <f t="shared" si="14"/>
        <v>17.066719978061698</v>
      </c>
      <c r="L108" s="44">
        <f t="shared" si="14"/>
        <v>15.666509205867785</v>
      </c>
      <c r="M108" s="44">
        <f t="shared" si="14"/>
        <v>14.348197554311623</v>
      </c>
      <c r="N108" s="44">
        <f t="shared" si="14"/>
        <v>14.348197554311621</v>
      </c>
      <c r="O108" s="44">
        <f t="shared" si="14"/>
        <v>14.348197554311621</v>
      </c>
      <c r="P108" s="44">
        <f t="shared" si="14"/>
        <v>14.348197554311621</v>
      </c>
      <c r="Q108" s="44">
        <f t="shared" si="14"/>
        <v>14.348197554311621</v>
      </c>
      <c r="R108" s="44">
        <f t="shared" si="14"/>
        <v>14.348197554311621</v>
      </c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2">
      <c r="A109" s="1"/>
      <c r="B109" s="1"/>
      <c r="C109" s="1" t="s">
        <v>15</v>
      </c>
      <c r="D109" s="17" t="s">
        <v>35</v>
      </c>
      <c r="E109" s="1"/>
      <c r="F109" s="1"/>
      <c r="G109" s="1"/>
      <c r="H109" s="44">
        <f t="shared" ref="H109:R109" si="15">H104</f>
        <v>-0.32900000000000001</v>
      </c>
      <c r="I109" s="44">
        <f t="shared" si="15"/>
        <v>-1.4378522071428517</v>
      </c>
      <c r="J109" s="44">
        <f t="shared" si="15"/>
        <v>-1.4378522071428517</v>
      </c>
      <c r="K109" s="44">
        <f t="shared" si="15"/>
        <v>-1.4378522071428517</v>
      </c>
      <c r="L109" s="44">
        <f t="shared" si="15"/>
        <v>-1.4378522071428517</v>
      </c>
      <c r="M109" s="44">
        <f t="shared" si="15"/>
        <v>-1.4378522071428517</v>
      </c>
      <c r="N109" s="44">
        <f t="shared" si="15"/>
        <v>-1.4378522071428517</v>
      </c>
      <c r="O109" s="44">
        <f t="shared" si="15"/>
        <v>-1.4378522071428517</v>
      </c>
      <c r="P109" s="44">
        <f t="shared" si="15"/>
        <v>-1.4378522071428517</v>
      </c>
      <c r="Q109" s="44">
        <f t="shared" si="15"/>
        <v>-1.4378522071428517</v>
      </c>
      <c r="R109" s="44">
        <f t="shared" si="15"/>
        <v>-1.4378522071428517</v>
      </c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2">
      <c r="A110" s="1"/>
      <c r="B110" s="1"/>
      <c r="C110" s="13" t="s">
        <v>14</v>
      </c>
      <c r="D110" s="13" t="s">
        <v>35</v>
      </c>
      <c r="E110" s="13"/>
      <c r="F110" s="13"/>
      <c r="G110" s="13"/>
      <c r="H110" s="45">
        <f>-D54</f>
        <v>-30.69</v>
      </c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2"/>
      <c r="T110" s="42"/>
      <c r="U110" s="42"/>
      <c r="V110" s="13"/>
      <c r="W110" s="13"/>
      <c r="X110" s="13"/>
      <c r="Y110" s="13"/>
      <c r="Z110" s="13"/>
      <c r="AA110" s="13"/>
    </row>
    <row r="111" spans="1:27" ht="15.75" customHeight="1" x14ac:dyDescent="0.2">
      <c r="A111" s="9"/>
      <c r="B111" s="9"/>
      <c r="C111" s="9" t="s">
        <v>13</v>
      </c>
      <c r="D111" s="9" t="s">
        <v>35</v>
      </c>
      <c r="E111" s="9"/>
      <c r="F111" s="9"/>
      <c r="G111" s="53"/>
      <c r="H111" s="48">
        <f>SUM(H108:H110)</f>
        <v>-31.019000000000002</v>
      </c>
      <c r="I111" s="48">
        <f t="shared" ref="I111:R111" si="16">SUM(I108:I109)</f>
        <v>18.466804396373014</v>
      </c>
      <c r="J111" s="48">
        <f t="shared" si="16"/>
        <v>14.233940812959629</v>
      </c>
      <c r="K111" s="48">
        <f t="shared" si="16"/>
        <v>15.628867770918847</v>
      </c>
      <c r="L111" s="48">
        <f t="shared" si="16"/>
        <v>14.228656998724933</v>
      </c>
      <c r="M111" s="48">
        <f t="shared" si="16"/>
        <v>12.910345347168771</v>
      </c>
      <c r="N111" s="48">
        <f t="shared" si="16"/>
        <v>12.91034534716877</v>
      </c>
      <c r="O111" s="48">
        <f t="shared" si="16"/>
        <v>12.91034534716877</v>
      </c>
      <c r="P111" s="48">
        <f t="shared" si="16"/>
        <v>12.91034534716877</v>
      </c>
      <c r="Q111" s="48">
        <f t="shared" si="16"/>
        <v>12.91034534716877</v>
      </c>
      <c r="R111" s="48">
        <f t="shared" si="16"/>
        <v>12.91034534716877</v>
      </c>
      <c r="S111" s="47"/>
      <c r="T111" s="47"/>
      <c r="U111" s="15"/>
      <c r="V111" s="15"/>
      <c r="W111" s="15"/>
      <c r="X111" s="15"/>
      <c r="Y111" s="15"/>
      <c r="Z111" s="15"/>
      <c r="AA111" s="15"/>
    </row>
    <row r="112" spans="1:27" ht="15.75" customHeight="1" x14ac:dyDescent="0.2">
      <c r="A112" s="9"/>
      <c r="B112" s="9"/>
      <c r="C112" s="4" t="s">
        <v>12</v>
      </c>
      <c r="D112" s="4" t="s">
        <v>35</v>
      </c>
      <c r="E112" s="4"/>
      <c r="F112" s="4"/>
      <c r="G112" s="53"/>
      <c r="H112" s="48">
        <f>H111</f>
        <v>-31.019000000000002</v>
      </c>
      <c r="I112" s="48">
        <f t="shared" ref="I112:R112" si="17">I111</f>
        <v>18.466804396373014</v>
      </c>
      <c r="J112" s="48">
        <f t="shared" si="17"/>
        <v>14.233940812959629</v>
      </c>
      <c r="K112" s="48">
        <f t="shared" si="17"/>
        <v>15.628867770918847</v>
      </c>
      <c r="L112" s="48">
        <f t="shared" si="17"/>
        <v>14.228656998724933</v>
      </c>
      <c r="M112" s="48">
        <f t="shared" si="17"/>
        <v>12.910345347168771</v>
      </c>
      <c r="N112" s="48">
        <f t="shared" si="17"/>
        <v>12.91034534716877</v>
      </c>
      <c r="O112" s="48">
        <f t="shared" si="17"/>
        <v>12.91034534716877</v>
      </c>
      <c r="P112" s="48">
        <f t="shared" si="17"/>
        <v>12.91034534716877</v>
      </c>
      <c r="Q112" s="48">
        <f t="shared" si="17"/>
        <v>12.91034534716877</v>
      </c>
      <c r="R112" s="48">
        <f t="shared" si="17"/>
        <v>12.91034534716877</v>
      </c>
      <c r="S112" s="25"/>
      <c r="T112" s="25"/>
      <c r="U112" s="14"/>
      <c r="V112" s="14"/>
      <c r="W112" s="14"/>
      <c r="X112" s="14"/>
      <c r="Y112" s="14"/>
      <c r="Z112" s="14"/>
      <c r="AA112" s="14"/>
    </row>
    <row r="113" spans="1:27" ht="15.75" customHeight="1" x14ac:dyDescent="0.2">
      <c r="A113" s="11"/>
      <c r="B113" s="11"/>
      <c r="C113" s="11" t="s">
        <v>11</v>
      </c>
      <c r="D113" s="11" t="s">
        <v>35</v>
      </c>
      <c r="E113" s="11"/>
      <c r="F113" s="11"/>
      <c r="G113" s="11"/>
      <c r="H113" s="44">
        <f>-$D$54/$D$37</f>
        <v>-3.069</v>
      </c>
      <c r="I113" s="44">
        <f t="shared" ref="I113:R113" si="18">-$D$54/$D$37</f>
        <v>-3.069</v>
      </c>
      <c r="J113" s="44">
        <f t="shared" si="18"/>
        <v>-3.069</v>
      </c>
      <c r="K113" s="44">
        <f t="shared" si="18"/>
        <v>-3.069</v>
      </c>
      <c r="L113" s="44">
        <f t="shared" si="18"/>
        <v>-3.069</v>
      </c>
      <c r="M113" s="44">
        <f t="shared" si="18"/>
        <v>-3.069</v>
      </c>
      <c r="N113" s="44">
        <f t="shared" si="18"/>
        <v>-3.069</v>
      </c>
      <c r="O113" s="44">
        <f t="shared" si="18"/>
        <v>-3.069</v>
      </c>
      <c r="P113" s="44">
        <f t="shared" si="18"/>
        <v>-3.069</v>
      </c>
      <c r="Q113" s="44">
        <f t="shared" si="18"/>
        <v>-3.069</v>
      </c>
      <c r="R113" s="44">
        <f t="shared" si="18"/>
        <v>-3.069</v>
      </c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2">
      <c r="A114" s="1"/>
      <c r="B114" s="1"/>
      <c r="C114" s="1" t="s">
        <v>10</v>
      </c>
      <c r="D114" s="1" t="s">
        <v>35</v>
      </c>
      <c r="E114" s="1"/>
      <c r="F114" s="1"/>
      <c r="G114" s="1"/>
      <c r="H114" s="44">
        <f t="shared" ref="H114:R114" si="19">SUM(H112:H113)</f>
        <v>-34.088000000000001</v>
      </c>
      <c r="I114" s="44">
        <f t="shared" si="19"/>
        <v>15.397804396373015</v>
      </c>
      <c r="J114" s="44">
        <f t="shared" si="19"/>
        <v>11.164940812959628</v>
      </c>
      <c r="K114" s="44">
        <f t="shared" si="19"/>
        <v>12.559867770918846</v>
      </c>
      <c r="L114" s="44">
        <f t="shared" si="19"/>
        <v>11.159656998724934</v>
      </c>
      <c r="M114" s="44">
        <f t="shared" si="19"/>
        <v>9.8413453471687724</v>
      </c>
      <c r="N114" s="44">
        <f t="shared" si="19"/>
        <v>9.8413453471687689</v>
      </c>
      <c r="O114" s="44">
        <f t="shared" si="19"/>
        <v>9.8413453471687689</v>
      </c>
      <c r="P114" s="44">
        <f t="shared" si="19"/>
        <v>9.8413453471687689</v>
      </c>
      <c r="Q114" s="44">
        <f t="shared" si="19"/>
        <v>9.8413453471687689</v>
      </c>
      <c r="R114" s="44">
        <f t="shared" si="19"/>
        <v>9.8413453471687689</v>
      </c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2">
      <c r="A115" s="1"/>
      <c r="B115" s="1"/>
      <c r="C115" s="13" t="s">
        <v>9</v>
      </c>
      <c r="D115" s="13" t="s">
        <v>35</v>
      </c>
      <c r="E115" s="13"/>
      <c r="F115" s="13"/>
      <c r="G115" s="42"/>
      <c r="H115" s="45"/>
      <c r="I115" s="45">
        <f t="shared" ref="I115:R115" si="20">-I114*$D$23</f>
        <v>-3.6954730551295234</v>
      </c>
      <c r="J115" s="45">
        <f t="shared" si="20"/>
        <v>-2.6795857951103108</v>
      </c>
      <c r="K115" s="45">
        <f t="shared" si="20"/>
        <v>-3.014368265020523</v>
      </c>
      <c r="L115" s="45">
        <f t="shared" si="20"/>
        <v>-2.678317679693984</v>
      </c>
      <c r="M115" s="45">
        <f t="shared" si="20"/>
        <v>-2.3619228833205055</v>
      </c>
      <c r="N115" s="45">
        <f t="shared" si="20"/>
        <v>-2.3619228833205046</v>
      </c>
      <c r="O115" s="45">
        <f t="shared" si="20"/>
        <v>-2.3619228833205046</v>
      </c>
      <c r="P115" s="45">
        <f t="shared" si="20"/>
        <v>-2.3619228833205046</v>
      </c>
      <c r="Q115" s="45">
        <f t="shared" si="20"/>
        <v>-2.3619228833205046</v>
      </c>
      <c r="R115" s="45">
        <f t="shared" si="20"/>
        <v>-2.3619228833205046</v>
      </c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.75" customHeight="1" x14ac:dyDescent="0.2">
      <c r="A116" s="1"/>
      <c r="B116" s="1"/>
      <c r="C116" s="9" t="s">
        <v>8</v>
      </c>
      <c r="D116" s="9" t="s">
        <v>35</v>
      </c>
      <c r="E116" s="9"/>
      <c r="F116" s="1"/>
      <c r="G116" s="1"/>
      <c r="H116" s="46">
        <f>H114</f>
        <v>-34.088000000000001</v>
      </c>
      <c r="I116" s="46">
        <f t="shared" ref="I116:R116" si="21">SUM(I112,I115)</f>
        <v>14.77133134124349</v>
      </c>
      <c r="J116" s="46">
        <f t="shared" si="21"/>
        <v>11.554355017849318</v>
      </c>
      <c r="K116" s="46">
        <f t="shared" si="21"/>
        <v>12.614499505898323</v>
      </c>
      <c r="L116" s="46">
        <f t="shared" si="21"/>
        <v>11.550339319030948</v>
      </c>
      <c r="M116" s="46">
        <f t="shared" si="21"/>
        <v>10.548422463848265</v>
      </c>
      <c r="N116" s="46">
        <f t="shared" si="21"/>
        <v>10.548422463848265</v>
      </c>
      <c r="O116" s="46">
        <f t="shared" si="21"/>
        <v>10.548422463848265</v>
      </c>
      <c r="P116" s="46">
        <f t="shared" si="21"/>
        <v>10.548422463848265</v>
      </c>
      <c r="Q116" s="46">
        <f t="shared" si="21"/>
        <v>10.548422463848265</v>
      </c>
      <c r="R116" s="46">
        <f t="shared" si="21"/>
        <v>10.548422463848265</v>
      </c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2">
      <c r="A117" s="1"/>
      <c r="B117" s="1"/>
      <c r="C117" s="1" t="s">
        <v>7</v>
      </c>
      <c r="D117" s="1" t="s">
        <v>35</v>
      </c>
      <c r="E117" s="1"/>
      <c r="F117" s="1"/>
      <c r="G117" s="1"/>
      <c r="H117" s="44">
        <f t="shared" ref="H117:R117" si="22">H116/(1+$D$22)^H89</f>
        <v>-34.088000000000001</v>
      </c>
      <c r="I117" s="44">
        <f t="shared" si="22"/>
        <v>13.541145292466611</v>
      </c>
      <c r="J117" s="44">
        <f t="shared" si="22"/>
        <v>9.7099551357751999</v>
      </c>
      <c r="K117" s="44">
        <f t="shared" si="22"/>
        <v>9.7180090186394725</v>
      </c>
      <c r="L117" s="44">
        <f t="shared" si="22"/>
        <v>8.1571373389450823</v>
      </c>
      <c r="M117" s="44">
        <f t="shared" si="22"/>
        <v>6.8291445349928015</v>
      </c>
      <c r="N117" s="44">
        <f t="shared" si="22"/>
        <v>6.2603997050280169</v>
      </c>
      <c r="O117" s="44">
        <f t="shared" si="22"/>
        <v>5.739021083225059</v>
      </c>
      <c r="P117" s="44">
        <f t="shared" si="22"/>
        <v>5.2610639169331339</v>
      </c>
      <c r="Q117" s="44">
        <f t="shared" si="22"/>
        <v>4.8229119804002583</v>
      </c>
      <c r="R117" s="44">
        <f t="shared" si="22"/>
        <v>4.4212502143953669</v>
      </c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2">
      <c r="A118" s="1"/>
      <c r="B118" s="1"/>
      <c r="C118" s="1" t="s">
        <v>51</v>
      </c>
      <c r="D118" s="1" t="s">
        <v>35</v>
      </c>
      <c r="E118" s="1"/>
      <c r="F118" s="1"/>
      <c r="G118" s="1"/>
      <c r="H118" s="44">
        <f>H117</f>
        <v>-34.088000000000001</v>
      </c>
      <c r="I118" s="44">
        <f>H118+I117</f>
        <v>-20.546854707533392</v>
      </c>
      <c r="J118" s="44">
        <f t="shared" ref="J118:R118" si="23">I118+J117</f>
        <v>-10.836899571758192</v>
      </c>
      <c r="K118" s="44">
        <f t="shared" si="23"/>
        <v>-1.1188905531187192</v>
      </c>
      <c r="L118" s="44">
        <f t="shared" si="23"/>
        <v>7.0382467858263631</v>
      </c>
      <c r="M118" s="44">
        <f t="shared" si="23"/>
        <v>13.867391320819165</v>
      </c>
      <c r="N118" s="44">
        <f t="shared" si="23"/>
        <v>20.127791025847181</v>
      </c>
      <c r="O118" s="44">
        <f t="shared" si="23"/>
        <v>25.866812109072239</v>
      </c>
      <c r="P118" s="44">
        <f t="shared" si="23"/>
        <v>31.127876026005374</v>
      </c>
      <c r="Q118" s="44">
        <f t="shared" si="23"/>
        <v>35.950788006405631</v>
      </c>
      <c r="R118" s="44">
        <f t="shared" si="23"/>
        <v>40.372038220800995</v>
      </c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2">
      <c r="A119" s="1"/>
      <c r="B119" s="1"/>
      <c r="C119" s="1"/>
      <c r="D119" s="1"/>
      <c r="E119" s="1"/>
      <c r="F119" s="1"/>
      <c r="G119" s="1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44">
        <f>IF(H118&lt;0,(13-6)/12,0)</f>
        <v>0.58333333333333337</v>
      </c>
      <c r="I120" s="44">
        <f>IF(COUNTIF($H120:H120,"=0")=COUNTA($H120:H120),IF(I118&lt;0,(13-6)/12,0),IF(I118&lt;0,1,IF(I118=0,IF(H118&gt;=0,0,1),IF(H118&lt;0,-H118/I117,0))))</f>
        <v>1</v>
      </c>
      <c r="J120" s="44">
        <f>IF(COUNTIF($H120:I120,"=0")=COUNTA($H120:I120),IF(J118&lt;0,(13-6)/12,0),IF(J118&lt;0,1,IF(J118=0,IF(I118&gt;=0,0,1),IF(I118&lt;0,-I118/J117,0))))</f>
        <v>1</v>
      </c>
      <c r="K120" s="44">
        <f>IF(COUNTIF($H120:J120,"=0")=COUNTA($H120:J120),IF(K118&lt;0,(13-6)/12,0),IF(K118&lt;0,1,IF(K118=0,IF(J118&gt;=0,0,1),IF(J118&lt;0,-J118/K117,0))))</f>
        <v>1</v>
      </c>
      <c r="L120" s="44">
        <f>IF(COUNTIF($H120:K120,"=0")=COUNTA($H120:K120),IF(L118&lt;0,(13-6)/12,0),IF(L118&lt;0,1,IF(L118=0,IF(K118&gt;=0,0,1),IF(K118&lt;0,-K118/L117,0))))</f>
        <v>0.13716706077470792</v>
      </c>
      <c r="M120" s="44">
        <f>IF(COUNTIF($H120:L120,"=0")=COUNTA($H120:L120),IF(M118&lt;0,(13-6)/12,0),IF(M118&lt;0,1,IF(M118=0,IF(L118&gt;=0,0,1),IF(L118&lt;0,-L118/M117,0))))</f>
        <v>0</v>
      </c>
      <c r="N120" s="44">
        <f>IF(COUNTIF($H120:M120,"=0")=COUNTA($H120:M120),IF(N118&lt;0,(13-6)/12,0),IF(N118&lt;0,1,IF(N118=0,IF(M118&gt;=0,0,1),IF(M118&lt;0,-M118/N117,0))))</f>
        <v>0</v>
      </c>
      <c r="O120" s="44">
        <f>IF(COUNTIF($H120:N120,"=0")=COUNTA($H120:N120),IF(O118&lt;0,(13-6)/12,0),IF(O118&lt;0,1,IF(O118=0,IF(N118&gt;=0,0,1),IF(N118&lt;0,-N118/O117,0))))</f>
        <v>0</v>
      </c>
      <c r="P120" s="44">
        <f>IF(COUNTIF($H120:O120,"=0")=COUNTA($H120:O120),IF(P118&lt;0,(13-6)/12,0),IF(P118&lt;0,1,IF(P118=0,IF(O118&gt;=0,0,1),IF(O118&lt;0,-O118/P117,0))))</f>
        <v>0</v>
      </c>
      <c r="Q120" s="44">
        <f>IF(COUNTIF($H120:P120,"=0")=COUNTA($H120:P120),IF(Q118&lt;0,(13-6)/12,0),IF(Q118&lt;0,1,IF(Q118=0,IF(P118&gt;=0,0,1),IF(P118&lt;0,-P118/Q117,0))))</f>
        <v>0</v>
      </c>
      <c r="R120" s="44">
        <f>IF(COUNTIF($H120:Q120,"=0")=COUNTA($H120:Q120),IF(R118&lt;0,(13-6)/12,0),IF(R118&lt;0,1,IF(R118=0,IF(Q118&gt;=0,0,1),IF(Q118&lt;0,-Q118/R117,0))))</f>
        <v>0</v>
      </c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2">
      <c r="A121" s="1"/>
      <c r="B121" s="1"/>
      <c r="C121" s="1"/>
      <c r="D121" s="1" t="s">
        <v>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6" t="s">
        <v>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5" t="s">
        <v>4</v>
      </c>
      <c r="D123" s="4" t="s">
        <v>35</v>
      </c>
      <c r="E123" s="3"/>
      <c r="F123" s="81">
        <f>NPV(D22,I116:R116)+H116</f>
        <v>40.372038220801009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9"/>
      <c r="C125" s="5" t="s">
        <v>3</v>
      </c>
      <c r="D125" s="4" t="s">
        <v>35</v>
      </c>
      <c r="E125" s="3"/>
      <c r="F125" s="80">
        <f>SUM(H117:R117)</f>
        <v>40.372038220800995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7">
        <f>NPV(F129,I116:R116)+H116</f>
        <v>7.58898583363532E-4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6" t="s">
        <v>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5" t="s">
        <v>1</v>
      </c>
      <c r="D129" s="4" t="s">
        <v>0</v>
      </c>
      <c r="E129" s="3"/>
      <c r="F129" s="2">
        <v>0.34194554034342728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6" t="s">
        <v>48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49" t="s">
        <v>49</v>
      </c>
      <c r="D133" s="50" t="s">
        <v>27</v>
      </c>
      <c r="E133" s="51"/>
      <c r="F133" s="52">
        <f>IF(SUM(H120:R120)=0,0,SUM(H120:R120))</f>
        <v>3.7205003941080412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22"/>
      <c r="B137" s="26" t="s">
        <v>99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21"/>
      <c r="B139" s="21"/>
      <c r="C139" s="20"/>
      <c r="D139" s="19"/>
      <c r="E139" s="19"/>
      <c r="F139" s="88" t="s">
        <v>17</v>
      </c>
      <c r="G139" s="90"/>
      <c r="H139" s="18">
        <v>0</v>
      </c>
      <c r="I139" s="18">
        <v>1</v>
      </c>
      <c r="J139" s="18">
        <v>2</v>
      </c>
      <c r="K139" s="18">
        <v>3</v>
      </c>
      <c r="L139" s="18">
        <v>4</v>
      </c>
      <c r="M139" s="18">
        <v>5</v>
      </c>
      <c r="N139" s="18">
        <v>6</v>
      </c>
      <c r="O139" s="18">
        <v>7</v>
      </c>
      <c r="P139" s="18">
        <v>8</v>
      </c>
      <c r="Q139" s="18">
        <v>9</v>
      </c>
      <c r="R139" s="18">
        <v>10</v>
      </c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9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6" t="s">
        <v>100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 t="s">
        <v>31</v>
      </c>
      <c r="D142" s="1" t="s">
        <v>40</v>
      </c>
      <c r="E142" s="1"/>
      <c r="F142" s="1"/>
      <c r="G142" s="1"/>
      <c r="H142" s="44">
        <f>H92</f>
        <v>36.462328762522716</v>
      </c>
      <c r="I142" s="44">
        <f t="shared" ref="I142:R142" si="24">I92</f>
        <v>36.462328762522716</v>
      </c>
      <c r="J142" s="44">
        <f t="shared" si="24"/>
        <v>28.708361102610066</v>
      </c>
      <c r="K142" s="44">
        <f t="shared" si="24"/>
        <v>31.263656898661665</v>
      </c>
      <c r="L142" s="44">
        <f t="shared" si="24"/>
        <v>28.698681951867442</v>
      </c>
      <c r="M142" s="44">
        <f t="shared" si="24"/>
        <v>26.283733841583821</v>
      </c>
      <c r="N142" s="44">
        <f t="shared" si="24"/>
        <v>26.283733841583818</v>
      </c>
      <c r="O142" s="44">
        <f t="shared" si="24"/>
        <v>26.283733841583818</v>
      </c>
      <c r="P142" s="44">
        <f t="shared" si="24"/>
        <v>26.283733841583818</v>
      </c>
      <c r="Q142" s="44">
        <f t="shared" si="24"/>
        <v>26.283733841583818</v>
      </c>
      <c r="R142" s="44">
        <f t="shared" si="24"/>
        <v>26.283733841583818</v>
      </c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 ht="15.75" customHeight="1" x14ac:dyDescent="0.2">
      <c r="A143" s="1"/>
      <c r="B143" s="1"/>
      <c r="C143" s="1" t="s">
        <v>101</v>
      </c>
      <c r="D143" s="1" t="s">
        <v>18</v>
      </c>
      <c r="E143" s="1"/>
      <c r="F143" s="1"/>
      <c r="G143" s="1"/>
      <c r="H143" s="44">
        <f>IF(OR($D$85="BASE",$D$85="FIP"),0,H95+H94)</f>
        <v>0</v>
      </c>
      <c r="I143" s="44">
        <f>IF(OR($D$85="BASE",$D$85="FIP"),0,I95+I94)</f>
        <v>443.54088285714067</v>
      </c>
      <c r="J143" s="44">
        <f t="shared" ref="J143:R143" si="25">IF(OR($D$85="BASE",$D$85="FIP"),0,J95+J94)</f>
        <v>443.54088285714067</v>
      </c>
      <c r="K143" s="44">
        <f t="shared" si="25"/>
        <v>443.54088285714067</v>
      </c>
      <c r="L143" s="44">
        <f t="shared" si="25"/>
        <v>443.54088285714067</v>
      </c>
      <c r="M143" s="44">
        <f t="shared" si="25"/>
        <v>443.54088285714067</v>
      </c>
      <c r="N143" s="44">
        <f t="shared" si="25"/>
        <v>443.54088285714067</v>
      </c>
      <c r="O143" s="44">
        <f t="shared" si="25"/>
        <v>443.54088285714067</v>
      </c>
      <c r="P143" s="44">
        <f t="shared" si="25"/>
        <v>443.54088285714067</v>
      </c>
      <c r="Q143" s="44">
        <f t="shared" si="25"/>
        <v>443.54088285714067</v>
      </c>
      <c r="R143" s="44">
        <f t="shared" si="25"/>
        <v>443.54088285714067</v>
      </c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 ht="15.75" customHeight="1" x14ac:dyDescent="0.2">
      <c r="A144" s="1"/>
      <c r="B144" s="1"/>
      <c r="C144" s="1" t="s">
        <v>104</v>
      </c>
      <c r="D144" s="79" t="s">
        <v>35</v>
      </c>
      <c r="E144" s="1"/>
      <c r="F144" s="1"/>
      <c r="G144" s="1"/>
      <c r="H144" s="44">
        <f>-H142*H143/1000</f>
        <v>0</v>
      </c>
      <c r="I144" s="44">
        <f t="shared" ref="I144:R144" si="26">-I142*I143/1000</f>
        <v>-16.172533490356638</v>
      </c>
      <c r="J144" s="44">
        <f t="shared" si="26"/>
        <v>-12.733331828833265</v>
      </c>
      <c r="K144" s="44">
        <f t="shared" si="26"/>
        <v>-13.866709982175131</v>
      </c>
      <c r="L144" s="44">
        <f t="shared" si="26"/>
        <v>-12.729038729767575</v>
      </c>
      <c r="M144" s="44">
        <f t="shared" si="26"/>
        <v>-11.657910512878194</v>
      </c>
      <c r="N144" s="44">
        <f t="shared" si="26"/>
        <v>-11.657910512878193</v>
      </c>
      <c r="O144" s="44">
        <f t="shared" si="26"/>
        <v>-11.657910512878193</v>
      </c>
      <c r="P144" s="44">
        <f t="shared" si="26"/>
        <v>-11.657910512878193</v>
      </c>
      <c r="Q144" s="44">
        <f t="shared" si="26"/>
        <v>-11.657910512878193</v>
      </c>
      <c r="R144" s="44">
        <f t="shared" si="26"/>
        <v>-11.657910512878193</v>
      </c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 ht="15.75" customHeight="1" x14ac:dyDescent="0.2">
      <c r="A145" s="1"/>
      <c r="B145" s="1"/>
      <c r="C145" s="1" t="s">
        <v>15</v>
      </c>
      <c r="D145" s="79" t="s">
        <v>35</v>
      </c>
      <c r="E145" s="1"/>
      <c r="F145" s="1"/>
      <c r="G145" s="1"/>
      <c r="H145" s="44">
        <f>-($D$58*H143/1000)</f>
        <v>0</v>
      </c>
      <c r="I145" s="44">
        <f t="shared" ref="I145:R145" si="27">-($D$58*I143/1000)</f>
        <v>-1.1088522071428517</v>
      </c>
      <c r="J145" s="44">
        <f t="shared" si="27"/>
        <v>-1.1088522071428517</v>
      </c>
      <c r="K145" s="44">
        <f t="shared" si="27"/>
        <v>-1.1088522071428517</v>
      </c>
      <c r="L145" s="44">
        <f t="shared" si="27"/>
        <v>-1.1088522071428517</v>
      </c>
      <c r="M145" s="44">
        <f t="shared" si="27"/>
        <v>-1.1088522071428517</v>
      </c>
      <c r="N145" s="44">
        <f t="shared" si="27"/>
        <v>-1.1088522071428517</v>
      </c>
      <c r="O145" s="44">
        <f t="shared" si="27"/>
        <v>-1.1088522071428517</v>
      </c>
      <c r="P145" s="44">
        <f t="shared" si="27"/>
        <v>-1.1088522071428517</v>
      </c>
      <c r="Q145" s="44">
        <f t="shared" si="27"/>
        <v>-1.1088522071428517</v>
      </c>
      <c r="R145" s="44">
        <f t="shared" si="27"/>
        <v>-1.1088522071428517</v>
      </c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 ht="15.75" customHeight="1" x14ac:dyDescent="0.2">
      <c r="A146" s="1"/>
      <c r="B146" s="1"/>
      <c r="C146" s="42" t="s">
        <v>47</v>
      </c>
      <c r="D146" s="42" t="s">
        <v>35</v>
      </c>
      <c r="E146" s="43"/>
      <c r="F146" s="43"/>
      <c r="G146" s="43"/>
      <c r="H146" s="45">
        <f t="shared" ref="H146:R146" si="28">IF(H139=0,0,IF(OR($D$85="FIC",$D$85="COMBO"),-$D$55,0))</f>
        <v>0</v>
      </c>
      <c r="I146" s="45">
        <f t="shared" si="28"/>
        <v>-10</v>
      </c>
      <c r="J146" s="45">
        <f t="shared" si="28"/>
        <v>-10</v>
      </c>
      <c r="K146" s="45">
        <f t="shared" si="28"/>
        <v>-10</v>
      </c>
      <c r="L146" s="45">
        <f t="shared" si="28"/>
        <v>-10</v>
      </c>
      <c r="M146" s="45">
        <f t="shared" si="28"/>
        <v>-10</v>
      </c>
      <c r="N146" s="45">
        <f t="shared" si="28"/>
        <v>-10</v>
      </c>
      <c r="O146" s="45">
        <f t="shared" si="28"/>
        <v>-10</v>
      </c>
      <c r="P146" s="45">
        <f t="shared" si="28"/>
        <v>-10</v>
      </c>
      <c r="Q146" s="45">
        <f t="shared" si="28"/>
        <v>-10</v>
      </c>
      <c r="R146" s="45">
        <f t="shared" si="28"/>
        <v>-10</v>
      </c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 ht="15.75" customHeight="1" x14ac:dyDescent="0.2">
      <c r="A147" s="9"/>
      <c r="B147" s="9"/>
      <c r="C147" s="9" t="s">
        <v>15</v>
      </c>
      <c r="D147" s="24" t="s">
        <v>35</v>
      </c>
      <c r="E147" s="9"/>
      <c r="F147" s="9"/>
      <c r="G147" s="9"/>
      <c r="H147" s="46">
        <f>H144+H145+H146</f>
        <v>0</v>
      </c>
      <c r="I147" s="46">
        <f t="shared" ref="I147:R147" si="29">I144+I145+I146</f>
        <v>-27.281385697499491</v>
      </c>
      <c r="J147" s="46">
        <f t="shared" si="29"/>
        <v>-23.842184035976118</v>
      </c>
      <c r="K147" s="46">
        <f t="shared" si="29"/>
        <v>-24.975562189317984</v>
      </c>
      <c r="L147" s="46">
        <f t="shared" si="29"/>
        <v>-23.837890936910426</v>
      </c>
      <c r="M147" s="46">
        <f t="shared" si="29"/>
        <v>-22.766762720021045</v>
      </c>
      <c r="N147" s="46">
        <f t="shared" si="29"/>
        <v>-22.766762720021042</v>
      </c>
      <c r="O147" s="46">
        <f t="shared" si="29"/>
        <v>-22.766762720021042</v>
      </c>
      <c r="P147" s="46">
        <f t="shared" si="29"/>
        <v>-22.766762720021042</v>
      </c>
      <c r="Q147" s="46">
        <f t="shared" si="29"/>
        <v>-22.766762720021042</v>
      </c>
      <c r="R147" s="46">
        <f t="shared" si="29"/>
        <v>-22.766762720021042</v>
      </c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6" t="s">
        <v>105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 t="s">
        <v>31</v>
      </c>
      <c r="D150" s="1" t="s">
        <v>40</v>
      </c>
      <c r="E150" s="1"/>
      <c r="F150" s="1"/>
      <c r="G150" s="1"/>
      <c r="H150" s="44">
        <f>H78</f>
        <v>56.0958904038811</v>
      </c>
      <c r="I150" s="44">
        <f t="shared" ref="I150:R150" si="30">I78</f>
        <v>56.0958904038811</v>
      </c>
      <c r="J150" s="44">
        <f t="shared" si="30"/>
        <v>44.166709388630871</v>
      </c>
      <c r="K150" s="44">
        <f t="shared" si="30"/>
        <v>48.097933690248716</v>
      </c>
      <c r="L150" s="44">
        <f t="shared" si="30"/>
        <v>44.151818387488369</v>
      </c>
      <c r="M150" s="44">
        <f t="shared" si="30"/>
        <v>40.436513602436648</v>
      </c>
      <c r="N150" s="44">
        <f t="shared" si="30"/>
        <v>40.436513602436641</v>
      </c>
      <c r="O150" s="44">
        <f t="shared" si="30"/>
        <v>40.436513602436641</v>
      </c>
      <c r="P150" s="44">
        <f t="shared" si="30"/>
        <v>40.436513602436641</v>
      </c>
      <c r="Q150" s="44">
        <f t="shared" si="30"/>
        <v>40.436513602436641</v>
      </c>
      <c r="R150" s="44">
        <f t="shared" si="30"/>
        <v>40.436513602436641</v>
      </c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 ht="15.75" customHeight="1" x14ac:dyDescent="0.2">
      <c r="A151" s="1"/>
      <c r="B151" s="1"/>
      <c r="C151" s="1" t="s">
        <v>102</v>
      </c>
      <c r="D151" s="1" t="s">
        <v>18</v>
      </c>
      <c r="E151" s="1"/>
      <c r="F151" s="1"/>
      <c r="G151" s="1"/>
      <c r="H151" s="44">
        <f t="shared" ref="H151:R151" si="31">H143</f>
        <v>0</v>
      </c>
      <c r="I151" s="44">
        <f t="shared" si="31"/>
        <v>443.54088285714067</v>
      </c>
      <c r="J151" s="44">
        <f t="shared" si="31"/>
        <v>443.54088285714067</v>
      </c>
      <c r="K151" s="44">
        <f t="shared" si="31"/>
        <v>443.54088285714067</v>
      </c>
      <c r="L151" s="44">
        <f t="shared" si="31"/>
        <v>443.54088285714067</v>
      </c>
      <c r="M151" s="44">
        <f t="shared" si="31"/>
        <v>443.54088285714067</v>
      </c>
      <c r="N151" s="44">
        <f t="shared" si="31"/>
        <v>443.54088285714067</v>
      </c>
      <c r="O151" s="44">
        <f t="shared" si="31"/>
        <v>443.54088285714067</v>
      </c>
      <c r="P151" s="44">
        <f t="shared" si="31"/>
        <v>443.54088285714067</v>
      </c>
      <c r="Q151" s="44">
        <f t="shared" si="31"/>
        <v>443.54088285714067</v>
      </c>
      <c r="R151" s="44">
        <f t="shared" si="31"/>
        <v>443.54088285714067</v>
      </c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 ht="15.75" customHeight="1" x14ac:dyDescent="0.2">
      <c r="A152" s="1"/>
      <c r="B152" s="1"/>
      <c r="C152" s="1" t="s">
        <v>106</v>
      </c>
      <c r="D152" s="1" t="s">
        <v>35</v>
      </c>
      <c r="E152" s="1"/>
      <c r="F152" s="1"/>
      <c r="G152" s="1"/>
      <c r="H152" s="44">
        <f t="shared" ref="H152:R152" si="32">H150*H151/1000</f>
        <v>0</v>
      </c>
      <c r="I152" s="44">
        <f t="shared" si="32"/>
        <v>24.880820754394829</v>
      </c>
      <c r="J152" s="44">
        <f t="shared" si="32"/>
        <v>19.589741275128102</v>
      </c>
      <c r="K152" s="44">
        <f t="shared" si="32"/>
        <v>21.333399972577123</v>
      </c>
      <c r="L152" s="44">
        <f t="shared" si="32"/>
        <v>19.583136507334729</v>
      </c>
      <c r="M152" s="44">
        <f t="shared" si="32"/>
        <v>17.935246942889528</v>
      </c>
      <c r="N152" s="44">
        <f t="shared" si="32"/>
        <v>17.935246942889524</v>
      </c>
      <c r="O152" s="44">
        <f t="shared" si="32"/>
        <v>17.935246942889524</v>
      </c>
      <c r="P152" s="44">
        <f t="shared" si="32"/>
        <v>17.935246942889524</v>
      </c>
      <c r="Q152" s="44">
        <f t="shared" si="32"/>
        <v>17.935246942889524</v>
      </c>
      <c r="R152" s="44">
        <f t="shared" si="32"/>
        <v>17.935246942889524</v>
      </c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 ht="15.75" customHeight="1" x14ac:dyDescent="0.2">
      <c r="A153" s="1"/>
      <c r="B153" s="1"/>
      <c r="C153" s="42" t="s">
        <v>47</v>
      </c>
      <c r="D153" s="42" t="s">
        <v>35</v>
      </c>
      <c r="E153" s="42"/>
      <c r="F153" s="42"/>
      <c r="G153" s="42"/>
      <c r="H153" s="45">
        <f t="shared" ref="H153:R153" si="33">IF(H139=0,0,IF(OR($D$85="FIC",$D$85="COMBO"),+$D$55*$D$65,0))</f>
        <v>0</v>
      </c>
      <c r="I153" s="45">
        <f t="shared" si="33"/>
        <v>6</v>
      </c>
      <c r="J153" s="45">
        <f t="shared" si="33"/>
        <v>6</v>
      </c>
      <c r="K153" s="45">
        <f t="shared" si="33"/>
        <v>6</v>
      </c>
      <c r="L153" s="45">
        <f t="shared" si="33"/>
        <v>6</v>
      </c>
      <c r="M153" s="45">
        <f t="shared" si="33"/>
        <v>6</v>
      </c>
      <c r="N153" s="45">
        <f t="shared" si="33"/>
        <v>6</v>
      </c>
      <c r="O153" s="45">
        <f t="shared" si="33"/>
        <v>6</v>
      </c>
      <c r="P153" s="45">
        <f t="shared" si="33"/>
        <v>6</v>
      </c>
      <c r="Q153" s="45">
        <f t="shared" si="33"/>
        <v>6</v>
      </c>
      <c r="R153" s="45">
        <f t="shared" si="33"/>
        <v>6</v>
      </c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5.75" customHeight="1" x14ac:dyDescent="0.2">
      <c r="A154" s="9"/>
      <c r="B154" s="9"/>
      <c r="C154" s="9" t="s">
        <v>21</v>
      </c>
      <c r="D154" s="9" t="s">
        <v>35</v>
      </c>
      <c r="E154" s="9"/>
      <c r="F154" s="9"/>
      <c r="G154" s="9"/>
      <c r="H154" s="46">
        <f>H152+H153</f>
        <v>0</v>
      </c>
      <c r="I154" s="46">
        <f>I152+I153</f>
        <v>30.880820754394829</v>
      </c>
      <c r="J154" s="46">
        <f t="shared" ref="J154:R154" si="34">J152+J153</f>
        <v>25.589741275128102</v>
      </c>
      <c r="K154" s="46">
        <f t="shared" si="34"/>
        <v>27.333399972577123</v>
      </c>
      <c r="L154" s="46">
        <f t="shared" si="34"/>
        <v>25.583136507334729</v>
      </c>
      <c r="M154" s="46">
        <f t="shared" si="34"/>
        <v>23.935246942889528</v>
      </c>
      <c r="N154" s="46">
        <f t="shared" si="34"/>
        <v>23.935246942889524</v>
      </c>
      <c r="O154" s="46">
        <f t="shared" si="34"/>
        <v>23.935246942889524</v>
      </c>
      <c r="P154" s="46">
        <f t="shared" si="34"/>
        <v>23.935246942889524</v>
      </c>
      <c r="Q154" s="46">
        <f t="shared" si="34"/>
        <v>23.935246942889524</v>
      </c>
      <c r="R154" s="46">
        <f t="shared" si="34"/>
        <v>23.935246942889524</v>
      </c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42" t="s">
        <v>117</v>
      </c>
      <c r="D156" s="42" t="s">
        <v>35</v>
      </c>
      <c r="E156" s="42"/>
      <c r="F156" s="42"/>
      <c r="G156" s="42"/>
      <c r="H156" s="45">
        <f>H151*H150*$D$63/1000</f>
        <v>0</v>
      </c>
      <c r="I156" s="45">
        <f t="shared" ref="I156:R156" si="35">I151*I150*$D$63/1000</f>
        <v>3.7321231131592243</v>
      </c>
      <c r="J156" s="45">
        <f t="shared" si="35"/>
        <v>2.9384611912692149</v>
      </c>
      <c r="K156" s="45">
        <f t="shared" si="35"/>
        <v>3.2000099958865684</v>
      </c>
      <c r="L156" s="45">
        <f t="shared" si="35"/>
        <v>2.9374704761002093</v>
      </c>
      <c r="M156" s="45">
        <f t="shared" si="35"/>
        <v>2.6902870414334288</v>
      </c>
      <c r="N156" s="45">
        <f t="shared" si="35"/>
        <v>2.6902870414334283</v>
      </c>
      <c r="O156" s="45">
        <f t="shared" si="35"/>
        <v>2.6902870414334283</v>
      </c>
      <c r="P156" s="45">
        <f t="shared" si="35"/>
        <v>2.6902870414334283</v>
      </c>
      <c r="Q156" s="45">
        <f t="shared" si="35"/>
        <v>2.6902870414334283</v>
      </c>
      <c r="R156" s="45">
        <f t="shared" si="35"/>
        <v>2.6902870414334283</v>
      </c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 ht="15.75" customHeight="1" x14ac:dyDescent="0.2">
      <c r="A157" s="9"/>
      <c r="B157" s="9"/>
      <c r="C157" s="9" t="s">
        <v>105</v>
      </c>
      <c r="D157" s="24" t="s">
        <v>35</v>
      </c>
      <c r="E157" s="9"/>
      <c r="F157" s="9"/>
      <c r="G157" s="9"/>
      <c r="H157" s="46">
        <f>H156+H154</f>
        <v>0</v>
      </c>
      <c r="I157" s="46">
        <f t="shared" ref="I157:R157" si="36">I156+I154</f>
        <v>34.612943867554051</v>
      </c>
      <c r="J157" s="46">
        <f t="shared" si="36"/>
        <v>28.528202466397317</v>
      </c>
      <c r="K157" s="46">
        <f t="shared" si="36"/>
        <v>30.53340996846369</v>
      </c>
      <c r="L157" s="46">
        <f t="shared" si="36"/>
        <v>28.520606983434938</v>
      </c>
      <c r="M157" s="46">
        <f t="shared" si="36"/>
        <v>26.625533984322956</v>
      </c>
      <c r="N157" s="46">
        <f t="shared" si="36"/>
        <v>26.625533984322953</v>
      </c>
      <c r="O157" s="46">
        <f t="shared" si="36"/>
        <v>26.625533984322953</v>
      </c>
      <c r="P157" s="46">
        <f t="shared" si="36"/>
        <v>26.625533984322953</v>
      </c>
      <c r="Q157" s="46">
        <f t="shared" si="36"/>
        <v>26.625533984322953</v>
      </c>
      <c r="R157" s="46">
        <f t="shared" si="36"/>
        <v>26.625533984322953</v>
      </c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6" t="s">
        <v>50</v>
      </c>
      <c r="C159" s="1"/>
      <c r="D159" s="1"/>
      <c r="E159" s="1"/>
      <c r="F159" s="88" t="s">
        <v>17</v>
      </c>
      <c r="G159" s="90"/>
      <c r="H159" s="18">
        <v>0</v>
      </c>
      <c r="I159" s="18">
        <v>1</v>
      </c>
      <c r="J159" s="18">
        <v>2</v>
      </c>
      <c r="K159" s="18">
        <v>3</v>
      </c>
      <c r="L159" s="18">
        <v>4</v>
      </c>
      <c r="M159" s="18">
        <v>5</v>
      </c>
      <c r="N159" s="18">
        <v>6</v>
      </c>
      <c r="O159" s="18">
        <v>7</v>
      </c>
      <c r="P159" s="18">
        <v>8</v>
      </c>
      <c r="Q159" s="18">
        <v>9</v>
      </c>
      <c r="R159" s="18">
        <v>10</v>
      </c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 t="s">
        <v>16</v>
      </c>
      <c r="D160" s="1" t="s">
        <v>35</v>
      </c>
      <c r="E160" s="1"/>
      <c r="F160" s="1"/>
      <c r="G160" s="1"/>
      <c r="H160" s="44">
        <f>H157</f>
        <v>0</v>
      </c>
      <c r="I160" s="44">
        <f t="shared" ref="I160:R160" si="37">I157</f>
        <v>34.612943867554051</v>
      </c>
      <c r="J160" s="44">
        <f t="shared" si="37"/>
        <v>28.528202466397317</v>
      </c>
      <c r="K160" s="44">
        <f t="shared" si="37"/>
        <v>30.53340996846369</v>
      </c>
      <c r="L160" s="44">
        <f t="shared" si="37"/>
        <v>28.520606983434938</v>
      </c>
      <c r="M160" s="44">
        <f t="shared" si="37"/>
        <v>26.625533984322956</v>
      </c>
      <c r="N160" s="44">
        <f t="shared" si="37"/>
        <v>26.625533984322953</v>
      </c>
      <c r="O160" s="44">
        <f t="shared" si="37"/>
        <v>26.625533984322953</v>
      </c>
      <c r="P160" s="44">
        <f t="shared" si="37"/>
        <v>26.625533984322953</v>
      </c>
      <c r="Q160" s="44">
        <f t="shared" si="37"/>
        <v>26.625533984322953</v>
      </c>
      <c r="R160" s="44">
        <f t="shared" si="37"/>
        <v>26.625533984322953</v>
      </c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2">
      <c r="A161" s="1"/>
      <c r="B161" s="1"/>
      <c r="C161" s="1" t="s">
        <v>15</v>
      </c>
      <c r="D161" s="17" t="s">
        <v>35</v>
      </c>
      <c r="E161" s="1"/>
      <c r="F161" s="1"/>
      <c r="G161" s="1"/>
      <c r="H161" s="44">
        <f>H147</f>
        <v>0</v>
      </c>
      <c r="I161" s="44">
        <f t="shared" ref="I161:R161" si="38">I147</f>
        <v>-27.281385697499491</v>
      </c>
      <c r="J161" s="44">
        <f t="shared" si="38"/>
        <v>-23.842184035976118</v>
      </c>
      <c r="K161" s="44">
        <f t="shared" si="38"/>
        <v>-24.975562189317984</v>
      </c>
      <c r="L161" s="44">
        <f t="shared" si="38"/>
        <v>-23.837890936910426</v>
      </c>
      <c r="M161" s="44">
        <f t="shared" si="38"/>
        <v>-22.766762720021045</v>
      </c>
      <c r="N161" s="44">
        <f t="shared" si="38"/>
        <v>-22.766762720021042</v>
      </c>
      <c r="O161" s="44">
        <f t="shared" si="38"/>
        <v>-22.766762720021042</v>
      </c>
      <c r="P161" s="44">
        <f t="shared" si="38"/>
        <v>-22.766762720021042</v>
      </c>
      <c r="Q161" s="44">
        <f t="shared" si="38"/>
        <v>-22.766762720021042</v>
      </c>
      <c r="R161" s="44">
        <f t="shared" si="38"/>
        <v>-22.766762720021042</v>
      </c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2">
      <c r="A162" s="1"/>
      <c r="B162" s="1"/>
      <c r="C162" s="13" t="s">
        <v>14</v>
      </c>
      <c r="D162" s="13" t="s">
        <v>35</v>
      </c>
      <c r="E162" s="13"/>
      <c r="F162" s="13"/>
      <c r="G162" s="13"/>
      <c r="H162" s="45">
        <f>-D107</f>
        <v>0</v>
      </c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2"/>
      <c r="T162" s="42"/>
      <c r="U162" s="42"/>
      <c r="V162" s="13"/>
      <c r="W162" s="13"/>
      <c r="X162" s="13"/>
      <c r="Y162" s="13"/>
      <c r="Z162" s="13"/>
      <c r="AA162" s="13"/>
    </row>
    <row r="163" spans="1:27" ht="15.75" customHeight="1" x14ac:dyDescent="0.2">
      <c r="A163" s="9"/>
      <c r="B163" s="9"/>
      <c r="C163" s="9" t="s">
        <v>13</v>
      </c>
      <c r="D163" s="9" t="s">
        <v>35</v>
      </c>
      <c r="E163" s="9"/>
      <c r="F163" s="9"/>
      <c r="G163" s="53"/>
      <c r="H163" s="48">
        <f>SUM(H160:H162)</f>
        <v>0</v>
      </c>
      <c r="I163" s="48">
        <f>SUM(I160:I161)</f>
        <v>7.33155817005456</v>
      </c>
      <c r="J163" s="48">
        <f t="shared" ref="J163:R163" si="39">SUM(J160:J161)</f>
        <v>4.6860184304211998</v>
      </c>
      <c r="K163" s="48">
        <f t="shared" si="39"/>
        <v>5.5578477791457068</v>
      </c>
      <c r="L163" s="48">
        <f t="shared" si="39"/>
        <v>4.6827160465245115</v>
      </c>
      <c r="M163" s="48">
        <f t="shared" si="39"/>
        <v>3.858771264301911</v>
      </c>
      <c r="N163" s="48">
        <f t="shared" si="39"/>
        <v>3.858771264301911</v>
      </c>
      <c r="O163" s="48">
        <f t="shared" si="39"/>
        <v>3.858771264301911</v>
      </c>
      <c r="P163" s="48">
        <f t="shared" si="39"/>
        <v>3.858771264301911</v>
      </c>
      <c r="Q163" s="48">
        <f t="shared" si="39"/>
        <v>3.858771264301911</v>
      </c>
      <c r="R163" s="48">
        <f t="shared" si="39"/>
        <v>3.858771264301911</v>
      </c>
      <c r="S163" s="47"/>
      <c r="T163" s="47"/>
      <c r="U163" s="15"/>
      <c r="V163" s="15"/>
      <c r="W163" s="15"/>
      <c r="X163" s="15"/>
      <c r="Y163" s="15"/>
      <c r="Z163" s="15"/>
      <c r="AA163" s="15"/>
    </row>
    <row r="164" spans="1:27" ht="15.75" customHeight="1" x14ac:dyDescent="0.2">
      <c r="A164" s="9"/>
      <c r="B164" s="9"/>
      <c r="C164" s="4" t="s">
        <v>12</v>
      </c>
      <c r="D164" s="4" t="s">
        <v>35</v>
      </c>
      <c r="E164" s="4"/>
      <c r="F164" s="4"/>
      <c r="G164" s="53"/>
      <c r="H164" s="48">
        <f>H163</f>
        <v>0</v>
      </c>
      <c r="I164" s="48">
        <f t="shared" ref="I164:R164" si="40">I163</f>
        <v>7.33155817005456</v>
      </c>
      <c r="J164" s="48">
        <f t="shared" si="40"/>
        <v>4.6860184304211998</v>
      </c>
      <c r="K164" s="48">
        <f t="shared" si="40"/>
        <v>5.5578477791457068</v>
      </c>
      <c r="L164" s="48">
        <f t="shared" si="40"/>
        <v>4.6827160465245115</v>
      </c>
      <c r="M164" s="48">
        <f t="shared" si="40"/>
        <v>3.858771264301911</v>
      </c>
      <c r="N164" s="48">
        <f t="shared" si="40"/>
        <v>3.858771264301911</v>
      </c>
      <c r="O164" s="48">
        <f t="shared" si="40"/>
        <v>3.858771264301911</v>
      </c>
      <c r="P164" s="48">
        <f t="shared" si="40"/>
        <v>3.858771264301911</v>
      </c>
      <c r="Q164" s="48">
        <f t="shared" si="40"/>
        <v>3.858771264301911</v>
      </c>
      <c r="R164" s="48">
        <f t="shared" si="40"/>
        <v>3.858771264301911</v>
      </c>
      <c r="S164" s="25"/>
      <c r="T164" s="25"/>
      <c r="U164" s="14"/>
      <c r="V164" s="14"/>
      <c r="W164" s="14"/>
      <c r="X164" s="14"/>
      <c r="Y164" s="14"/>
      <c r="Z164" s="14"/>
      <c r="AA164" s="14"/>
    </row>
    <row r="165" spans="1:27" ht="15.75" customHeight="1" x14ac:dyDescent="0.2">
      <c r="A165" s="11"/>
      <c r="B165" s="11"/>
      <c r="C165" s="11" t="s">
        <v>11</v>
      </c>
      <c r="D165" s="11" t="s">
        <v>35</v>
      </c>
      <c r="E165" s="11"/>
      <c r="F165" s="11"/>
      <c r="G165" s="11"/>
      <c r="H165" s="44">
        <f>0</f>
        <v>0</v>
      </c>
      <c r="I165" s="44">
        <f>0</f>
        <v>0</v>
      </c>
      <c r="J165" s="44">
        <f>0</f>
        <v>0</v>
      </c>
      <c r="K165" s="44">
        <f>0</f>
        <v>0</v>
      </c>
      <c r="L165" s="44">
        <f>0</f>
        <v>0</v>
      </c>
      <c r="M165" s="44">
        <f>0</f>
        <v>0</v>
      </c>
      <c r="N165" s="44">
        <f>0</f>
        <v>0</v>
      </c>
      <c r="O165" s="44">
        <f>0</f>
        <v>0</v>
      </c>
      <c r="P165" s="44">
        <f>0</f>
        <v>0</v>
      </c>
      <c r="Q165" s="44">
        <f>0</f>
        <v>0</v>
      </c>
      <c r="R165" s="44">
        <f>0</f>
        <v>0</v>
      </c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2">
      <c r="A166" s="1"/>
      <c r="B166" s="1"/>
      <c r="C166" s="1" t="s">
        <v>10</v>
      </c>
      <c r="D166" s="1" t="s">
        <v>35</v>
      </c>
      <c r="E166" s="1"/>
      <c r="F166" s="1"/>
      <c r="G166" s="1"/>
      <c r="H166" s="44">
        <f t="shared" ref="H166:R166" si="41">SUM(H164:H165)</f>
        <v>0</v>
      </c>
      <c r="I166" s="44">
        <f t="shared" si="41"/>
        <v>7.33155817005456</v>
      </c>
      <c r="J166" s="44">
        <f t="shared" si="41"/>
        <v>4.6860184304211998</v>
      </c>
      <c r="K166" s="44">
        <f t="shared" si="41"/>
        <v>5.5578477791457068</v>
      </c>
      <c r="L166" s="44">
        <f t="shared" si="41"/>
        <v>4.6827160465245115</v>
      </c>
      <c r="M166" s="44">
        <f t="shared" si="41"/>
        <v>3.858771264301911</v>
      </c>
      <c r="N166" s="44">
        <f t="shared" si="41"/>
        <v>3.858771264301911</v>
      </c>
      <c r="O166" s="44">
        <f t="shared" si="41"/>
        <v>3.858771264301911</v>
      </c>
      <c r="P166" s="44">
        <f t="shared" si="41"/>
        <v>3.858771264301911</v>
      </c>
      <c r="Q166" s="44">
        <f t="shared" si="41"/>
        <v>3.858771264301911</v>
      </c>
      <c r="R166" s="44">
        <f t="shared" si="41"/>
        <v>3.858771264301911</v>
      </c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2">
      <c r="A167" s="1"/>
      <c r="B167" s="1"/>
      <c r="C167" s="13" t="s">
        <v>9</v>
      </c>
      <c r="D167" s="13" t="s">
        <v>35</v>
      </c>
      <c r="E167" s="13"/>
      <c r="F167" s="13"/>
      <c r="G167" s="42"/>
      <c r="H167" s="45"/>
      <c r="I167" s="45">
        <f t="shared" ref="I167:R167" si="42">-I166*$D$23</f>
        <v>-1.7595739608130943</v>
      </c>
      <c r="J167" s="45">
        <f t="shared" si="42"/>
        <v>-1.1246444233010879</v>
      </c>
      <c r="K167" s="45">
        <f t="shared" si="42"/>
        <v>-1.3338834669949695</v>
      </c>
      <c r="L167" s="45">
        <f t="shared" si="42"/>
        <v>-1.1238518511658826</v>
      </c>
      <c r="M167" s="45">
        <f t="shared" si="42"/>
        <v>-0.92610510343245855</v>
      </c>
      <c r="N167" s="45">
        <f t="shared" si="42"/>
        <v>-0.92610510343245855</v>
      </c>
      <c r="O167" s="45">
        <f t="shared" si="42"/>
        <v>-0.92610510343245855</v>
      </c>
      <c r="P167" s="45">
        <f t="shared" si="42"/>
        <v>-0.92610510343245855</v>
      </c>
      <c r="Q167" s="45">
        <f t="shared" si="42"/>
        <v>-0.92610510343245855</v>
      </c>
      <c r="R167" s="45">
        <f t="shared" si="42"/>
        <v>-0.92610510343245855</v>
      </c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customHeight="1" x14ac:dyDescent="0.2">
      <c r="A168" s="1"/>
      <c r="B168" s="1"/>
      <c r="C168" s="9" t="s">
        <v>8</v>
      </c>
      <c r="D168" s="9" t="s">
        <v>35</v>
      </c>
      <c r="E168" s="9"/>
      <c r="F168" s="1"/>
      <c r="G168" s="1"/>
      <c r="H168" s="46">
        <f>H166</f>
        <v>0</v>
      </c>
      <c r="I168" s="46">
        <f t="shared" ref="I168:R168" si="43">SUM(I164,I167)</f>
        <v>5.5719842092414655</v>
      </c>
      <c r="J168" s="46">
        <f t="shared" si="43"/>
        <v>3.5613740071201119</v>
      </c>
      <c r="K168" s="46">
        <f t="shared" si="43"/>
        <v>4.2239643121507378</v>
      </c>
      <c r="L168" s="46">
        <f t="shared" si="43"/>
        <v>3.5588641953586286</v>
      </c>
      <c r="M168" s="46">
        <f t="shared" si="43"/>
        <v>2.9326661608694522</v>
      </c>
      <c r="N168" s="46">
        <f t="shared" si="43"/>
        <v>2.9326661608694522</v>
      </c>
      <c r="O168" s="46">
        <f t="shared" si="43"/>
        <v>2.9326661608694522</v>
      </c>
      <c r="P168" s="46">
        <f t="shared" si="43"/>
        <v>2.9326661608694522</v>
      </c>
      <c r="Q168" s="46">
        <f t="shared" si="43"/>
        <v>2.9326661608694522</v>
      </c>
      <c r="R168" s="46">
        <f t="shared" si="43"/>
        <v>2.9326661608694522</v>
      </c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2">
      <c r="A169" s="1"/>
      <c r="B169" s="1"/>
      <c r="C169" s="1" t="s">
        <v>7</v>
      </c>
      <c r="D169" s="1" t="s">
        <v>35</v>
      </c>
      <c r="E169" s="1"/>
      <c r="F169" s="1"/>
      <c r="G169" s="1"/>
      <c r="H169" s="44">
        <f t="shared" ref="H169:R169" si="44">H168/(1+$D$22)^H139</f>
        <v>0</v>
      </c>
      <c r="I169" s="44">
        <f t="shared" si="44"/>
        <v>5.1079382082506779</v>
      </c>
      <c r="J169" s="44">
        <f t="shared" si="44"/>
        <v>2.9928785966357614</v>
      </c>
      <c r="K169" s="44">
        <f t="shared" si="44"/>
        <v>3.2540746670685241</v>
      </c>
      <c r="L169" s="44">
        <f t="shared" si="44"/>
        <v>2.513358543879574</v>
      </c>
      <c r="M169" s="44">
        <f t="shared" si="44"/>
        <v>1.8986347156742043</v>
      </c>
      <c r="N169" s="44">
        <f t="shared" si="44"/>
        <v>1.740512615168317</v>
      </c>
      <c r="O169" s="44">
        <f t="shared" si="44"/>
        <v>1.5955592397794753</v>
      </c>
      <c r="P169" s="44">
        <f t="shared" si="44"/>
        <v>1.4626778717139399</v>
      </c>
      <c r="Q169" s="44">
        <f t="shared" si="44"/>
        <v>1.340863130031646</v>
      </c>
      <c r="R169" s="44">
        <f t="shared" si="44"/>
        <v>1.2291933639301589</v>
      </c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2">
      <c r="A170" s="1"/>
      <c r="B170" s="1"/>
      <c r="C170" s="1" t="s">
        <v>51</v>
      </c>
      <c r="D170" s="1" t="s">
        <v>35</v>
      </c>
      <c r="E170" s="1"/>
      <c r="F170" s="1"/>
      <c r="G170" s="1"/>
      <c r="H170" s="44">
        <f>H169</f>
        <v>0</v>
      </c>
      <c r="I170" s="44">
        <f>H170+I169</f>
        <v>5.1079382082506779</v>
      </c>
      <c r="J170" s="44">
        <f t="shared" ref="J170:R170" si="45">I170+J169</f>
        <v>8.1008168048864384</v>
      </c>
      <c r="K170" s="44">
        <f t="shared" si="45"/>
        <v>11.354891471954963</v>
      </c>
      <c r="L170" s="44">
        <f t="shared" si="45"/>
        <v>13.868250015834537</v>
      </c>
      <c r="M170" s="44">
        <f t="shared" si="45"/>
        <v>15.766884731508741</v>
      </c>
      <c r="N170" s="44">
        <f t="shared" si="45"/>
        <v>17.50739734667706</v>
      </c>
      <c r="O170" s="44">
        <f t="shared" si="45"/>
        <v>19.102956586456536</v>
      </c>
      <c r="P170" s="44">
        <f t="shared" si="45"/>
        <v>20.565634458170475</v>
      </c>
      <c r="Q170" s="44">
        <f t="shared" si="45"/>
        <v>21.906497588202122</v>
      </c>
      <c r="R170" s="44">
        <f t="shared" si="45"/>
        <v>23.135690952132279</v>
      </c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44">
        <f>IF(H170&lt;0,(13-6)/12,0)</f>
        <v>0</v>
      </c>
      <c r="I172" s="44">
        <f>IF(COUNTIF($H172:H172,"=0")=COUNTA($H172:H172),IF(I170&lt;0,(13-6)/12,0),IF(I170&lt;0,1,IF(I170=0,IF(H170&gt;=0,0,1),IF(H170&lt;0,-H170/I169,0))))</f>
        <v>0</v>
      </c>
      <c r="J172" s="44">
        <f>IF(COUNTIF($H172:I172,"=0")=COUNTA($H172:I172),IF(J170&lt;0,(13-6)/12,0),IF(J170&lt;0,1,IF(J170=0,IF(I170&gt;=0,0,1),IF(I170&lt;0,-I170/J169,0))))</f>
        <v>0</v>
      </c>
      <c r="K172" s="44">
        <f>IF(COUNTIF($H172:J172,"=0")=COUNTA($H172:J172),IF(K170&lt;0,(13-6)/12,0),IF(K170&lt;0,1,IF(K170=0,IF(J170&gt;=0,0,1),IF(J170&lt;0,-J170/K169,0))))</f>
        <v>0</v>
      </c>
      <c r="L172" s="44">
        <f>IF(COUNTIF($H172:K172,"=0")=COUNTA($H172:K172),IF(L170&lt;0,(13-6)/12,0),IF(L170&lt;0,1,IF(L170=0,IF(K170&gt;=0,0,1),IF(K170&lt;0,-K170/L169,0))))</f>
        <v>0</v>
      </c>
      <c r="M172" s="44">
        <f>IF(COUNTIF($H172:L172,"=0")=COUNTA($H172:L172),IF(M170&lt;0,(13-6)/12,0),IF(M170&lt;0,1,IF(M170=0,IF(L170&gt;=0,0,1),IF(L170&lt;0,-L170/M169,0))))</f>
        <v>0</v>
      </c>
      <c r="N172" s="44">
        <f>IF(COUNTIF($H172:M172,"=0")=COUNTA($H172:M172),IF(N170&lt;0,(13-6)/12,0),IF(N170&lt;0,1,IF(N170=0,IF(M170&gt;=0,0,1),IF(M170&lt;0,-M170/N169,0))))</f>
        <v>0</v>
      </c>
      <c r="O172" s="44">
        <f>IF(COUNTIF($H172:N172,"=0")=COUNTA($H172:N172),IF(O170&lt;0,(13-6)/12,0),IF(O170&lt;0,1,IF(O170=0,IF(N170&gt;=0,0,1),IF(N170&lt;0,-N170/O169,0))))</f>
        <v>0</v>
      </c>
      <c r="P172" s="44">
        <f>IF(COUNTIF($H172:O172,"=0")=COUNTA($H172:O172),IF(P170&lt;0,(13-6)/12,0),IF(P170&lt;0,1,IF(P170=0,IF(O170&gt;=0,0,1),IF(O170&lt;0,-O170/P169,0))))</f>
        <v>0</v>
      </c>
      <c r="Q172" s="44">
        <f>IF(COUNTIF($H172:P172,"=0")=COUNTA($H172:P172),IF(Q170&lt;0,(13-6)/12,0),IF(Q170&lt;0,1,IF(Q170=0,IF(P170&gt;=0,0,1),IF(P170&lt;0,-P170/Q169,0))))</f>
        <v>0</v>
      </c>
      <c r="R172" s="44">
        <f>IF(COUNTIF($H172:Q172,"=0")=COUNTA($H172:Q172),IF(R170&lt;0,(13-6)/12,0),IF(R170&lt;0,1,IF(R170=0,IF(Q170&gt;=0,0,1),IF(Q170&lt;0,-Q170/R169,0))))</f>
        <v>0</v>
      </c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2">
      <c r="A173" s="1"/>
      <c r="B173" s="1"/>
      <c r="C173" s="1"/>
      <c r="D173" s="1" t="s">
        <v>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6" t="s">
        <v>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5" t="s">
        <v>4</v>
      </c>
      <c r="D175" s="4" t="s">
        <v>35</v>
      </c>
      <c r="E175" s="3"/>
      <c r="F175" s="10">
        <f>NPV(D82,I168:R168)+H168</f>
        <v>34.512183689087657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9"/>
      <c r="C177" s="5" t="s">
        <v>3</v>
      </c>
      <c r="D177" s="4" t="s">
        <v>35</v>
      </c>
      <c r="E177" s="3"/>
      <c r="F177" s="8">
        <f>SUM(H169:R169)</f>
        <v>23.135690952132279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7">
        <f>NPV(F181,I168:R168)+H168</f>
        <v>12.202044407256111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6" t="s">
        <v>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5" t="s">
        <v>1</v>
      </c>
      <c r="D181" s="4" t="s">
        <v>0</v>
      </c>
      <c r="E181" s="3"/>
      <c r="F181" s="2">
        <v>0.30256107521085068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6" t="s">
        <v>112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49" t="s">
        <v>113</v>
      </c>
      <c r="D185" s="50" t="s">
        <v>35</v>
      </c>
      <c r="E185" s="51"/>
      <c r="F185" s="52">
        <f>AVERAGE(I169:R169)</f>
        <v>2.3135690952132277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49" t="s">
        <v>114</v>
      </c>
      <c r="D186" s="50" t="s">
        <v>40</v>
      </c>
      <c r="E186" s="51"/>
      <c r="F186" s="52">
        <f>F185*1000/I151</f>
        <v>5.2161349373478192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44">
        <f>SUM(H170:R170)</f>
        <v>156.41695816407383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.7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.7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.7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.7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5.7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5.7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5.7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5.75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5.75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5.75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5.75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5.75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5.75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5.75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5.75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5.75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5.75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5.75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5.75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5.75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5.75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5.75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5.75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5.75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5.75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5.75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5.75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5.75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5.75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5.75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5.75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5.75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5.75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5.75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5.75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5.75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5.75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5.75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5.75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5.75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5.75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5.75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5.75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5.75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5.75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5.75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5.75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5.75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5.75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5.75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5.75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5.75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5.75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5.75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5.75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5.75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5.75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5.75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5.75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5.75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5.75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5.75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5.75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5.75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5.75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5.75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5.75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5.75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5.75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5.75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5.75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5.75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5.75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5.75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5.75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5.75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5.75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5.75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5.75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5.75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5.75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</sheetData>
  <dataConsolidate/>
  <mergeCells count="5">
    <mergeCell ref="C3:G3"/>
    <mergeCell ref="F89:G89"/>
    <mergeCell ref="F107:G107"/>
    <mergeCell ref="F139:G139"/>
    <mergeCell ref="F159:G159"/>
  </mergeCells>
  <dataValidations count="3">
    <dataValidation type="list" allowBlank="1" showInputMessage="1" showErrorMessage="1" sqref="D85" xr:uid="{26963109-C433-2545-B1A5-8A7E65A444C5}">
      <formula1>"BASE,FIP,FIC,COMBO"</formula1>
    </dataValidation>
    <dataValidation type="list" allowBlank="1" showInputMessage="1" showErrorMessage="1" sqref="D83" xr:uid="{E7797241-B5F4-F144-B475-0A2FBADA131D}">
      <formula1>"0.05,0.1,0.15,0.2,0.25"</formula1>
    </dataValidation>
    <dataValidation type="list" allowBlank="1" showInputMessage="1" showErrorMessage="1" sqref="D84" xr:uid="{1D55B181-443B-7842-955C-1FB2EAAA8014}">
      <formula1>"0.5,0.55,0.6,0.65,0.7"</formula1>
    </dataValidation>
  </dataValidations>
  <hyperlinks>
    <hyperlink ref="G48" r:id="rId1" xr:uid="{58BC069D-8E2E-C647-818C-90410EA19835}"/>
    <hyperlink ref="G58" r:id="rId2" xr:uid="{606F60F1-30CF-5742-854D-7C8EE368BFC9}"/>
    <hyperlink ref="G57" r:id="rId3" xr:uid="{A60D540C-13E5-5C42-855F-8D6876D198A0}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4071-521B-2548-AB48-D961C125187C}">
  <dimension ref="A1:AB1089"/>
  <sheetViews>
    <sheetView showGridLines="0" topLeftCell="A162" zoomScaleNormal="100" workbookViewId="0">
      <pane xSplit="7" topLeftCell="H1" activePane="topRight" state="frozen"/>
      <selection pane="topRight" activeCell="D83" sqref="D83"/>
    </sheetView>
  </sheetViews>
  <sheetFormatPr baseColWidth="10" defaultColWidth="11.1640625" defaultRowHeight="15" customHeight="1" outlineLevelRow="1" x14ac:dyDescent="0.2"/>
  <cols>
    <col min="1" max="1" width="2.1640625" customWidth="1"/>
    <col min="2" max="2" width="4.6640625" customWidth="1"/>
    <col min="3" max="3" width="47.6640625" customWidth="1"/>
    <col min="4" max="4" width="14" customWidth="1"/>
    <col min="5" max="5" width="2" customWidth="1"/>
    <col min="6" max="6" width="20.83203125" customWidth="1"/>
    <col min="7" max="7" width="11.33203125" bestFit="1" customWidth="1"/>
    <col min="8" max="8" width="13.5" customWidth="1"/>
    <col min="9" max="22" width="12.5" customWidth="1"/>
    <col min="23" max="27" width="12" customWidth="1"/>
  </cols>
  <sheetData>
    <row r="1" spans="1:27" ht="15.75" customHeight="1" x14ac:dyDescent="0.2">
      <c r="A1" s="1"/>
      <c r="B1" s="33" t="s">
        <v>38</v>
      </c>
      <c r="C1" s="33"/>
      <c r="D1" s="33"/>
      <c r="E1" s="33"/>
      <c r="F1" s="33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1.5" customHeight="1" x14ac:dyDescent="0.2">
      <c r="A3" s="31"/>
      <c r="B3" s="20"/>
      <c r="C3" s="86" t="s">
        <v>39</v>
      </c>
      <c r="D3" s="87"/>
      <c r="E3" s="87"/>
      <c r="F3" s="87"/>
      <c r="G3" s="87"/>
      <c r="H3" s="32"/>
      <c r="I3" s="32"/>
      <c r="J3" s="32"/>
      <c r="K3" s="32"/>
      <c r="L3" s="32"/>
      <c r="M3" s="32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s="41" customFormat="1" ht="25" customHeight="1" x14ac:dyDescent="0.2">
      <c r="A6" s="39"/>
      <c r="B6" s="40" t="s">
        <v>29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</row>
    <row r="7" spans="1:27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61" customFormat="1" ht="15.75" customHeight="1" outlineLevel="1" x14ac:dyDescent="0.2">
      <c r="A8" s="60"/>
      <c r="B8" s="62" t="s">
        <v>63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</row>
    <row r="9" spans="1:27" ht="15.75" customHeight="1" outlineLevel="1" x14ac:dyDescent="0.2">
      <c r="A9" s="1"/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" outlineLevel="1" x14ac:dyDescent="0.2">
      <c r="C10" t="s">
        <v>54</v>
      </c>
      <c r="D10" s="36">
        <v>66458.513999999675</v>
      </c>
      <c r="F10" t="s">
        <v>111</v>
      </c>
    </row>
    <row r="11" spans="1:27" ht="16" outlineLevel="1" x14ac:dyDescent="0.2">
      <c r="C11" t="s">
        <v>55</v>
      </c>
      <c r="D11" s="36">
        <v>63330.169000001297</v>
      </c>
      <c r="F11" t="s">
        <v>111</v>
      </c>
    </row>
    <row r="12" spans="1:27" ht="16" outlineLevel="1" x14ac:dyDescent="0.2">
      <c r="C12" s="55" t="s">
        <v>56</v>
      </c>
      <c r="D12" s="56">
        <v>180689.93499999747</v>
      </c>
      <c r="E12" s="43"/>
      <c r="F12" s="43" t="s">
        <v>111</v>
      </c>
    </row>
    <row r="13" spans="1:27" ht="16" outlineLevel="1" x14ac:dyDescent="0.2">
      <c r="C13" s="57" t="s">
        <v>57</v>
      </c>
      <c r="D13" s="58">
        <f>SUM(D10:D12)</f>
        <v>310478.61799999845</v>
      </c>
      <c r="E13" s="57"/>
      <c r="F13" s="57" t="s">
        <v>111</v>
      </c>
    </row>
    <row r="14" spans="1:27" ht="15.75" customHeight="1" outlineLevel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s="61" customFormat="1" ht="15.75" customHeight="1" outlineLevel="1" x14ac:dyDescent="0.2">
      <c r="A15" s="60"/>
      <c r="B15" s="62" t="s">
        <v>108</v>
      </c>
      <c r="C15" s="60"/>
      <c r="D15" s="60"/>
      <c r="E15" s="60"/>
      <c r="F15" s="60"/>
      <c r="G15" s="60" t="s">
        <v>72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spans="1:27" ht="15.75" customHeight="1" outlineLevel="1" x14ac:dyDescent="0.2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" outlineLevel="1" x14ac:dyDescent="0.2">
      <c r="C17" t="s">
        <v>58</v>
      </c>
      <c r="D17" s="59">
        <v>0.107</v>
      </c>
      <c r="G17" t="s">
        <v>73</v>
      </c>
    </row>
    <row r="18" spans="1:27" ht="16" outlineLevel="1" x14ac:dyDescent="0.2">
      <c r="C18" t="s">
        <v>59</v>
      </c>
      <c r="D18" s="59">
        <v>6.0499999999999998E-2</v>
      </c>
      <c r="G18" t="s">
        <v>73</v>
      </c>
    </row>
    <row r="19" spans="1:27" ht="16" outlineLevel="1" x14ac:dyDescent="0.2">
      <c r="C19" t="s">
        <v>60</v>
      </c>
      <c r="D19" s="59">
        <v>0.73529999999999995</v>
      </c>
      <c r="G19" t="s">
        <v>73</v>
      </c>
    </row>
    <row r="20" spans="1:27" ht="16" outlineLevel="1" x14ac:dyDescent="0.2">
      <c r="C20" t="s">
        <v>61</v>
      </c>
      <c r="D20" s="59">
        <v>0.26469999999999999</v>
      </c>
      <c r="G20" t="s">
        <v>73</v>
      </c>
    </row>
    <row r="21" spans="1:27" ht="16" outlineLevel="1" x14ac:dyDescent="0.2">
      <c r="C21" t="s">
        <v>62</v>
      </c>
      <c r="D21" s="35">
        <v>0.24</v>
      </c>
      <c r="G21" t="s">
        <v>73</v>
      </c>
    </row>
    <row r="22" spans="1:27" ht="16" outlineLevel="1" x14ac:dyDescent="0.2">
      <c r="C22" s="21" t="s">
        <v>36</v>
      </c>
      <c r="D22" s="38">
        <f>D19*D17+D20*D18*(1-D21)</f>
        <v>9.0848005999999995E-2</v>
      </c>
      <c r="E22" s="21"/>
      <c r="F22" s="21" t="s">
        <v>22</v>
      </c>
    </row>
    <row r="23" spans="1:27" ht="16" outlineLevel="1" x14ac:dyDescent="0.2">
      <c r="C23" s="21" t="s">
        <v>23</v>
      </c>
      <c r="D23" s="38">
        <f>D21</f>
        <v>0.24</v>
      </c>
      <c r="E23" s="21"/>
      <c r="F23" s="21"/>
    </row>
    <row r="24" spans="1:27" ht="15.75" customHeight="1" outlineLevel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61" customFormat="1" ht="15.75" customHeight="1" outlineLevel="1" x14ac:dyDescent="0.2">
      <c r="A25" s="60"/>
      <c r="B25" s="62" t="s">
        <v>109</v>
      </c>
      <c r="C25" s="60"/>
      <c r="D25" s="60"/>
      <c r="E25" s="60"/>
      <c r="F25" s="60"/>
      <c r="G25" s="60" t="s">
        <v>72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spans="1:27" ht="15.75" customHeight="1" outlineLevel="1" x14ac:dyDescent="0.2">
      <c r="A26" s="1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" outlineLevel="1" x14ac:dyDescent="0.2">
      <c r="C27" t="s">
        <v>58</v>
      </c>
      <c r="D27" s="59">
        <v>8.9399999999999993E-2</v>
      </c>
      <c r="G27" t="s">
        <v>73</v>
      </c>
    </row>
    <row r="28" spans="1:27" ht="16" outlineLevel="1" x14ac:dyDescent="0.2">
      <c r="C28" t="s">
        <v>59</v>
      </c>
      <c r="D28" s="59">
        <v>5.7500000000000002E-2</v>
      </c>
      <c r="G28" t="s">
        <v>73</v>
      </c>
    </row>
    <row r="29" spans="1:27" ht="16" outlineLevel="1" x14ac:dyDescent="0.2">
      <c r="C29" t="s">
        <v>60</v>
      </c>
      <c r="D29" s="59">
        <v>0.52649999999999997</v>
      </c>
      <c r="G29" t="s">
        <v>73</v>
      </c>
    </row>
    <row r="30" spans="1:27" ht="16" outlineLevel="1" x14ac:dyDescent="0.2">
      <c r="C30" t="s">
        <v>61</v>
      </c>
      <c r="D30" s="59">
        <v>0.47349999999999998</v>
      </c>
      <c r="G30" t="s">
        <v>73</v>
      </c>
    </row>
    <row r="31" spans="1:27" ht="16" outlineLevel="1" x14ac:dyDescent="0.2">
      <c r="C31" t="s">
        <v>62</v>
      </c>
      <c r="D31" s="35">
        <v>0.24</v>
      </c>
      <c r="G31" t="s">
        <v>73</v>
      </c>
    </row>
    <row r="32" spans="1:27" ht="16" outlineLevel="1" x14ac:dyDescent="0.2">
      <c r="C32" s="21" t="s">
        <v>36</v>
      </c>
      <c r="D32" s="38">
        <f>D29*D27+D30*D28*(1-D31)</f>
        <v>6.7761049999999989E-2</v>
      </c>
      <c r="E32" s="21"/>
      <c r="F32" s="21" t="s">
        <v>22</v>
      </c>
    </row>
    <row r="33" spans="1:27" ht="16" outlineLevel="1" x14ac:dyDescent="0.2">
      <c r="C33" s="21" t="s">
        <v>23</v>
      </c>
      <c r="D33" s="38">
        <f>D31</f>
        <v>0.24</v>
      </c>
      <c r="E33" s="21"/>
      <c r="F33" s="21"/>
    </row>
    <row r="34" spans="1:27" ht="15.75" customHeight="1" outlineLevel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61" customFormat="1" ht="15.75" customHeight="1" outlineLevel="1" x14ac:dyDescent="0.2">
      <c r="A35" s="60"/>
      <c r="B35" s="62" t="s">
        <v>64</v>
      </c>
      <c r="C35" s="60"/>
      <c r="D35" s="60"/>
      <c r="E35" s="60"/>
      <c r="F35" s="60"/>
      <c r="G35" s="60" t="s">
        <v>72</v>
      </c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spans="1:27" ht="15.75" customHeight="1" outlineLevel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outlineLevel="1" x14ac:dyDescent="0.2">
      <c r="A37" s="21"/>
      <c r="B37" s="21"/>
      <c r="C37" s="21" t="s">
        <v>28</v>
      </c>
      <c r="D37" s="34">
        <v>10</v>
      </c>
      <c r="E37" s="29"/>
      <c r="F37" s="29" t="s">
        <v>27</v>
      </c>
      <c r="G37" s="20"/>
      <c r="H37" s="21"/>
      <c r="I37" s="2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outlineLevel="1" x14ac:dyDescent="0.2">
      <c r="A38" s="21"/>
      <c r="B38" s="21"/>
      <c r="C38" s="21" t="s">
        <v>33</v>
      </c>
      <c r="D38" s="54">
        <f>D43*1000/D41</f>
        <v>72.332172677289734</v>
      </c>
      <c r="E38" s="29"/>
      <c r="F38" s="29" t="s">
        <v>30</v>
      </c>
      <c r="G38" s="20"/>
      <c r="H38" s="21"/>
      <c r="I38" s="2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outlineLevel="1" x14ac:dyDescent="0.2">
      <c r="A39" s="21"/>
      <c r="B39" s="21"/>
      <c r="C39" s="21" t="s">
        <v>34</v>
      </c>
      <c r="D39" s="54">
        <f>ROUND(D38*1.3,0)</f>
        <v>94</v>
      </c>
      <c r="E39" s="29"/>
      <c r="F39" s="29" t="s">
        <v>30</v>
      </c>
      <c r="G39" s="20"/>
      <c r="H39" s="21"/>
      <c r="I39" s="2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outlineLevel="1" x14ac:dyDescent="0.2">
      <c r="A40" s="21"/>
      <c r="B40" s="21"/>
      <c r="C40" s="21" t="s">
        <v>34</v>
      </c>
      <c r="D40" s="54">
        <f>ROUND(D39/10,0)*10</f>
        <v>90</v>
      </c>
      <c r="E40" s="29"/>
      <c r="F40" s="28" t="s">
        <v>30</v>
      </c>
      <c r="G40" s="20"/>
      <c r="H40" s="30"/>
      <c r="I40" s="3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outlineLevel="1" x14ac:dyDescent="0.2">
      <c r="A41" s="21"/>
      <c r="B41" s="21"/>
      <c r="C41" s="21" t="s">
        <v>26</v>
      </c>
      <c r="D41" s="36">
        <f>8760*0.7</f>
        <v>6132</v>
      </c>
      <c r="E41" s="29"/>
      <c r="F41" s="28" t="s">
        <v>25</v>
      </c>
      <c r="G41" s="20"/>
      <c r="H41" s="1"/>
      <c r="I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outlineLevel="1" x14ac:dyDescent="0.2">
      <c r="A42" s="21"/>
      <c r="B42" s="21"/>
      <c r="C42" s="21" t="s">
        <v>52</v>
      </c>
      <c r="D42" s="36">
        <f>D13</f>
        <v>310478.61799999845</v>
      </c>
      <c r="E42" s="29"/>
      <c r="F42" s="28" t="s">
        <v>53</v>
      </c>
      <c r="G42" s="20"/>
      <c r="H42" s="1"/>
      <c r="I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outlineLevel="1" x14ac:dyDescent="0.2">
      <c r="A43" s="21"/>
      <c r="B43" s="21"/>
      <c r="C43" s="21" t="s">
        <v>46</v>
      </c>
      <c r="D43" s="37">
        <f>(D42/(1-D66))/1000</f>
        <v>443.54088285714067</v>
      </c>
      <c r="E43" s="29"/>
      <c r="F43" s="28" t="s">
        <v>24</v>
      </c>
      <c r="G43" s="20"/>
      <c r="H43" s="1"/>
      <c r="J43" s="83"/>
      <c r="K43" s="82"/>
      <c r="M43" s="8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outlineLevel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61" customFormat="1" ht="15.75" customHeight="1" outlineLevel="1" x14ac:dyDescent="0.2">
      <c r="A45" s="60"/>
      <c r="B45" s="62" t="s">
        <v>74</v>
      </c>
      <c r="C45" s="60"/>
      <c r="D45" s="60"/>
      <c r="E45" s="60"/>
      <c r="F45" s="60"/>
      <c r="G45" s="60" t="s">
        <v>72</v>
      </c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spans="1:27" ht="15.75" customHeight="1" outlineLevel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outlineLevel="1" x14ac:dyDescent="0.2">
      <c r="A47" s="21"/>
      <c r="B47" s="21"/>
      <c r="C47" s="21" t="s">
        <v>67</v>
      </c>
      <c r="D47" s="37">
        <f>SUM(D48:D52)</f>
        <v>310</v>
      </c>
      <c r="E47" s="29"/>
      <c r="F47" s="28" t="s">
        <v>32</v>
      </c>
      <c r="G47" s="20"/>
      <c r="H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outlineLevel="1" x14ac:dyDescent="0.2">
      <c r="A48" s="21"/>
      <c r="B48" s="21"/>
      <c r="C48" s="63" t="s">
        <v>68</v>
      </c>
      <c r="D48" s="36">
        <v>90</v>
      </c>
      <c r="E48" s="29"/>
      <c r="F48" s="28" t="s">
        <v>32</v>
      </c>
      <c r="G48" s="65" t="s">
        <v>75</v>
      </c>
      <c r="H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outlineLevel="1" x14ac:dyDescent="0.2">
      <c r="A49" s="21"/>
      <c r="B49" s="21"/>
      <c r="C49" s="63" t="s">
        <v>69</v>
      </c>
      <c r="D49" s="36">
        <v>105</v>
      </c>
      <c r="E49" s="29"/>
      <c r="F49" s="28" t="s">
        <v>32</v>
      </c>
      <c r="G49" s="20"/>
      <c r="H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outlineLevel="1" x14ac:dyDescent="0.2">
      <c r="A50" s="21"/>
      <c r="B50" s="21"/>
      <c r="C50" s="63" t="s">
        <v>65</v>
      </c>
      <c r="D50" s="36">
        <v>45</v>
      </c>
      <c r="E50" s="29"/>
      <c r="F50" s="28" t="s">
        <v>32</v>
      </c>
      <c r="G50" s="20"/>
      <c r="H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outlineLevel="1" x14ac:dyDescent="0.2">
      <c r="A51" s="21"/>
      <c r="B51" s="21"/>
      <c r="C51" s="63" t="s">
        <v>70</v>
      </c>
      <c r="D51" s="36">
        <v>35</v>
      </c>
      <c r="E51" s="29"/>
      <c r="F51" s="28" t="s">
        <v>32</v>
      </c>
      <c r="G51" s="20"/>
      <c r="H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outlineLevel="1" x14ac:dyDescent="0.2">
      <c r="A52" s="21"/>
      <c r="B52" s="21"/>
      <c r="C52" s="63" t="s">
        <v>77</v>
      </c>
      <c r="D52" s="36">
        <v>35</v>
      </c>
      <c r="E52" s="29"/>
      <c r="F52" s="28" t="s">
        <v>32</v>
      </c>
      <c r="G52" s="20"/>
      <c r="H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outlineLevel="1" x14ac:dyDescent="0.2">
      <c r="A53" s="21"/>
      <c r="B53" s="21"/>
      <c r="C53" s="63" t="s">
        <v>93</v>
      </c>
      <c r="D53" s="35">
        <v>0.1</v>
      </c>
      <c r="E53" s="29"/>
      <c r="F53" s="28" t="s">
        <v>90</v>
      </c>
      <c r="G53" s="20"/>
      <c r="H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outlineLevel="1" x14ac:dyDescent="0.2">
      <c r="A54" s="21"/>
      <c r="B54" s="21"/>
      <c r="C54" s="66" t="s">
        <v>67</v>
      </c>
      <c r="D54" s="36">
        <f>(D47*D40/1000)*(1+D53)</f>
        <v>30.69</v>
      </c>
      <c r="E54" s="21"/>
      <c r="F54" s="27" t="s">
        <v>35</v>
      </c>
      <c r="G54" s="20"/>
      <c r="H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outlineLevel="1" x14ac:dyDescent="0.2">
      <c r="A55" s="21"/>
      <c r="B55" s="21"/>
      <c r="C55" s="21" t="s">
        <v>103</v>
      </c>
      <c r="D55" s="36">
        <v>10</v>
      </c>
      <c r="E55" s="21"/>
      <c r="F55" s="28" t="s">
        <v>37</v>
      </c>
      <c r="G55" s="20" t="s">
        <v>76</v>
      </c>
      <c r="H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outlineLevel="1" x14ac:dyDescent="0.2">
      <c r="A56" s="21"/>
      <c r="B56" s="21"/>
      <c r="C56" s="21" t="s">
        <v>94</v>
      </c>
      <c r="D56" s="36">
        <f>IF(OR(D85="FIC",D85="COMBO"),0,D55)</f>
        <v>0</v>
      </c>
      <c r="E56" s="29"/>
      <c r="F56" s="28" t="s">
        <v>37</v>
      </c>
      <c r="G56" s="20" t="s">
        <v>76</v>
      </c>
      <c r="H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outlineLevel="1" x14ac:dyDescent="0.2">
      <c r="A57" s="21"/>
      <c r="B57" s="21"/>
      <c r="C57" s="21" t="s">
        <v>66</v>
      </c>
      <c r="D57" s="36">
        <v>3.5</v>
      </c>
      <c r="E57" s="21"/>
      <c r="F57" s="21" t="s">
        <v>71</v>
      </c>
      <c r="G57" s="65" t="s">
        <v>75</v>
      </c>
      <c r="H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outlineLevel="1" x14ac:dyDescent="0.2">
      <c r="A58" s="21"/>
      <c r="B58" s="21"/>
      <c r="C58" s="21" t="s">
        <v>15</v>
      </c>
      <c r="D58" s="64">
        <v>2.5</v>
      </c>
      <c r="E58" s="21"/>
      <c r="F58" s="27" t="s">
        <v>40</v>
      </c>
      <c r="G58" s="65" t="s">
        <v>75</v>
      </c>
      <c r="H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outlineLevel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61" customFormat="1" ht="15.75" customHeight="1" outlineLevel="1" x14ac:dyDescent="0.2">
      <c r="A60" s="60"/>
      <c r="B60" s="62" t="s">
        <v>79</v>
      </c>
      <c r="C60" s="60"/>
      <c r="D60" s="60"/>
      <c r="E60" s="60"/>
      <c r="F60" s="60"/>
      <c r="G60" s="60" t="s">
        <v>72</v>
      </c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spans="1:27" ht="15.75" customHeight="1" outlineLevel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outlineLevel="1" x14ac:dyDescent="0.2">
      <c r="A62" s="1"/>
      <c r="B62" s="1"/>
      <c r="C62" s="21" t="s">
        <v>91</v>
      </c>
      <c r="D62" s="69">
        <f>0.0560958904038811</f>
        <v>5.6095890403881098E-2</v>
      </c>
      <c r="E62" s="21"/>
      <c r="F62" s="27" t="s">
        <v>78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outlineLevel="1" x14ac:dyDescent="0.2">
      <c r="A63" s="1"/>
      <c r="B63" s="1"/>
      <c r="C63" s="21" t="s">
        <v>95</v>
      </c>
      <c r="D63" s="69">
        <f>IF(OR(D85="FIP",D85="COMBO"),D83,0)</f>
        <v>0.25</v>
      </c>
      <c r="E63" s="21"/>
      <c r="F63" s="2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outlineLevel="1" x14ac:dyDescent="0.2">
      <c r="A64" s="1"/>
      <c r="B64" s="1"/>
      <c r="C64" s="21" t="s">
        <v>88</v>
      </c>
      <c r="D64" s="69">
        <v>0.30399999999999999</v>
      </c>
      <c r="E64" s="21"/>
      <c r="F64" s="27" t="s">
        <v>78</v>
      </c>
      <c r="G64" s="1"/>
      <c r="H64" s="1">
        <v>3.8889321999999997E-2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8" ht="15.75" customHeight="1" outlineLevel="1" x14ac:dyDescent="0.2">
      <c r="A65" s="1"/>
      <c r="B65" s="1"/>
      <c r="C65" s="21" t="s">
        <v>84</v>
      </c>
      <c r="D65" s="35">
        <f>IF(OR(D85="FIC",D85="COMBO"), D84,0%)</f>
        <v>0.6</v>
      </c>
      <c r="E65" s="21"/>
      <c r="F65" s="2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8" ht="15.75" customHeight="1" outlineLevel="1" x14ac:dyDescent="0.2">
      <c r="A66" s="21"/>
      <c r="B66" s="21"/>
      <c r="C66" s="21" t="s">
        <v>41</v>
      </c>
      <c r="D66" s="35">
        <v>0.3</v>
      </c>
      <c r="E66" s="21"/>
      <c r="F66" s="27"/>
      <c r="G66" s="21"/>
      <c r="H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8" ht="15.75" customHeight="1" outlineLevel="1" x14ac:dyDescent="0.2">
      <c r="A67" s="21"/>
      <c r="B67" s="21"/>
      <c r="C67" s="21" t="s">
        <v>42</v>
      </c>
      <c r="D67" s="36">
        <f>D43*D66</f>
        <v>133.0622648571422</v>
      </c>
      <c r="E67" s="21"/>
      <c r="F67" s="27" t="s">
        <v>24</v>
      </c>
      <c r="G67" s="21"/>
      <c r="H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8" ht="15.75" customHeight="1" outlineLevel="1" x14ac:dyDescent="0.2">
      <c r="A68" s="21"/>
      <c r="B68" s="21"/>
      <c r="C68" s="21" t="s">
        <v>43</v>
      </c>
      <c r="D68" s="35">
        <v>0</v>
      </c>
      <c r="E68" s="21"/>
      <c r="F68" s="27"/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8" ht="15.75" customHeight="1" outlineLevel="1" x14ac:dyDescent="0.2">
      <c r="A69" s="21"/>
      <c r="B69" s="21"/>
      <c r="C69" s="21" t="s">
        <v>107</v>
      </c>
      <c r="D69" s="67">
        <v>0.35</v>
      </c>
      <c r="E69" s="21"/>
      <c r="F69" s="27"/>
      <c r="G69" s="2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8" ht="15.75" customHeight="1" x14ac:dyDescent="0.2">
      <c r="A70" s="21"/>
      <c r="B70" s="21"/>
      <c r="C70" s="21"/>
      <c r="D70" s="75"/>
      <c r="E70" s="21"/>
      <c r="F70" s="27"/>
      <c r="G70" s="2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8" ht="15.75" customHeight="1" x14ac:dyDescent="0.2">
      <c r="A71" s="21"/>
      <c r="B71" s="21"/>
      <c r="G71" s="2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8" s="71" customFormat="1" ht="22" customHeight="1" x14ac:dyDescent="0.2">
      <c r="A72" s="70"/>
      <c r="B72" s="73" t="s">
        <v>83</v>
      </c>
      <c r="G72" s="70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spans="1:28" ht="16" x14ac:dyDescent="0.2">
      <c r="A73" s="21"/>
      <c r="B73" s="74"/>
      <c r="G73" s="2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8" ht="16" x14ac:dyDescent="0.2">
      <c r="A74" s="21"/>
      <c r="B74" s="74"/>
      <c r="G74" s="21"/>
      <c r="H74" s="18">
        <v>2022</v>
      </c>
      <c r="I74" s="18">
        <v>2023</v>
      </c>
      <c r="J74" s="18">
        <v>2024</v>
      </c>
      <c r="K74" s="18">
        <v>2025</v>
      </c>
      <c r="L74" s="18">
        <v>2026</v>
      </c>
      <c r="M74" s="18">
        <v>2027</v>
      </c>
      <c r="N74" s="18">
        <v>2028</v>
      </c>
      <c r="O74" s="18">
        <v>2029</v>
      </c>
      <c r="P74" s="18">
        <v>2030</v>
      </c>
      <c r="Q74" s="18">
        <v>2031</v>
      </c>
      <c r="R74" s="18">
        <v>2032</v>
      </c>
      <c r="T74" s="1"/>
      <c r="U74" s="1"/>
      <c r="V74" s="1"/>
      <c r="W74" s="1"/>
      <c r="X74" s="1"/>
      <c r="Y74" s="1"/>
      <c r="Z74" s="1"/>
      <c r="AA74" s="1"/>
      <c r="AB74" s="1"/>
    </row>
    <row r="75" spans="1:28" ht="16" x14ac:dyDescent="0.2">
      <c r="A75" s="21"/>
      <c r="B75" s="74"/>
      <c r="C75" t="s">
        <v>89</v>
      </c>
      <c r="D75" s="68">
        <f>I75</f>
        <v>116.125</v>
      </c>
      <c r="F75" t="s">
        <v>40</v>
      </c>
      <c r="G75" s="21" t="s">
        <v>87</v>
      </c>
      <c r="H75" s="76">
        <v>281.375</v>
      </c>
      <c r="I75" s="76">
        <v>116.125</v>
      </c>
      <c r="J75" s="76">
        <v>82</v>
      </c>
      <c r="K75" s="76">
        <v>84.875</v>
      </c>
      <c r="L75" s="76">
        <f>K75*(L77/K77)</f>
        <v>77.911571207430342</v>
      </c>
      <c r="M75" s="76">
        <f>L75*(M77/L77)</f>
        <v>71.355437306501557</v>
      </c>
      <c r="N75" s="76">
        <f>M75</f>
        <v>71.355437306501557</v>
      </c>
      <c r="O75" s="76">
        <f t="shared" ref="O75:R75" si="0">N75</f>
        <v>71.355437306501557</v>
      </c>
      <c r="P75" s="76">
        <f t="shared" si="0"/>
        <v>71.355437306501557</v>
      </c>
      <c r="Q75" s="76">
        <f t="shared" si="0"/>
        <v>71.355437306501557</v>
      </c>
      <c r="R75" s="76">
        <f t="shared" si="0"/>
        <v>71.355437306501557</v>
      </c>
      <c r="T75" s="1"/>
      <c r="U75" s="1"/>
      <c r="V75" s="1"/>
      <c r="W75" s="1"/>
      <c r="X75" s="1"/>
      <c r="Y75" s="1"/>
      <c r="Z75" s="1"/>
      <c r="AA75" s="1"/>
      <c r="AB75" s="1"/>
    </row>
    <row r="76" spans="1:28" ht="16" x14ac:dyDescent="0.2">
      <c r="A76" s="21"/>
      <c r="B76" s="74"/>
      <c r="C76" t="s">
        <v>83</v>
      </c>
      <c r="D76" s="68">
        <f>H76</f>
        <v>304</v>
      </c>
      <c r="F76" t="s">
        <v>40</v>
      </c>
      <c r="G76" s="21"/>
      <c r="H76" s="76">
        <f>D64*1000</f>
        <v>304</v>
      </c>
      <c r="I76" s="76">
        <f>H76*I75/H75</f>
        <v>125.46246112838739</v>
      </c>
      <c r="J76" s="76">
        <f t="shared" ref="J76:R76" si="1">I76*J75/I75</f>
        <v>88.593513993780547</v>
      </c>
      <c r="K76" s="76">
        <f t="shared" si="1"/>
        <v>91.699689027099069</v>
      </c>
      <c r="L76" s="76">
        <f t="shared" si="1"/>
        <v>84.176339927352544</v>
      </c>
      <c r="M76" s="76">
        <f t="shared" si="1"/>
        <v>77.093035774949698</v>
      </c>
      <c r="N76" s="76">
        <f t="shared" si="1"/>
        <v>77.093035774949698</v>
      </c>
      <c r="O76" s="76">
        <f t="shared" si="1"/>
        <v>77.093035774949698</v>
      </c>
      <c r="P76" s="76">
        <f t="shared" si="1"/>
        <v>77.093035774949698</v>
      </c>
      <c r="Q76" s="76">
        <f t="shared" si="1"/>
        <v>77.093035774949698</v>
      </c>
      <c r="R76" s="76">
        <f t="shared" si="1"/>
        <v>77.093035774949698</v>
      </c>
      <c r="T76" s="1"/>
      <c r="U76" s="1"/>
      <c r="V76" s="1"/>
      <c r="W76" s="1"/>
      <c r="X76" s="1"/>
      <c r="Y76" s="1"/>
      <c r="Z76" s="1"/>
      <c r="AA76" s="1"/>
      <c r="AB76" s="1"/>
    </row>
    <row r="77" spans="1:28" ht="16" x14ac:dyDescent="0.2">
      <c r="A77" s="21"/>
      <c r="B77" s="74"/>
      <c r="C77" t="s">
        <v>85</v>
      </c>
      <c r="D77" s="68">
        <f>I77</f>
        <v>37.670999999999999</v>
      </c>
      <c r="F77" t="s">
        <v>40</v>
      </c>
      <c r="G77" s="21" t="s">
        <v>86</v>
      </c>
      <c r="H77" s="76">
        <v>138.07499999999999</v>
      </c>
      <c r="I77" s="76">
        <v>37.670999999999999</v>
      </c>
      <c r="J77" s="76">
        <v>29.66</v>
      </c>
      <c r="K77" s="76">
        <v>32.299999999999997</v>
      </c>
      <c r="L77" s="76">
        <v>29.65</v>
      </c>
      <c r="M77" s="76">
        <v>27.155000000000001</v>
      </c>
      <c r="N77" s="76">
        <f>M77</f>
        <v>27.155000000000001</v>
      </c>
      <c r="O77" s="76">
        <f t="shared" ref="O77:R77" si="2">N77</f>
        <v>27.155000000000001</v>
      </c>
      <c r="P77" s="76">
        <f t="shared" si="2"/>
        <v>27.155000000000001</v>
      </c>
      <c r="Q77" s="76">
        <f t="shared" si="2"/>
        <v>27.155000000000001</v>
      </c>
      <c r="R77" s="76">
        <f t="shared" si="2"/>
        <v>27.155000000000001</v>
      </c>
      <c r="T77" s="1"/>
      <c r="U77" s="1"/>
      <c r="V77" s="1"/>
      <c r="W77" s="1"/>
      <c r="X77" s="1"/>
      <c r="Y77" s="1"/>
      <c r="Z77" s="1"/>
      <c r="AA77" s="1"/>
      <c r="AB77" s="1"/>
    </row>
    <row r="78" spans="1:28" ht="16" x14ac:dyDescent="0.2">
      <c r="A78" s="21"/>
      <c r="B78" s="74"/>
      <c r="C78" t="s">
        <v>80</v>
      </c>
      <c r="D78" s="77">
        <f>H78</f>
        <v>56.0958904038811</v>
      </c>
      <c r="F78" t="s">
        <v>40</v>
      </c>
      <c r="G78" s="21"/>
      <c r="H78" s="76">
        <f>D62*1000</f>
        <v>56.0958904038811</v>
      </c>
      <c r="I78" s="78">
        <f>H78</f>
        <v>56.0958904038811</v>
      </c>
      <c r="J78" s="76">
        <f t="shared" ref="J78:R78" si="3">I78*J77/I77</f>
        <v>44.166709388630871</v>
      </c>
      <c r="K78" s="76">
        <f t="shared" si="3"/>
        <v>48.097933690248716</v>
      </c>
      <c r="L78" s="76">
        <f t="shared" si="3"/>
        <v>44.151818387488369</v>
      </c>
      <c r="M78" s="76">
        <f t="shared" si="3"/>
        <v>40.436513602436648</v>
      </c>
      <c r="N78" s="76">
        <f t="shared" si="3"/>
        <v>40.436513602436641</v>
      </c>
      <c r="O78" s="76">
        <f t="shared" si="3"/>
        <v>40.436513602436641</v>
      </c>
      <c r="P78" s="76">
        <f t="shared" si="3"/>
        <v>40.436513602436641</v>
      </c>
      <c r="Q78" s="76">
        <f t="shared" si="3"/>
        <v>40.436513602436641</v>
      </c>
      <c r="R78" s="76">
        <f t="shared" si="3"/>
        <v>40.436513602436641</v>
      </c>
      <c r="T78" s="1"/>
      <c r="U78" s="1"/>
      <c r="V78" s="1"/>
      <c r="W78" s="1"/>
      <c r="X78" s="1"/>
      <c r="Y78" s="1"/>
      <c r="Z78" s="1"/>
      <c r="AA78" s="1"/>
      <c r="AB78" s="1"/>
    </row>
    <row r="79" spans="1:28" ht="16" x14ac:dyDescent="0.2">
      <c r="A79" s="21"/>
      <c r="B79" s="74"/>
      <c r="D79" s="77"/>
      <c r="G79" s="21"/>
      <c r="H79" s="76"/>
      <c r="I79" s="78"/>
      <c r="J79" s="76"/>
      <c r="K79" s="76"/>
      <c r="L79" s="76"/>
      <c r="M79" s="76"/>
      <c r="N79" s="76"/>
      <c r="O79" s="76"/>
      <c r="P79" s="76"/>
      <c r="Q79" s="76"/>
      <c r="R79" s="76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2">
      <c r="A80" s="21"/>
      <c r="B80" s="21"/>
      <c r="G80" s="2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71" customFormat="1" ht="22" customHeight="1" x14ac:dyDescent="0.2">
      <c r="A81" s="70"/>
      <c r="B81" s="73" t="s">
        <v>81</v>
      </c>
      <c r="G81" s="70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</row>
    <row r="82" spans="1:27" ht="16" x14ac:dyDescent="0.2">
      <c r="A82" s="21"/>
      <c r="B82" s="74"/>
      <c r="G82" s="2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" x14ac:dyDescent="0.2">
      <c r="A83" s="21"/>
      <c r="B83" s="74"/>
      <c r="C83" t="s">
        <v>96</v>
      </c>
      <c r="D83" s="35">
        <v>0.25</v>
      </c>
      <c r="G83" s="2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" x14ac:dyDescent="0.2">
      <c r="A84" s="21"/>
      <c r="B84" s="74"/>
      <c r="C84" t="s">
        <v>97</v>
      </c>
      <c r="D84" s="35">
        <v>0.6</v>
      </c>
      <c r="G84" s="2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" x14ac:dyDescent="0.2">
      <c r="A85" s="21"/>
      <c r="B85" s="74"/>
      <c r="C85" t="s">
        <v>82</v>
      </c>
      <c r="D85" s="36" t="s">
        <v>110</v>
      </c>
      <c r="G85" s="2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21"/>
      <c r="B86" s="21"/>
      <c r="C86" s="19"/>
      <c r="D86" s="21"/>
      <c r="E86" s="21"/>
      <c r="F86" s="21"/>
      <c r="G86" s="2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22"/>
      <c r="B87" s="26" t="s">
        <v>98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spans="1:27" ht="9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21"/>
      <c r="B89" s="21"/>
      <c r="C89" s="20"/>
      <c r="D89" s="19"/>
      <c r="E89" s="19"/>
      <c r="F89" s="88" t="s">
        <v>17</v>
      </c>
      <c r="G89" s="89"/>
      <c r="H89" s="18">
        <v>0</v>
      </c>
      <c r="I89" s="18">
        <v>1</v>
      </c>
      <c r="J89" s="18">
        <v>2</v>
      </c>
      <c r="K89" s="18">
        <v>3</v>
      </c>
      <c r="L89" s="18">
        <v>4</v>
      </c>
      <c r="M89" s="18">
        <v>5</v>
      </c>
      <c r="N89" s="18">
        <v>6</v>
      </c>
      <c r="O89" s="18">
        <v>7</v>
      </c>
      <c r="P89" s="18">
        <v>8</v>
      </c>
      <c r="Q89" s="18">
        <v>9</v>
      </c>
      <c r="R89" s="18">
        <v>10</v>
      </c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9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6" t="s">
        <v>16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 t="s">
        <v>31</v>
      </c>
      <c r="D92" s="1" t="s">
        <v>40</v>
      </c>
      <c r="E92" s="1"/>
      <c r="F92" s="1"/>
      <c r="G92" s="1"/>
      <c r="H92" s="44">
        <f t="shared" ref="H92:R92" si="4">IF(OR($D$85="FIC",$D$85="COMBO"),H78*(1-$D$69),H78)</f>
        <v>36.462328762522716</v>
      </c>
      <c r="I92" s="44">
        <f t="shared" si="4"/>
        <v>36.462328762522716</v>
      </c>
      <c r="J92" s="44">
        <f t="shared" si="4"/>
        <v>28.708361102610066</v>
      </c>
      <c r="K92" s="44">
        <f t="shared" si="4"/>
        <v>31.263656898661665</v>
      </c>
      <c r="L92" s="44">
        <f t="shared" si="4"/>
        <v>28.698681951867442</v>
      </c>
      <c r="M92" s="44">
        <f t="shared" si="4"/>
        <v>26.283733841583821</v>
      </c>
      <c r="N92" s="44">
        <f t="shared" si="4"/>
        <v>26.283733841583818</v>
      </c>
      <c r="O92" s="44">
        <f t="shared" si="4"/>
        <v>26.283733841583818</v>
      </c>
      <c r="P92" s="44">
        <f t="shared" si="4"/>
        <v>26.283733841583818</v>
      </c>
      <c r="Q92" s="44">
        <f t="shared" si="4"/>
        <v>26.283733841583818</v>
      </c>
      <c r="R92" s="44">
        <f t="shared" si="4"/>
        <v>26.283733841583818</v>
      </c>
      <c r="S92" s="23"/>
      <c r="T92" s="23"/>
      <c r="U92" s="23"/>
      <c r="V92" s="23"/>
      <c r="W92" s="23"/>
      <c r="X92" s="23"/>
      <c r="Y92" s="23"/>
      <c r="Z92" s="23"/>
      <c r="AA92" s="23"/>
    </row>
    <row r="93" spans="1:27" ht="15.75" customHeight="1" x14ac:dyDescent="0.2">
      <c r="A93" s="1"/>
      <c r="B93" s="1"/>
      <c r="C93" s="1" t="s">
        <v>92</v>
      </c>
      <c r="D93" s="1" t="s">
        <v>40</v>
      </c>
      <c r="E93" s="1"/>
      <c r="F93" s="1"/>
      <c r="G93" s="1"/>
      <c r="H93" s="44">
        <f>H92*(1+$D$68)</f>
        <v>36.462328762522716</v>
      </c>
      <c r="I93" s="44">
        <f t="shared" ref="I93:R93" si="5">I92*(1+$D$68)</f>
        <v>36.462328762522716</v>
      </c>
      <c r="J93" s="44">
        <f t="shared" si="5"/>
        <v>28.708361102610066</v>
      </c>
      <c r="K93" s="44">
        <f t="shared" si="5"/>
        <v>31.263656898661665</v>
      </c>
      <c r="L93" s="44">
        <f t="shared" si="5"/>
        <v>28.698681951867442</v>
      </c>
      <c r="M93" s="44">
        <f t="shared" si="5"/>
        <v>26.283733841583821</v>
      </c>
      <c r="N93" s="44">
        <f t="shared" si="5"/>
        <v>26.283733841583818</v>
      </c>
      <c r="O93" s="44">
        <f t="shared" si="5"/>
        <v>26.283733841583818</v>
      </c>
      <c r="P93" s="44">
        <f t="shared" si="5"/>
        <v>26.283733841583818</v>
      </c>
      <c r="Q93" s="44">
        <f t="shared" si="5"/>
        <v>26.283733841583818</v>
      </c>
      <c r="R93" s="44">
        <f t="shared" si="5"/>
        <v>26.283733841583818</v>
      </c>
      <c r="S93" s="23"/>
      <c r="T93" s="23"/>
      <c r="U93" s="23"/>
      <c r="V93" s="23"/>
      <c r="W93" s="23"/>
      <c r="X93" s="23"/>
      <c r="Y93" s="23"/>
      <c r="Z93" s="23"/>
      <c r="AA93" s="23"/>
    </row>
    <row r="94" spans="1:27" ht="15.75" customHeight="1" x14ac:dyDescent="0.2">
      <c r="A94" s="1"/>
      <c r="B94" s="1"/>
      <c r="C94" s="1" t="s">
        <v>44</v>
      </c>
      <c r="D94" s="1" t="s">
        <v>18</v>
      </c>
      <c r="E94" s="1"/>
      <c r="F94" s="1"/>
      <c r="G94" s="1"/>
      <c r="H94" s="44"/>
      <c r="I94" s="44">
        <f>IF(OR($D$85="BASE",$D$85="FIP"),$D$67,0)</f>
        <v>0</v>
      </c>
      <c r="J94" s="44">
        <f t="shared" ref="J94:R94" si="6">IF(OR($D$85="BASE",$D$85="FIP"),$D$67,0)</f>
        <v>0</v>
      </c>
      <c r="K94" s="44">
        <f t="shared" si="6"/>
        <v>0</v>
      </c>
      <c r="L94" s="44">
        <f t="shared" si="6"/>
        <v>0</v>
      </c>
      <c r="M94" s="44">
        <f t="shared" si="6"/>
        <v>0</v>
      </c>
      <c r="N94" s="44">
        <f t="shared" si="6"/>
        <v>0</v>
      </c>
      <c r="O94" s="44">
        <f t="shared" si="6"/>
        <v>0</v>
      </c>
      <c r="P94" s="44">
        <f t="shared" si="6"/>
        <v>0</v>
      </c>
      <c r="Q94" s="44">
        <f t="shared" si="6"/>
        <v>0</v>
      </c>
      <c r="R94" s="44">
        <f t="shared" si="6"/>
        <v>0</v>
      </c>
      <c r="S94" s="23"/>
      <c r="T94" s="23"/>
      <c r="U94" s="23"/>
      <c r="V94" s="23"/>
      <c r="W94" s="23"/>
      <c r="X94" s="23"/>
      <c r="Y94" s="23"/>
      <c r="Z94" s="23"/>
      <c r="AA94" s="23"/>
    </row>
    <row r="95" spans="1:27" ht="15.75" customHeight="1" x14ac:dyDescent="0.2">
      <c r="A95" s="1"/>
      <c r="B95" s="1"/>
      <c r="C95" s="42" t="s">
        <v>45</v>
      </c>
      <c r="D95" s="42" t="s">
        <v>18</v>
      </c>
      <c r="E95" s="43"/>
      <c r="F95" s="43"/>
      <c r="G95" s="43"/>
      <c r="H95" s="45"/>
      <c r="I95" s="45">
        <f>$D$43-I94</f>
        <v>443.54088285714067</v>
      </c>
      <c r="J95" s="45">
        <f t="shared" ref="J95:R95" si="7">$D$43-J94</f>
        <v>443.54088285714067</v>
      </c>
      <c r="K95" s="45">
        <f t="shared" si="7"/>
        <v>443.54088285714067</v>
      </c>
      <c r="L95" s="45">
        <f t="shared" si="7"/>
        <v>443.54088285714067</v>
      </c>
      <c r="M95" s="45">
        <f t="shared" si="7"/>
        <v>443.54088285714067</v>
      </c>
      <c r="N95" s="45">
        <f t="shared" si="7"/>
        <v>443.54088285714067</v>
      </c>
      <c r="O95" s="45">
        <f t="shared" si="7"/>
        <v>443.54088285714067</v>
      </c>
      <c r="P95" s="45">
        <f t="shared" si="7"/>
        <v>443.54088285714067</v>
      </c>
      <c r="Q95" s="45">
        <f t="shared" si="7"/>
        <v>443.54088285714067</v>
      </c>
      <c r="R95" s="45">
        <f t="shared" si="7"/>
        <v>443.54088285714067</v>
      </c>
      <c r="S95" s="23"/>
      <c r="T95" s="23"/>
      <c r="U95" s="23"/>
      <c r="V95" s="23"/>
      <c r="W95" s="23"/>
      <c r="X95" s="23"/>
      <c r="Y95" s="23"/>
      <c r="Z95" s="23"/>
      <c r="AA95" s="23"/>
    </row>
    <row r="96" spans="1:27" ht="15.75" customHeight="1" x14ac:dyDescent="0.2">
      <c r="A96" s="9"/>
      <c r="B96" s="9"/>
      <c r="C96" s="9" t="s">
        <v>21</v>
      </c>
      <c r="D96" s="24" t="s">
        <v>35</v>
      </c>
      <c r="E96" s="9"/>
      <c r="F96" s="9"/>
      <c r="G96" s="9"/>
      <c r="H96" s="46">
        <f>(H95*H92+H94*H93)/1000</f>
        <v>0</v>
      </c>
      <c r="I96" s="46">
        <f>(I95*I92+I94*I93)/1000</f>
        <v>16.172533490356638</v>
      </c>
      <c r="J96" s="46">
        <f t="shared" ref="J96:R96" si="8">(J95*J92+J94*J93)/1000</f>
        <v>12.733331828833265</v>
      </c>
      <c r="K96" s="46">
        <f t="shared" si="8"/>
        <v>13.866709982175131</v>
      </c>
      <c r="L96" s="46">
        <f t="shared" si="8"/>
        <v>12.729038729767575</v>
      </c>
      <c r="M96" s="46">
        <f t="shared" si="8"/>
        <v>11.657910512878194</v>
      </c>
      <c r="N96" s="46">
        <f t="shared" si="8"/>
        <v>11.657910512878193</v>
      </c>
      <c r="O96" s="46">
        <f t="shared" si="8"/>
        <v>11.657910512878193</v>
      </c>
      <c r="P96" s="46">
        <f t="shared" si="8"/>
        <v>11.657910512878193</v>
      </c>
      <c r="Q96" s="46">
        <f t="shared" si="8"/>
        <v>11.657910512878193</v>
      </c>
      <c r="R96" s="46">
        <f t="shared" si="8"/>
        <v>11.657910512878193</v>
      </c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5.75" customHeight="1" x14ac:dyDescent="0.2">
      <c r="A97" s="1"/>
      <c r="B97" s="1"/>
      <c r="C97" s="1"/>
      <c r="D97" s="1"/>
      <c r="E97" s="1"/>
      <c r="F97" s="1"/>
      <c r="G97" s="1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23"/>
      <c r="T97" s="23"/>
      <c r="U97" s="23"/>
      <c r="V97" s="23"/>
      <c r="W97" s="23"/>
      <c r="X97" s="23"/>
      <c r="Y97" s="23"/>
      <c r="Z97" s="23"/>
      <c r="AA97" s="23"/>
    </row>
    <row r="98" spans="1:27" ht="15.75" customHeight="1" x14ac:dyDescent="0.2">
      <c r="A98" s="1"/>
      <c r="B98" s="1"/>
      <c r="C98" s="42" t="s">
        <v>117</v>
      </c>
      <c r="D98" s="42" t="s">
        <v>35</v>
      </c>
      <c r="E98" s="42"/>
      <c r="F98" s="42"/>
      <c r="G98" s="42"/>
      <c r="H98" s="45">
        <f>H95*H78*$D$63/1000</f>
        <v>0</v>
      </c>
      <c r="I98" s="45">
        <f t="shared" ref="I98:R98" si="9">I95*I78*$D$63/1000</f>
        <v>6.2202051885987073</v>
      </c>
      <c r="J98" s="45">
        <f t="shared" si="9"/>
        <v>4.8974353187820254</v>
      </c>
      <c r="K98" s="45">
        <f t="shared" si="9"/>
        <v>5.3333499931442807</v>
      </c>
      <c r="L98" s="45">
        <f t="shared" si="9"/>
        <v>4.8957841268336821</v>
      </c>
      <c r="M98" s="45">
        <f t="shared" si="9"/>
        <v>4.4838117357223819</v>
      </c>
      <c r="N98" s="45">
        <f t="shared" si="9"/>
        <v>4.483811735722381</v>
      </c>
      <c r="O98" s="45">
        <f t="shared" si="9"/>
        <v>4.483811735722381</v>
      </c>
      <c r="P98" s="45">
        <f t="shared" si="9"/>
        <v>4.483811735722381</v>
      </c>
      <c r="Q98" s="45">
        <f t="shared" si="9"/>
        <v>4.483811735722381</v>
      </c>
      <c r="R98" s="45">
        <f t="shared" si="9"/>
        <v>4.483811735722381</v>
      </c>
      <c r="S98" s="23"/>
      <c r="T98" s="23"/>
      <c r="U98" s="23"/>
      <c r="V98" s="23"/>
      <c r="W98" s="23"/>
      <c r="X98" s="23"/>
      <c r="Y98" s="23"/>
      <c r="Z98" s="23"/>
      <c r="AA98" s="23"/>
    </row>
    <row r="99" spans="1:27" ht="15.75" customHeight="1" x14ac:dyDescent="0.2">
      <c r="A99" s="9"/>
      <c r="B99" s="9"/>
      <c r="C99" s="9" t="s">
        <v>105</v>
      </c>
      <c r="D99" s="24" t="s">
        <v>35</v>
      </c>
      <c r="E99" s="9"/>
      <c r="F99" s="9"/>
      <c r="G99" s="9"/>
      <c r="H99" s="46">
        <f>H98+H96</f>
        <v>0</v>
      </c>
      <c r="I99" s="46">
        <f t="shared" ref="I99:R99" si="10">I98+I96</f>
        <v>22.392738678955347</v>
      </c>
      <c r="J99" s="46">
        <f t="shared" si="10"/>
        <v>17.630767147615291</v>
      </c>
      <c r="K99" s="46">
        <f t="shared" si="10"/>
        <v>19.200059975319412</v>
      </c>
      <c r="L99" s="46">
        <f t="shared" si="10"/>
        <v>17.624822856601256</v>
      </c>
      <c r="M99" s="46">
        <f t="shared" si="10"/>
        <v>16.141722248600576</v>
      </c>
      <c r="N99" s="46">
        <f t="shared" si="10"/>
        <v>16.141722248600573</v>
      </c>
      <c r="O99" s="46">
        <f t="shared" si="10"/>
        <v>16.141722248600573</v>
      </c>
      <c r="P99" s="46">
        <f t="shared" si="10"/>
        <v>16.141722248600573</v>
      </c>
      <c r="Q99" s="46">
        <f t="shared" si="10"/>
        <v>16.141722248600573</v>
      </c>
      <c r="R99" s="46">
        <f t="shared" si="10"/>
        <v>16.141722248600573</v>
      </c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6" t="s">
        <v>20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 t="s">
        <v>19</v>
      </c>
      <c r="D102" s="1" t="s">
        <v>35</v>
      </c>
      <c r="E102" s="1"/>
      <c r="F102" s="1"/>
      <c r="G102" s="1"/>
      <c r="H102" s="44">
        <f t="shared" ref="H102:R102" si="11">-($D$58*(H94+H95)/1000)-($D$57*$D$39/1000)</f>
        <v>-0.32900000000000001</v>
      </c>
      <c r="I102" s="44">
        <f t="shared" si="11"/>
        <v>-1.4378522071428517</v>
      </c>
      <c r="J102" s="44">
        <f t="shared" si="11"/>
        <v>-1.4378522071428517</v>
      </c>
      <c r="K102" s="44">
        <f t="shared" si="11"/>
        <v>-1.4378522071428517</v>
      </c>
      <c r="L102" s="44">
        <f t="shared" si="11"/>
        <v>-1.4378522071428517</v>
      </c>
      <c r="M102" s="44">
        <f t="shared" si="11"/>
        <v>-1.4378522071428517</v>
      </c>
      <c r="N102" s="44">
        <f t="shared" si="11"/>
        <v>-1.4378522071428517</v>
      </c>
      <c r="O102" s="44">
        <f t="shared" si="11"/>
        <v>-1.4378522071428517</v>
      </c>
      <c r="P102" s="44">
        <f t="shared" si="11"/>
        <v>-1.4378522071428517</v>
      </c>
      <c r="Q102" s="44">
        <f t="shared" si="11"/>
        <v>-1.4378522071428517</v>
      </c>
      <c r="R102" s="44">
        <f t="shared" si="11"/>
        <v>-1.4378522071428517</v>
      </c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 ht="15.75" customHeight="1" x14ac:dyDescent="0.2">
      <c r="A103" s="1"/>
      <c r="B103" s="1"/>
      <c r="C103" s="42" t="s">
        <v>47</v>
      </c>
      <c r="D103" s="42" t="s">
        <v>35</v>
      </c>
      <c r="E103" s="42"/>
      <c r="F103" s="42"/>
      <c r="G103" s="42"/>
      <c r="H103" s="45">
        <f>-$D$56</f>
        <v>0</v>
      </c>
      <c r="I103" s="45">
        <f t="shared" ref="I103:R103" si="12">-$D$56</f>
        <v>0</v>
      </c>
      <c r="J103" s="45">
        <f t="shared" si="12"/>
        <v>0</v>
      </c>
      <c r="K103" s="45">
        <f t="shared" si="12"/>
        <v>0</v>
      </c>
      <c r="L103" s="45">
        <f t="shared" si="12"/>
        <v>0</v>
      </c>
      <c r="M103" s="45">
        <f t="shared" si="12"/>
        <v>0</v>
      </c>
      <c r="N103" s="45">
        <f t="shared" si="12"/>
        <v>0</v>
      </c>
      <c r="O103" s="45">
        <f t="shared" si="12"/>
        <v>0</v>
      </c>
      <c r="P103" s="45">
        <f t="shared" si="12"/>
        <v>0</v>
      </c>
      <c r="Q103" s="45">
        <f t="shared" si="12"/>
        <v>0</v>
      </c>
      <c r="R103" s="45">
        <f t="shared" si="12"/>
        <v>0</v>
      </c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5.75" customHeight="1" x14ac:dyDescent="0.2">
      <c r="A104" s="9"/>
      <c r="B104" s="9"/>
      <c r="C104" s="9" t="s">
        <v>15</v>
      </c>
      <c r="D104" s="9" t="s">
        <v>35</v>
      </c>
      <c r="E104" s="9"/>
      <c r="F104" s="9"/>
      <c r="G104" s="9"/>
      <c r="H104" s="46">
        <f>SUM(H102:H103)</f>
        <v>-0.32900000000000001</v>
      </c>
      <c r="I104" s="46">
        <f>SUM(I102:I103)</f>
        <v>-1.4378522071428517</v>
      </c>
      <c r="J104" s="46">
        <f t="shared" ref="J104:R104" si="13">SUM(J102:J103)</f>
        <v>-1.4378522071428517</v>
      </c>
      <c r="K104" s="46">
        <f t="shared" si="13"/>
        <v>-1.4378522071428517</v>
      </c>
      <c r="L104" s="46">
        <f t="shared" si="13"/>
        <v>-1.4378522071428517</v>
      </c>
      <c r="M104" s="46">
        <f t="shared" si="13"/>
        <v>-1.4378522071428517</v>
      </c>
      <c r="N104" s="46">
        <f t="shared" si="13"/>
        <v>-1.4378522071428517</v>
      </c>
      <c r="O104" s="46">
        <f t="shared" si="13"/>
        <v>-1.4378522071428517</v>
      </c>
      <c r="P104" s="46">
        <f t="shared" si="13"/>
        <v>-1.4378522071428517</v>
      </c>
      <c r="Q104" s="46">
        <f t="shared" si="13"/>
        <v>-1.4378522071428517</v>
      </c>
      <c r="R104" s="46">
        <f t="shared" si="13"/>
        <v>-1.4378522071428517</v>
      </c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6" t="s">
        <v>50</v>
      </c>
      <c r="C107" s="1"/>
      <c r="D107" s="1"/>
      <c r="E107" s="1"/>
      <c r="F107" s="88" t="s">
        <v>17</v>
      </c>
      <c r="G107" s="90"/>
      <c r="H107" s="18">
        <v>0</v>
      </c>
      <c r="I107" s="18">
        <v>1</v>
      </c>
      <c r="J107" s="18">
        <v>2</v>
      </c>
      <c r="K107" s="18">
        <v>3</v>
      </c>
      <c r="L107" s="18">
        <v>4</v>
      </c>
      <c r="M107" s="18">
        <v>5</v>
      </c>
      <c r="N107" s="18">
        <v>6</v>
      </c>
      <c r="O107" s="18">
        <v>7</v>
      </c>
      <c r="P107" s="18">
        <v>8</v>
      </c>
      <c r="Q107" s="18">
        <v>9</v>
      </c>
      <c r="R107" s="18">
        <v>10</v>
      </c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 t="s">
        <v>16</v>
      </c>
      <c r="D108" s="1" t="s">
        <v>35</v>
      </c>
      <c r="E108" s="1"/>
      <c r="F108" s="1"/>
      <c r="G108" s="1"/>
      <c r="H108" s="44">
        <f>H99</f>
        <v>0</v>
      </c>
      <c r="I108" s="44">
        <f t="shared" ref="I108:R108" si="14">I99</f>
        <v>22.392738678955347</v>
      </c>
      <c r="J108" s="44">
        <f t="shared" si="14"/>
        <v>17.630767147615291</v>
      </c>
      <c r="K108" s="44">
        <f t="shared" si="14"/>
        <v>19.200059975319412</v>
      </c>
      <c r="L108" s="44">
        <f t="shared" si="14"/>
        <v>17.624822856601256</v>
      </c>
      <c r="M108" s="44">
        <f t="shared" si="14"/>
        <v>16.141722248600576</v>
      </c>
      <c r="N108" s="44">
        <f t="shared" si="14"/>
        <v>16.141722248600573</v>
      </c>
      <c r="O108" s="44">
        <f t="shared" si="14"/>
        <v>16.141722248600573</v>
      </c>
      <c r="P108" s="44">
        <f t="shared" si="14"/>
        <v>16.141722248600573</v>
      </c>
      <c r="Q108" s="44">
        <f t="shared" si="14"/>
        <v>16.141722248600573</v>
      </c>
      <c r="R108" s="44">
        <f t="shared" si="14"/>
        <v>16.141722248600573</v>
      </c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2">
      <c r="A109" s="1"/>
      <c r="B109" s="1"/>
      <c r="C109" s="1" t="s">
        <v>15</v>
      </c>
      <c r="D109" s="17" t="s">
        <v>35</v>
      </c>
      <c r="E109" s="1"/>
      <c r="F109" s="1"/>
      <c r="G109" s="1"/>
      <c r="H109" s="44">
        <f t="shared" ref="H109:R109" si="15">H104</f>
        <v>-0.32900000000000001</v>
      </c>
      <c r="I109" s="44">
        <f t="shared" si="15"/>
        <v>-1.4378522071428517</v>
      </c>
      <c r="J109" s="44">
        <f t="shared" si="15"/>
        <v>-1.4378522071428517</v>
      </c>
      <c r="K109" s="44">
        <f t="shared" si="15"/>
        <v>-1.4378522071428517</v>
      </c>
      <c r="L109" s="44">
        <f t="shared" si="15"/>
        <v>-1.4378522071428517</v>
      </c>
      <c r="M109" s="44">
        <f t="shared" si="15"/>
        <v>-1.4378522071428517</v>
      </c>
      <c r="N109" s="44">
        <f t="shared" si="15"/>
        <v>-1.4378522071428517</v>
      </c>
      <c r="O109" s="44">
        <f t="shared" si="15"/>
        <v>-1.4378522071428517</v>
      </c>
      <c r="P109" s="44">
        <f t="shared" si="15"/>
        <v>-1.4378522071428517</v>
      </c>
      <c r="Q109" s="44">
        <f t="shared" si="15"/>
        <v>-1.4378522071428517</v>
      </c>
      <c r="R109" s="44">
        <f t="shared" si="15"/>
        <v>-1.4378522071428517</v>
      </c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2">
      <c r="A110" s="1"/>
      <c r="B110" s="1"/>
      <c r="C110" s="13" t="s">
        <v>14</v>
      </c>
      <c r="D110" s="13" t="s">
        <v>35</v>
      </c>
      <c r="E110" s="13"/>
      <c r="F110" s="13"/>
      <c r="G110" s="13"/>
      <c r="H110" s="45">
        <f>-D54</f>
        <v>-30.69</v>
      </c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2"/>
      <c r="T110" s="42"/>
      <c r="U110" s="42"/>
      <c r="V110" s="13"/>
      <c r="W110" s="13"/>
      <c r="X110" s="13"/>
      <c r="Y110" s="13"/>
      <c r="Z110" s="13"/>
      <c r="AA110" s="13"/>
    </row>
    <row r="111" spans="1:27" ht="15.75" customHeight="1" x14ac:dyDescent="0.2">
      <c r="A111" s="9"/>
      <c r="B111" s="9"/>
      <c r="C111" s="9" t="s">
        <v>13</v>
      </c>
      <c r="D111" s="9" t="s">
        <v>35</v>
      </c>
      <c r="E111" s="9"/>
      <c r="F111" s="9"/>
      <c r="G111" s="53"/>
      <c r="H111" s="48">
        <f>SUM(H108:H110)</f>
        <v>-31.019000000000002</v>
      </c>
      <c r="I111" s="48">
        <f t="shared" ref="I111:R111" si="16">SUM(I108:I109)</f>
        <v>20.954886471812493</v>
      </c>
      <c r="J111" s="48">
        <f t="shared" si="16"/>
        <v>16.192914940472441</v>
      </c>
      <c r="K111" s="48">
        <f t="shared" si="16"/>
        <v>17.762207768176559</v>
      </c>
      <c r="L111" s="48">
        <f t="shared" si="16"/>
        <v>16.186970649458402</v>
      </c>
      <c r="M111" s="48">
        <f t="shared" si="16"/>
        <v>14.703870041457725</v>
      </c>
      <c r="N111" s="48">
        <f t="shared" si="16"/>
        <v>14.703870041457721</v>
      </c>
      <c r="O111" s="48">
        <f t="shared" si="16"/>
        <v>14.703870041457721</v>
      </c>
      <c r="P111" s="48">
        <f t="shared" si="16"/>
        <v>14.703870041457721</v>
      </c>
      <c r="Q111" s="48">
        <f t="shared" si="16"/>
        <v>14.703870041457721</v>
      </c>
      <c r="R111" s="48">
        <f t="shared" si="16"/>
        <v>14.703870041457721</v>
      </c>
      <c r="S111" s="47"/>
      <c r="T111" s="47"/>
      <c r="U111" s="15"/>
      <c r="V111" s="15"/>
      <c r="W111" s="15"/>
      <c r="X111" s="15"/>
      <c r="Y111" s="15"/>
      <c r="Z111" s="15"/>
      <c r="AA111" s="15"/>
    </row>
    <row r="112" spans="1:27" ht="15.75" customHeight="1" x14ac:dyDescent="0.2">
      <c r="A112" s="9"/>
      <c r="B112" s="9"/>
      <c r="C112" s="4" t="s">
        <v>12</v>
      </c>
      <c r="D112" s="4" t="s">
        <v>35</v>
      </c>
      <c r="E112" s="4"/>
      <c r="F112" s="4"/>
      <c r="G112" s="53"/>
      <c r="H112" s="48">
        <f>H111</f>
        <v>-31.019000000000002</v>
      </c>
      <c r="I112" s="48">
        <f t="shared" ref="I112:R112" si="17">I111</f>
        <v>20.954886471812493</v>
      </c>
      <c r="J112" s="48">
        <f t="shared" si="17"/>
        <v>16.192914940472441</v>
      </c>
      <c r="K112" s="48">
        <f t="shared" si="17"/>
        <v>17.762207768176559</v>
      </c>
      <c r="L112" s="48">
        <f t="shared" si="17"/>
        <v>16.186970649458402</v>
      </c>
      <c r="M112" s="48">
        <f t="shared" si="17"/>
        <v>14.703870041457725</v>
      </c>
      <c r="N112" s="48">
        <f t="shared" si="17"/>
        <v>14.703870041457721</v>
      </c>
      <c r="O112" s="48">
        <f t="shared" si="17"/>
        <v>14.703870041457721</v>
      </c>
      <c r="P112" s="48">
        <f t="shared" si="17"/>
        <v>14.703870041457721</v>
      </c>
      <c r="Q112" s="48">
        <f t="shared" si="17"/>
        <v>14.703870041457721</v>
      </c>
      <c r="R112" s="48">
        <f t="shared" si="17"/>
        <v>14.703870041457721</v>
      </c>
      <c r="S112" s="25"/>
      <c r="T112" s="25"/>
      <c r="U112" s="14"/>
      <c r="V112" s="14"/>
      <c r="W112" s="14"/>
      <c r="X112" s="14"/>
      <c r="Y112" s="14"/>
      <c r="Z112" s="14"/>
      <c r="AA112" s="14"/>
    </row>
    <row r="113" spans="1:27" ht="15.75" customHeight="1" x14ac:dyDescent="0.2">
      <c r="A113" s="11"/>
      <c r="B113" s="11"/>
      <c r="C113" s="11" t="s">
        <v>11</v>
      </c>
      <c r="D113" s="11" t="s">
        <v>35</v>
      </c>
      <c r="E113" s="11"/>
      <c r="F113" s="11"/>
      <c r="G113" s="11"/>
      <c r="H113" s="44">
        <f>-$D$54/$D$37</f>
        <v>-3.069</v>
      </c>
      <c r="I113" s="44">
        <f t="shared" ref="I113:R113" si="18">-$D$54/$D$37</f>
        <v>-3.069</v>
      </c>
      <c r="J113" s="44">
        <f t="shared" si="18"/>
        <v>-3.069</v>
      </c>
      <c r="K113" s="44">
        <f t="shared" si="18"/>
        <v>-3.069</v>
      </c>
      <c r="L113" s="44">
        <f t="shared" si="18"/>
        <v>-3.069</v>
      </c>
      <c r="M113" s="44">
        <f t="shared" si="18"/>
        <v>-3.069</v>
      </c>
      <c r="N113" s="44">
        <f t="shared" si="18"/>
        <v>-3.069</v>
      </c>
      <c r="O113" s="44">
        <f t="shared" si="18"/>
        <v>-3.069</v>
      </c>
      <c r="P113" s="44">
        <f t="shared" si="18"/>
        <v>-3.069</v>
      </c>
      <c r="Q113" s="44">
        <f t="shared" si="18"/>
        <v>-3.069</v>
      </c>
      <c r="R113" s="44">
        <f t="shared" si="18"/>
        <v>-3.069</v>
      </c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2">
      <c r="A114" s="1"/>
      <c r="B114" s="1"/>
      <c r="C114" s="1" t="s">
        <v>10</v>
      </c>
      <c r="D114" s="1" t="s">
        <v>35</v>
      </c>
      <c r="E114" s="1"/>
      <c r="F114" s="1"/>
      <c r="G114" s="1"/>
      <c r="H114" s="44">
        <f t="shared" ref="H114:R114" si="19">SUM(H112:H113)</f>
        <v>-34.088000000000001</v>
      </c>
      <c r="I114" s="44">
        <f t="shared" si="19"/>
        <v>17.885886471812494</v>
      </c>
      <c r="J114" s="44">
        <f t="shared" si="19"/>
        <v>13.123914940472442</v>
      </c>
      <c r="K114" s="44">
        <f t="shared" si="19"/>
        <v>14.69320776817656</v>
      </c>
      <c r="L114" s="44">
        <f t="shared" si="19"/>
        <v>13.117970649458403</v>
      </c>
      <c r="M114" s="44">
        <f t="shared" si="19"/>
        <v>11.634870041457724</v>
      </c>
      <c r="N114" s="44">
        <f t="shared" si="19"/>
        <v>11.63487004145772</v>
      </c>
      <c r="O114" s="44">
        <f t="shared" si="19"/>
        <v>11.63487004145772</v>
      </c>
      <c r="P114" s="44">
        <f t="shared" si="19"/>
        <v>11.63487004145772</v>
      </c>
      <c r="Q114" s="44">
        <f t="shared" si="19"/>
        <v>11.63487004145772</v>
      </c>
      <c r="R114" s="44">
        <f t="shared" si="19"/>
        <v>11.63487004145772</v>
      </c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2">
      <c r="A115" s="1"/>
      <c r="B115" s="1"/>
      <c r="C115" s="13" t="s">
        <v>9</v>
      </c>
      <c r="D115" s="13" t="s">
        <v>35</v>
      </c>
      <c r="E115" s="13"/>
      <c r="F115" s="13"/>
      <c r="G115" s="42"/>
      <c r="H115" s="45"/>
      <c r="I115" s="45">
        <f t="shared" ref="I115:R115" si="20">-I114*$D$23</f>
        <v>-4.292612753234998</v>
      </c>
      <c r="J115" s="45">
        <f t="shared" si="20"/>
        <v>-3.1497395857133861</v>
      </c>
      <c r="K115" s="45">
        <f t="shared" si="20"/>
        <v>-3.5263698643623744</v>
      </c>
      <c r="L115" s="45">
        <f t="shared" si="20"/>
        <v>-3.1483129558700167</v>
      </c>
      <c r="M115" s="45">
        <f t="shared" si="20"/>
        <v>-2.7923688099498536</v>
      </c>
      <c r="N115" s="45">
        <f t="shared" si="20"/>
        <v>-2.7923688099498527</v>
      </c>
      <c r="O115" s="45">
        <f t="shared" si="20"/>
        <v>-2.7923688099498527</v>
      </c>
      <c r="P115" s="45">
        <f t="shared" si="20"/>
        <v>-2.7923688099498527</v>
      </c>
      <c r="Q115" s="45">
        <f t="shared" si="20"/>
        <v>-2.7923688099498527</v>
      </c>
      <c r="R115" s="45">
        <f t="shared" si="20"/>
        <v>-2.7923688099498527</v>
      </c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.75" customHeight="1" x14ac:dyDescent="0.2">
      <c r="A116" s="1"/>
      <c r="B116" s="1"/>
      <c r="C116" s="9" t="s">
        <v>8</v>
      </c>
      <c r="D116" s="9" t="s">
        <v>35</v>
      </c>
      <c r="E116" s="9"/>
      <c r="F116" s="1"/>
      <c r="G116" s="1"/>
      <c r="H116" s="46">
        <f>H114</f>
        <v>-34.088000000000001</v>
      </c>
      <c r="I116" s="46">
        <f t="shared" ref="I116:R116" si="21">SUM(I112,I115)</f>
        <v>16.662273718577495</v>
      </c>
      <c r="J116" s="46">
        <f t="shared" si="21"/>
        <v>13.043175354759056</v>
      </c>
      <c r="K116" s="46">
        <f t="shared" si="21"/>
        <v>14.235837903814184</v>
      </c>
      <c r="L116" s="46">
        <f t="shared" si="21"/>
        <v>13.038657693588386</v>
      </c>
      <c r="M116" s="46">
        <f t="shared" si="21"/>
        <v>11.91150123150787</v>
      </c>
      <c r="N116" s="46">
        <f t="shared" si="21"/>
        <v>11.911501231507868</v>
      </c>
      <c r="O116" s="46">
        <f t="shared" si="21"/>
        <v>11.911501231507868</v>
      </c>
      <c r="P116" s="46">
        <f t="shared" si="21"/>
        <v>11.911501231507868</v>
      </c>
      <c r="Q116" s="46">
        <f t="shared" si="21"/>
        <v>11.911501231507868</v>
      </c>
      <c r="R116" s="46">
        <f t="shared" si="21"/>
        <v>11.911501231507868</v>
      </c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2">
      <c r="A117" s="1"/>
      <c r="B117" s="1"/>
      <c r="C117" s="1" t="s">
        <v>7</v>
      </c>
      <c r="D117" s="1" t="s">
        <v>35</v>
      </c>
      <c r="E117" s="1"/>
      <c r="F117" s="1"/>
      <c r="G117" s="1"/>
      <c r="H117" s="44">
        <f t="shared" ref="H117:R117" si="22">H116/(1+$D$22)^H89</f>
        <v>-34.088000000000001</v>
      </c>
      <c r="I117" s="44">
        <f t="shared" si="22"/>
        <v>15.274606202633048</v>
      </c>
      <c r="J117" s="44">
        <f t="shared" si="22"/>
        <v>10.961117892527167</v>
      </c>
      <c r="K117" s="44">
        <f t="shared" si="22"/>
        <v>10.967062234412758</v>
      </c>
      <c r="L117" s="44">
        <f t="shared" si="22"/>
        <v>9.2082248481524811</v>
      </c>
      <c r="M117" s="44">
        <f t="shared" si="22"/>
        <v>7.711614112678955</v>
      </c>
      <c r="N117" s="44">
        <f t="shared" si="22"/>
        <v>7.069375449432644</v>
      </c>
      <c r="O117" s="44">
        <f t="shared" si="22"/>
        <v>6.4806237079308024</v>
      </c>
      <c r="P117" s="44">
        <f t="shared" si="22"/>
        <v>5.9409043902407808</v>
      </c>
      <c r="Q117" s="44">
        <f t="shared" si="22"/>
        <v>5.4461339779364097</v>
      </c>
      <c r="R117" s="44">
        <f t="shared" si="22"/>
        <v>4.9925690361819379</v>
      </c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2">
      <c r="A118" s="1"/>
      <c r="B118" s="1"/>
      <c r="C118" s="1" t="s">
        <v>51</v>
      </c>
      <c r="D118" s="1" t="s">
        <v>35</v>
      </c>
      <c r="E118" s="1"/>
      <c r="F118" s="1"/>
      <c r="G118" s="1"/>
      <c r="H118" s="44">
        <f>H117</f>
        <v>-34.088000000000001</v>
      </c>
      <c r="I118" s="44">
        <f>H118+I117</f>
        <v>-18.813393797366952</v>
      </c>
      <c r="J118" s="44">
        <f t="shared" ref="J118:R118" si="23">I118+J117</f>
        <v>-7.8522759048397859</v>
      </c>
      <c r="K118" s="44">
        <f t="shared" si="23"/>
        <v>3.1147863295729721</v>
      </c>
      <c r="L118" s="44">
        <f t="shared" si="23"/>
        <v>12.323011177725453</v>
      </c>
      <c r="M118" s="44">
        <f t="shared" si="23"/>
        <v>20.034625290404406</v>
      </c>
      <c r="N118" s="44">
        <f t="shared" si="23"/>
        <v>27.104000739837051</v>
      </c>
      <c r="O118" s="44">
        <f t="shared" si="23"/>
        <v>33.584624447767851</v>
      </c>
      <c r="P118" s="44">
        <f t="shared" si="23"/>
        <v>39.525528838008633</v>
      </c>
      <c r="Q118" s="44">
        <f t="shared" si="23"/>
        <v>44.971662815945045</v>
      </c>
      <c r="R118" s="44">
        <f t="shared" si="23"/>
        <v>49.964231852126986</v>
      </c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2">
      <c r="A119" s="1"/>
      <c r="B119" s="1"/>
      <c r="C119" s="1"/>
      <c r="D119" s="1"/>
      <c r="E119" s="1"/>
      <c r="F119" s="1"/>
      <c r="G119" s="1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44">
        <f>IF(H118&lt;0,(13-6)/12,0)</f>
        <v>0.58333333333333337</v>
      </c>
      <c r="I120" s="44">
        <f>IF(COUNTIF($H120:H120,"=0")=COUNTA($H120:H120),IF(I118&lt;0,(13-6)/12,0),IF(I118&lt;0,1,IF(I118=0,IF(H118&gt;=0,0,1),IF(H118&lt;0,-H118/I117,0))))</f>
        <v>1</v>
      </c>
      <c r="J120" s="44">
        <f>IF(COUNTIF($H120:I120,"=0")=COUNTA($H120:I120),IF(J118&lt;0,(13-6)/12,0),IF(J118&lt;0,1,IF(J118=0,IF(I118&gt;=0,0,1),IF(I118&lt;0,-I118/J117,0))))</f>
        <v>1</v>
      </c>
      <c r="K120" s="44">
        <f>IF(COUNTIF($H120:J120,"=0")=COUNTA($H120:J120),IF(K118&lt;0,(13-6)/12,0),IF(K118&lt;0,1,IF(K118=0,IF(J118&gt;=0,0,1),IF(J118&lt;0,-J118/K117,0))))</f>
        <v>0.71598717477873819</v>
      </c>
      <c r="L120" s="44">
        <f>IF(COUNTIF($H120:K120,"=0")=COUNTA($H120:K120),IF(L118&lt;0,(13-6)/12,0),IF(L118&lt;0,1,IF(L118=0,IF(K118&gt;=0,0,1),IF(K118&lt;0,-K118/L117,0))))</f>
        <v>0</v>
      </c>
      <c r="M120" s="44">
        <f>IF(COUNTIF($H120:L120,"=0")=COUNTA($H120:L120),IF(M118&lt;0,(13-6)/12,0),IF(M118&lt;0,1,IF(M118=0,IF(L118&gt;=0,0,1),IF(L118&lt;0,-L118/M117,0))))</f>
        <v>0</v>
      </c>
      <c r="N120" s="44">
        <f>IF(COUNTIF($H120:M120,"=0")=COUNTA($H120:M120),IF(N118&lt;0,(13-6)/12,0),IF(N118&lt;0,1,IF(N118=0,IF(M118&gt;=0,0,1),IF(M118&lt;0,-M118/N117,0))))</f>
        <v>0</v>
      </c>
      <c r="O120" s="44">
        <f>IF(COUNTIF($H120:N120,"=0")=COUNTA($H120:N120),IF(O118&lt;0,(13-6)/12,0),IF(O118&lt;0,1,IF(O118=0,IF(N118&gt;=0,0,1),IF(N118&lt;0,-N118/O117,0))))</f>
        <v>0</v>
      </c>
      <c r="P120" s="44">
        <f>IF(COUNTIF($H120:O120,"=0")=COUNTA($H120:O120),IF(P118&lt;0,(13-6)/12,0),IF(P118&lt;0,1,IF(P118=0,IF(O118&gt;=0,0,1),IF(O118&lt;0,-O118/P117,0))))</f>
        <v>0</v>
      </c>
      <c r="Q120" s="44">
        <f>IF(COUNTIF($H120:P120,"=0")=COUNTA($H120:P120),IF(Q118&lt;0,(13-6)/12,0),IF(Q118&lt;0,1,IF(Q118=0,IF(P118&gt;=0,0,1),IF(P118&lt;0,-P118/Q117,0))))</f>
        <v>0</v>
      </c>
      <c r="R120" s="44">
        <f>IF(COUNTIF($H120:Q120,"=0")=COUNTA($H120:Q120),IF(R118&lt;0,(13-6)/12,0),IF(R118&lt;0,1,IF(R118=0,IF(Q118&gt;=0,0,1),IF(Q118&lt;0,-Q118/R117,0))))</f>
        <v>0</v>
      </c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2">
      <c r="A121" s="1"/>
      <c r="B121" s="1"/>
      <c r="C121" s="1"/>
      <c r="D121" s="1" t="s">
        <v>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6" t="s">
        <v>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5" t="s">
        <v>4</v>
      </c>
      <c r="D123" s="4" t="s">
        <v>35</v>
      </c>
      <c r="E123" s="3"/>
      <c r="F123" s="81">
        <f>NPV(D22,I116:R116)+H116</f>
        <v>49.964231852126993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9"/>
      <c r="C125" s="5" t="s">
        <v>3</v>
      </c>
      <c r="D125" s="4" t="s">
        <v>35</v>
      </c>
      <c r="E125" s="3"/>
      <c r="F125" s="80">
        <f>SUM(H117:R117)</f>
        <v>49.964231852126986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7">
        <f>NPV(F129,I116:R116)+H116</f>
        <v>4.3851918107355345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6" t="s">
        <v>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5" t="s">
        <v>1</v>
      </c>
      <c r="D129" s="4" t="s">
        <v>0</v>
      </c>
      <c r="E129" s="3"/>
      <c r="F129" s="2">
        <v>0.34194554034342728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6" t="s">
        <v>48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49" t="s">
        <v>49</v>
      </c>
      <c r="D133" s="50" t="s">
        <v>27</v>
      </c>
      <c r="E133" s="51"/>
      <c r="F133" s="52">
        <f>IF(SUM(H120:R120)=0,0,SUM(H120:R120))</f>
        <v>3.2993205081120718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22"/>
      <c r="B137" s="26" t="s">
        <v>99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21"/>
      <c r="B139" s="21"/>
      <c r="C139" s="20"/>
      <c r="D139" s="19"/>
      <c r="E139" s="19"/>
      <c r="F139" s="88" t="s">
        <v>17</v>
      </c>
      <c r="G139" s="90"/>
      <c r="H139" s="18">
        <v>0</v>
      </c>
      <c r="I139" s="18">
        <v>1</v>
      </c>
      <c r="J139" s="18">
        <v>2</v>
      </c>
      <c r="K139" s="18">
        <v>3</v>
      </c>
      <c r="L139" s="18">
        <v>4</v>
      </c>
      <c r="M139" s="18">
        <v>5</v>
      </c>
      <c r="N139" s="18">
        <v>6</v>
      </c>
      <c r="O139" s="18">
        <v>7</v>
      </c>
      <c r="P139" s="18">
        <v>8</v>
      </c>
      <c r="Q139" s="18">
        <v>9</v>
      </c>
      <c r="R139" s="18">
        <v>10</v>
      </c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9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6" t="s">
        <v>100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 t="s">
        <v>31</v>
      </c>
      <c r="D142" s="1" t="s">
        <v>40</v>
      </c>
      <c r="E142" s="1"/>
      <c r="F142" s="1"/>
      <c r="G142" s="1"/>
      <c r="H142" s="44">
        <f>H92</f>
        <v>36.462328762522716</v>
      </c>
      <c r="I142" s="44">
        <f t="shared" ref="I142:R142" si="24">I92</f>
        <v>36.462328762522716</v>
      </c>
      <c r="J142" s="44">
        <f t="shared" si="24"/>
        <v>28.708361102610066</v>
      </c>
      <c r="K142" s="44">
        <f t="shared" si="24"/>
        <v>31.263656898661665</v>
      </c>
      <c r="L142" s="44">
        <f t="shared" si="24"/>
        <v>28.698681951867442</v>
      </c>
      <c r="M142" s="44">
        <f t="shared" si="24"/>
        <v>26.283733841583821</v>
      </c>
      <c r="N142" s="44">
        <f t="shared" si="24"/>
        <v>26.283733841583818</v>
      </c>
      <c r="O142" s="44">
        <f t="shared" si="24"/>
        <v>26.283733841583818</v>
      </c>
      <c r="P142" s="44">
        <f t="shared" si="24"/>
        <v>26.283733841583818</v>
      </c>
      <c r="Q142" s="44">
        <f t="shared" si="24"/>
        <v>26.283733841583818</v>
      </c>
      <c r="R142" s="44">
        <f t="shared" si="24"/>
        <v>26.283733841583818</v>
      </c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 ht="15.75" customHeight="1" x14ac:dyDescent="0.2">
      <c r="A143" s="1"/>
      <c r="B143" s="1"/>
      <c r="C143" s="1" t="s">
        <v>101</v>
      </c>
      <c r="D143" s="1" t="s">
        <v>18</v>
      </c>
      <c r="E143" s="1"/>
      <c r="F143" s="1"/>
      <c r="G143" s="1"/>
      <c r="H143" s="44">
        <f>IF(OR($D$85="BASE",$D$85="FIP"),0,H95+H94)</f>
        <v>0</v>
      </c>
      <c r="I143" s="44">
        <f>IF(OR($D$85="BASE",$D$85="FIP"),0,I95+I94)</f>
        <v>443.54088285714067</v>
      </c>
      <c r="J143" s="44">
        <f t="shared" ref="J143:R143" si="25">IF(OR($D$85="BASE",$D$85="FIP"),0,J95+J94)</f>
        <v>443.54088285714067</v>
      </c>
      <c r="K143" s="44">
        <f t="shared" si="25"/>
        <v>443.54088285714067</v>
      </c>
      <c r="L143" s="44">
        <f t="shared" si="25"/>
        <v>443.54088285714067</v>
      </c>
      <c r="M143" s="44">
        <f t="shared" si="25"/>
        <v>443.54088285714067</v>
      </c>
      <c r="N143" s="44">
        <f t="shared" si="25"/>
        <v>443.54088285714067</v>
      </c>
      <c r="O143" s="44">
        <f t="shared" si="25"/>
        <v>443.54088285714067</v>
      </c>
      <c r="P143" s="44">
        <f t="shared" si="25"/>
        <v>443.54088285714067</v>
      </c>
      <c r="Q143" s="44">
        <f t="shared" si="25"/>
        <v>443.54088285714067</v>
      </c>
      <c r="R143" s="44">
        <f t="shared" si="25"/>
        <v>443.54088285714067</v>
      </c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 ht="15.75" customHeight="1" x14ac:dyDescent="0.2">
      <c r="A144" s="1"/>
      <c r="B144" s="1"/>
      <c r="C144" s="1" t="s">
        <v>104</v>
      </c>
      <c r="D144" s="79" t="s">
        <v>35</v>
      </c>
      <c r="E144" s="1"/>
      <c r="F144" s="1"/>
      <c r="G144" s="1"/>
      <c r="H144" s="44">
        <f>-H142*H143/1000</f>
        <v>0</v>
      </c>
      <c r="I144" s="44">
        <f t="shared" ref="I144:R144" si="26">-I142*I143/1000</f>
        <v>-16.172533490356638</v>
      </c>
      <c r="J144" s="44">
        <f t="shared" si="26"/>
        <v>-12.733331828833265</v>
      </c>
      <c r="K144" s="44">
        <f t="shared" si="26"/>
        <v>-13.866709982175131</v>
      </c>
      <c r="L144" s="44">
        <f t="shared" si="26"/>
        <v>-12.729038729767575</v>
      </c>
      <c r="M144" s="44">
        <f t="shared" si="26"/>
        <v>-11.657910512878194</v>
      </c>
      <c r="N144" s="44">
        <f t="shared" si="26"/>
        <v>-11.657910512878193</v>
      </c>
      <c r="O144" s="44">
        <f t="shared" si="26"/>
        <v>-11.657910512878193</v>
      </c>
      <c r="P144" s="44">
        <f t="shared" si="26"/>
        <v>-11.657910512878193</v>
      </c>
      <c r="Q144" s="44">
        <f t="shared" si="26"/>
        <v>-11.657910512878193</v>
      </c>
      <c r="R144" s="44">
        <f t="shared" si="26"/>
        <v>-11.657910512878193</v>
      </c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 ht="15.75" customHeight="1" x14ac:dyDescent="0.2">
      <c r="A145" s="1"/>
      <c r="B145" s="1"/>
      <c r="C145" s="1" t="s">
        <v>15</v>
      </c>
      <c r="D145" s="79" t="s">
        <v>35</v>
      </c>
      <c r="E145" s="1"/>
      <c r="F145" s="1"/>
      <c r="G145" s="1"/>
      <c r="H145" s="44">
        <f>-($D$58*H143/1000)</f>
        <v>0</v>
      </c>
      <c r="I145" s="44">
        <f t="shared" ref="I145:R145" si="27">-($D$58*I143/1000)</f>
        <v>-1.1088522071428517</v>
      </c>
      <c r="J145" s="44">
        <f t="shared" si="27"/>
        <v>-1.1088522071428517</v>
      </c>
      <c r="K145" s="44">
        <f t="shared" si="27"/>
        <v>-1.1088522071428517</v>
      </c>
      <c r="L145" s="44">
        <f t="shared" si="27"/>
        <v>-1.1088522071428517</v>
      </c>
      <c r="M145" s="44">
        <f t="shared" si="27"/>
        <v>-1.1088522071428517</v>
      </c>
      <c r="N145" s="44">
        <f t="shared" si="27"/>
        <v>-1.1088522071428517</v>
      </c>
      <c r="O145" s="44">
        <f t="shared" si="27"/>
        <v>-1.1088522071428517</v>
      </c>
      <c r="P145" s="44">
        <f t="shared" si="27"/>
        <v>-1.1088522071428517</v>
      </c>
      <c r="Q145" s="44">
        <f t="shared" si="27"/>
        <v>-1.1088522071428517</v>
      </c>
      <c r="R145" s="44">
        <f t="shared" si="27"/>
        <v>-1.1088522071428517</v>
      </c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 ht="15.75" customHeight="1" x14ac:dyDescent="0.2">
      <c r="A146" s="1"/>
      <c r="B146" s="1"/>
      <c r="C146" s="42" t="s">
        <v>47</v>
      </c>
      <c r="D146" s="42" t="s">
        <v>35</v>
      </c>
      <c r="E146" s="43"/>
      <c r="F146" s="43"/>
      <c r="G146" s="43"/>
      <c r="H146" s="45">
        <f t="shared" ref="H146:R146" si="28">IF(H139=0,0,IF(OR($D$85="FIC",$D$85="COMBO"),-$D$55,0))</f>
        <v>0</v>
      </c>
      <c r="I146" s="45">
        <f t="shared" si="28"/>
        <v>-10</v>
      </c>
      <c r="J146" s="45">
        <f t="shared" si="28"/>
        <v>-10</v>
      </c>
      <c r="K146" s="45">
        <f t="shared" si="28"/>
        <v>-10</v>
      </c>
      <c r="L146" s="45">
        <f t="shared" si="28"/>
        <v>-10</v>
      </c>
      <c r="M146" s="45">
        <f t="shared" si="28"/>
        <v>-10</v>
      </c>
      <c r="N146" s="45">
        <f t="shared" si="28"/>
        <v>-10</v>
      </c>
      <c r="O146" s="45">
        <f t="shared" si="28"/>
        <v>-10</v>
      </c>
      <c r="P146" s="45">
        <f t="shared" si="28"/>
        <v>-10</v>
      </c>
      <c r="Q146" s="45">
        <f t="shared" si="28"/>
        <v>-10</v>
      </c>
      <c r="R146" s="45">
        <f t="shared" si="28"/>
        <v>-10</v>
      </c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 ht="15.75" customHeight="1" x14ac:dyDescent="0.2">
      <c r="A147" s="9"/>
      <c r="B147" s="9"/>
      <c r="C147" s="9" t="s">
        <v>15</v>
      </c>
      <c r="D147" s="24" t="s">
        <v>35</v>
      </c>
      <c r="E147" s="9"/>
      <c r="F147" s="9"/>
      <c r="G147" s="9"/>
      <c r="H147" s="46">
        <f>H144+H145+H146</f>
        <v>0</v>
      </c>
      <c r="I147" s="46">
        <f t="shared" ref="I147:R147" si="29">I144+I145+I146</f>
        <v>-27.281385697499491</v>
      </c>
      <c r="J147" s="46">
        <f t="shared" si="29"/>
        <v>-23.842184035976118</v>
      </c>
      <c r="K147" s="46">
        <f t="shared" si="29"/>
        <v>-24.975562189317984</v>
      </c>
      <c r="L147" s="46">
        <f t="shared" si="29"/>
        <v>-23.837890936910426</v>
      </c>
      <c r="M147" s="46">
        <f t="shared" si="29"/>
        <v>-22.766762720021045</v>
      </c>
      <c r="N147" s="46">
        <f t="shared" si="29"/>
        <v>-22.766762720021042</v>
      </c>
      <c r="O147" s="46">
        <f t="shared" si="29"/>
        <v>-22.766762720021042</v>
      </c>
      <c r="P147" s="46">
        <f t="shared" si="29"/>
        <v>-22.766762720021042</v>
      </c>
      <c r="Q147" s="46">
        <f t="shared" si="29"/>
        <v>-22.766762720021042</v>
      </c>
      <c r="R147" s="46">
        <f t="shared" si="29"/>
        <v>-22.766762720021042</v>
      </c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6" t="s">
        <v>105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 t="s">
        <v>31</v>
      </c>
      <c r="D150" s="1" t="s">
        <v>40</v>
      </c>
      <c r="E150" s="1"/>
      <c r="F150" s="1"/>
      <c r="G150" s="1"/>
      <c r="H150" s="44">
        <f>H78</f>
        <v>56.0958904038811</v>
      </c>
      <c r="I150" s="44">
        <f t="shared" ref="I150:R150" si="30">I78</f>
        <v>56.0958904038811</v>
      </c>
      <c r="J150" s="44">
        <f t="shared" si="30"/>
        <v>44.166709388630871</v>
      </c>
      <c r="K150" s="44">
        <f t="shared" si="30"/>
        <v>48.097933690248716</v>
      </c>
      <c r="L150" s="44">
        <f t="shared" si="30"/>
        <v>44.151818387488369</v>
      </c>
      <c r="M150" s="44">
        <f t="shared" si="30"/>
        <v>40.436513602436648</v>
      </c>
      <c r="N150" s="44">
        <f t="shared" si="30"/>
        <v>40.436513602436641</v>
      </c>
      <c r="O150" s="44">
        <f t="shared" si="30"/>
        <v>40.436513602436641</v>
      </c>
      <c r="P150" s="44">
        <f t="shared" si="30"/>
        <v>40.436513602436641</v>
      </c>
      <c r="Q150" s="44">
        <f t="shared" si="30"/>
        <v>40.436513602436641</v>
      </c>
      <c r="R150" s="44">
        <f t="shared" si="30"/>
        <v>40.436513602436641</v>
      </c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 ht="15.75" customHeight="1" x14ac:dyDescent="0.2">
      <c r="A151" s="1"/>
      <c r="B151" s="1"/>
      <c r="C151" s="1" t="s">
        <v>102</v>
      </c>
      <c r="D151" s="1" t="s">
        <v>18</v>
      </c>
      <c r="E151" s="1"/>
      <c r="F151" s="1"/>
      <c r="G151" s="1"/>
      <c r="H151" s="44">
        <f t="shared" ref="H151:R151" si="31">H143</f>
        <v>0</v>
      </c>
      <c r="I151" s="44">
        <f t="shared" si="31"/>
        <v>443.54088285714067</v>
      </c>
      <c r="J151" s="44">
        <f t="shared" si="31"/>
        <v>443.54088285714067</v>
      </c>
      <c r="K151" s="44">
        <f t="shared" si="31"/>
        <v>443.54088285714067</v>
      </c>
      <c r="L151" s="44">
        <f t="shared" si="31"/>
        <v>443.54088285714067</v>
      </c>
      <c r="M151" s="44">
        <f t="shared" si="31"/>
        <v>443.54088285714067</v>
      </c>
      <c r="N151" s="44">
        <f t="shared" si="31"/>
        <v>443.54088285714067</v>
      </c>
      <c r="O151" s="44">
        <f t="shared" si="31"/>
        <v>443.54088285714067</v>
      </c>
      <c r="P151" s="44">
        <f t="shared" si="31"/>
        <v>443.54088285714067</v>
      </c>
      <c r="Q151" s="44">
        <f t="shared" si="31"/>
        <v>443.54088285714067</v>
      </c>
      <c r="R151" s="44">
        <f t="shared" si="31"/>
        <v>443.54088285714067</v>
      </c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 ht="15.75" customHeight="1" x14ac:dyDescent="0.2">
      <c r="A152" s="1"/>
      <c r="B152" s="1"/>
      <c r="C152" s="1" t="s">
        <v>106</v>
      </c>
      <c r="D152" s="1" t="s">
        <v>35</v>
      </c>
      <c r="E152" s="1"/>
      <c r="F152" s="1"/>
      <c r="G152" s="1"/>
      <c r="H152" s="44">
        <f t="shared" ref="H152:R152" si="32">H150*H151/1000</f>
        <v>0</v>
      </c>
      <c r="I152" s="44">
        <f t="shared" si="32"/>
        <v>24.880820754394829</v>
      </c>
      <c r="J152" s="44">
        <f t="shared" si="32"/>
        <v>19.589741275128102</v>
      </c>
      <c r="K152" s="44">
        <f t="shared" si="32"/>
        <v>21.333399972577123</v>
      </c>
      <c r="L152" s="44">
        <f t="shared" si="32"/>
        <v>19.583136507334729</v>
      </c>
      <c r="M152" s="44">
        <f t="shared" si="32"/>
        <v>17.935246942889528</v>
      </c>
      <c r="N152" s="44">
        <f t="shared" si="32"/>
        <v>17.935246942889524</v>
      </c>
      <c r="O152" s="44">
        <f t="shared" si="32"/>
        <v>17.935246942889524</v>
      </c>
      <c r="P152" s="44">
        <f t="shared" si="32"/>
        <v>17.935246942889524</v>
      </c>
      <c r="Q152" s="44">
        <f t="shared" si="32"/>
        <v>17.935246942889524</v>
      </c>
      <c r="R152" s="44">
        <f t="shared" si="32"/>
        <v>17.935246942889524</v>
      </c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 ht="15.75" customHeight="1" x14ac:dyDescent="0.2">
      <c r="A153" s="1"/>
      <c r="B153" s="1"/>
      <c r="C153" s="42" t="s">
        <v>47</v>
      </c>
      <c r="D153" s="42" t="s">
        <v>35</v>
      </c>
      <c r="E153" s="42"/>
      <c r="F153" s="42"/>
      <c r="G153" s="42"/>
      <c r="H153" s="45">
        <f t="shared" ref="H153:R153" si="33">IF(H139=0,0,IF(OR($D$85="FIC",$D$85="COMBO"),+$D$55*$D$65,0))</f>
        <v>0</v>
      </c>
      <c r="I153" s="45">
        <f t="shared" si="33"/>
        <v>6</v>
      </c>
      <c r="J153" s="45">
        <f t="shared" si="33"/>
        <v>6</v>
      </c>
      <c r="K153" s="45">
        <f t="shared" si="33"/>
        <v>6</v>
      </c>
      <c r="L153" s="45">
        <f t="shared" si="33"/>
        <v>6</v>
      </c>
      <c r="M153" s="45">
        <f t="shared" si="33"/>
        <v>6</v>
      </c>
      <c r="N153" s="45">
        <f t="shared" si="33"/>
        <v>6</v>
      </c>
      <c r="O153" s="45">
        <f t="shared" si="33"/>
        <v>6</v>
      </c>
      <c r="P153" s="45">
        <f t="shared" si="33"/>
        <v>6</v>
      </c>
      <c r="Q153" s="45">
        <f t="shared" si="33"/>
        <v>6</v>
      </c>
      <c r="R153" s="45">
        <f t="shared" si="33"/>
        <v>6</v>
      </c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5.75" customHeight="1" x14ac:dyDescent="0.2">
      <c r="A154" s="9"/>
      <c r="B154" s="9"/>
      <c r="C154" s="9" t="s">
        <v>21</v>
      </c>
      <c r="D154" s="9" t="s">
        <v>35</v>
      </c>
      <c r="E154" s="9"/>
      <c r="F154" s="9"/>
      <c r="G154" s="9"/>
      <c r="H154" s="46">
        <f>H152+H153</f>
        <v>0</v>
      </c>
      <c r="I154" s="46">
        <f>I152+I153</f>
        <v>30.880820754394829</v>
      </c>
      <c r="J154" s="46">
        <f t="shared" ref="J154:R154" si="34">J152+J153</f>
        <v>25.589741275128102</v>
      </c>
      <c r="K154" s="46">
        <f t="shared" si="34"/>
        <v>27.333399972577123</v>
      </c>
      <c r="L154" s="46">
        <f t="shared" si="34"/>
        <v>25.583136507334729</v>
      </c>
      <c r="M154" s="46">
        <f t="shared" si="34"/>
        <v>23.935246942889528</v>
      </c>
      <c r="N154" s="46">
        <f t="shared" si="34"/>
        <v>23.935246942889524</v>
      </c>
      <c r="O154" s="46">
        <f t="shared" si="34"/>
        <v>23.935246942889524</v>
      </c>
      <c r="P154" s="46">
        <f t="shared" si="34"/>
        <v>23.935246942889524</v>
      </c>
      <c r="Q154" s="46">
        <f t="shared" si="34"/>
        <v>23.935246942889524</v>
      </c>
      <c r="R154" s="46">
        <f t="shared" si="34"/>
        <v>23.935246942889524</v>
      </c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42" t="s">
        <v>117</v>
      </c>
      <c r="D156" s="42" t="s">
        <v>35</v>
      </c>
      <c r="E156" s="42"/>
      <c r="F156" s="42"/>
      <c r="G156" s="42"/>
      <c r="H156" s="45">
        <f>H151*H150*$D$63/1000</f>
        <v>0</v>
      </c>
      <c r="I156" s="45">
        <f t="shared" ref="I156:R156" si="35">I151*I150*$D$63/1000</f>
        <v>6.2202051885987073</v>
      </c>
      <c r="J156" s="45">
        <f t="shared" si="35"/>
        <v>4.8974353187820254</v>
      </c>
      <c r="K156" s="45">
        <f t="shared" si="35"/>
        <v>5.3333499931442807</v>
      </c>
      <c r="L156" s="45">
        <f t="shared" si="35"/>
        <v>4.8957841268336821</v>
      </c>
      <c r="M156" s="45">
        <f t="shared" si="35"/>
        <v>4.4838117357223819</v>
      </c>
      <c r="N156" s="45">
        <f t="shared" si="35"/>
        <v>4.483811735722381</v>
      </c>
      <c r="O156" s="45">
        <f t="shared" si="35"/>
        <v>4.483811735722381</v>
      </c>
      <c r="P156" s="45">
        <f t="shared" si="35"/>
        <v>4.483811735722381</v>
      </c>
      <c r="Q156" s="45">
        <f t="shared" si="35"/>
        <v>4.483811735722381</v>
      </c>
      <c r="R156" s="45">
        <f t="shared" si="35"/>
        <v>4.483811735722381</v>
      </c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 ht="15.75" customHeight="1" x14ac:dyDescent="0.2">
      <c r="A157" s="9"/>
      <c r="B157" s="9"/>
      <c r="C157" s="9" t="s">
        <v>105</v>
      </c>
      <c r="D157" s="24" t="s">
        <v>35</v>
      </c>
      <c r="E157" s="9"/>
      <c r="F157" s="9"/>
      <c r="G157" s="9"/>
      <c r="H157" s="46">
        <f>H156+H154</f>
        <v>0</v>
      </c>
      <c r="I157" s="46">
        <f t="shared" ref="I157:R157" si="36">I156+I154</f>
        <v>37.101025942993537</v>
      </c>
      <c r="J157" s="46">
        <f t="shared" si="36"/>
        <v>30.487176593910128</v>
      </c>
      <c r="K157" s="46">
        <f t="shared" si="36"/>
        <v>32.666749965721401</v>
      </c>
      <c r="L157" s="46">
        <f t="shared" si="36"/>
        <v>30.478920634168411</v>
      </c>
      <c r="M157" s="46">
        <f t="shared" si="36"/>
        <v>28.419058678611911</v>
      </c>
      <c r="N157" s="46">
        <f t="shared" si="36"/>
        <v>28.419058678611904</v>
      </c>
      <c r="O157" s="46">
        <f t="shared" si="36"/>
        <v>28.419058678611904</v>
      </c>
      <c r="P157" s="46">
        <f t="shared" si="36"/>
        <v>28.419058678611904</v>
      </c>
      <c r="Q157" s="46">
        <f t="shared" si="36"/>
        <v>28.419058678611904</v>
      </c>
      <c r="R157" s="46">
        <f t="shared" si="36"/>
        <v>28.419058678611904</v>
      </c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6" t="s">
        <v>50</v>
      </c>
      <c r="C159" s="1"/>
      <c r="D159" s="1"/>
      <c r="E159" s="1"/>
      <c r="F159" s="88" t="s">
        <v>17</v>
      </c>
      <c r="G159" s="90"/>
      <c r="H159" s="18">
        <v>0</v>
      </c>
      <c r="I159" s="18">
        <v>1</v>
      </c>
      <c r="J159" s="18">
        <v>2</v>
      </c>
      <c r="K159" s="18">
        <v>3</v>
      </c>
      <c r="L159" s="18">
        <v>4</v>
      </c>
      <c r="M159" s="18">
        <v>5</v>
      </c>
      <c r="N159" s="18">
        <v>6</v>
      </c>
      <c r="O159" s="18">
        <v>7</v>
      </c>
      <c r="P159" s="18">
        <v>8</v>
      </c>
      <c r="Q159" s="18">
        <v>9</v>
      </c>
      <c r="R159" s="18">
        <v>10</v>
      </c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 t="s">
        <v>16</v>
      </c>
      <c r="D160" s="1" t="s">
        <v>35</v>
      </c>
      <c r="E160" s="1"/>
      <c r="F160" s="1"/>
      <c r="G160" s="1"/>
      <c r="H160" s="44">
        <f>H157</f>
        <v>0</v>
      </c>
      <c r="I160" s="44">
        <f t="shared" ref="I160:R160" si="37">I157</f>
        <v>37.101025942993537</v>
      </c>
      <c r="J160" s="44">
        <f t="shared" si="37"/>
        <v>30.487176593910128</v>
      </c>
      <c r="K160" s="44">
        <f t="shared" si="37"/>
        <v>32.666749965721401</v>
      </c>
      <c r="L160" s="44">
        <f t="shared" si="37"/>
        <v>30.478920634168411</v>
      </c>
      <c r="M160" s="44">
        <f t="shared" si="37"/>
        <v>28.419058678611911</v>
      </c>
      <c r="N160" s="44">
        <f t="shared" si="37"/>
        <v>28.419058678611904</v>
      </c>
      <c r="O160" s="44">
        <f t="shared" si="37"/>
        <v>28.419058678611904</v>
      </c>
      <c r="P160" s="44">
        <f t="shared" si="37"/>
        <v>28.419058678611904</v>
      </c>
      <c r="Q160" s="44">
        <f t="shared" si="37"/>
        <v>28.419058678611904</v>
      </c>
      <c r="R160" s="44">
        <f t="shared" si="37"/>
        <v>28.419058678611904</v>
      </c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2">
      <c r="A161" s="1"/>
      <c r="B161" s="1"/>
      <c r="C161" s="1" t="s">
        <v>15</v>
      </c>
      <c r="D161" s="17" t="s">
        <v>35</v>
      </c>
      <c r="E161" s="1"/>
      <c r="F161" s="1"/>
      <c r="G161" s="1"/>
      <c r="H161" s="44">
        <f>H147</f>
        <v>0</v>
      </c>
      <c r="I161" s="44">
        <f t="shared" ref="I161:R161" si="38">I147</f>
        <v>-27.281385697499491</v>
      </c>
      <c r="J161" s="44">
        <f t="shared" si="38"/>
        <v>-23.842184035976118</v>
      </c>
      <c r="K161" s="44">
        <f t="shared" si="38"/>
        <v>-24.975562189317984</v>
      </c>
      <c r="L161" s="44">
        <f t="shared" si="38"/>
        <v>-23.837890936910426</v>
      </c>
      <c r="M161" s="44">
        <f t="shared" si="38"/>
        <v>-22.766762720021045</v>
      </c>
      <c r="N161" s="44">
        <f t="shared" si="38"/>
        <v>-22.766762720021042</v>
      </c>
      <c r="O161" s="44">
        <f t="shared" si="38"/>
        <v>-22.766762720021042</v>
      </c>
      <c r="P161" s="44">
        <f t="shared" si="38"/>
        <v>-22.766762720021042</v>
      </c>
      <c r="Q161" s="44">
        <f t="shared" si="38"/>
        <v>-22.766762720021042</v>
      </c>
      <c r="R161" s="44">
        <f t="shared" si="38"/>
        <v>-22.766762720021042</v>
      </c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2">
      <c r="A162" s="1"/>
      <c r="B162" s="1"/>
      <c r="C162" s="13" t="s">
        <v>14</v>
      </c>
      <c r="D162" s="13" t="s">
        <v>35</v>
      </c>
      <c r="E162" s="13"/>
      <c r="F162" s="13"/>
      <c r="G162" s="13"/>
      <c r="H162" s="45">
        <f>-D107</f>
        <v>0</v>
      </c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2"/>
      <c r="T162" s="42"/>
      <c r="U162" s="42"/>
      <c r="V162" s="13"/>
      <c r="W162" s="13"/>
      <c r="X162" s="13"/>
      <c r="Y162" s="13"/>
      <c r="Z162" s="13"/>
      <c r="AA162" s="13"/>
    </row>
    <row r="163" spans="1:27" ht="15.75" customHeight="1" x14ac:dyDescent="0.2">
      <c r="A163" s="9"/>
      <c r="B163" s="9"/>
      <c r="C163" s="9" t="s">
        <v>13</v>
      </c>
      <c r="D163" s="9" t="s">
        <v>35</v>
      </c>
      <c r="E163" s="9"/>
      <c r="F163" s="9"/>
      <c r="G163" s="53"/>
      <c r="H163" s="48">
        <f>SUM(H160:H162)</f>
        <v>0</v>
      </c>
      <c r="I163" s="48">
        <f>SUM(I160:I161)</f>
        <v>9.8196402454940461</v>
      </c>
      <c r="J163" s="48">
        <f t="shared" ref="J163:R163" si="39">SUM(J160:J161)</f>
        <v>6.6449925579340103</v>
      </c>
      <c r="K163" s="48">
        <f t="shared" si="39"/>
        <v>7.6911877764034173</v>
      </c>
      <c r="L163" s="48">
        <f t="shared" si="39"/>
        <v>6.6410296972579843</v>
      </c>
      <c r="M163" s="48">
        <f t="shared" si="39"/>
        <v>5.6522959585908659</v>
      </c>
      <c r="N163" s="48">
        <f t="shared" si="39"/>
        <v>5.6522959585908623</v>
      </c>
      <c r="O163" s="48">
        <f t="shared" si="39"/>
        <v>5.6522959585908623</v>
      </c>
      <c r="P163" s="48">
        <f t="shared" si="39"/>
        <v>5.6522959585908623</v>
      </c>
      <c r="Q163" s="48">
        <f t="shared" si="39"/>
        <v>5.6522959585908623</v>
      </c>
      <c r="R163" s="48">
        <f t="shared" si="39"/>
        <v>5.6522959585908623</v>
      </c>
      <c r="S163" s="47"/>
      <c r="T163" s="47"/>
      <c r="U163" s="15"/>
      <c r="V163" s="15"/>
      <c r="W163" s="15"/>
      <c r="X163" s="15"/>
      <c r="Y163" s="15"/>
      <c r="Z163" s="15"/>
      <c r="AA163" s="15"/>
    </row>
    <row r="164" spans="1:27" ht="15.75" customHeight="1" x14ac:dyDescent="0.2">
      <c r="A164" s="9"/>
      <c r="B164" s="9"/>
      <c r="C164" s="4" t="s">
        <v>12</v>
      </c>
      <c r="D164" s="4" t="s">
        <v>35</v>
      </c>
      <c r="E164" s="4"/>
      <c r="F164" s="4"/>
      <c r="G164" s="53"/>
      <c r="H164" s="48">
        <f>H163</f>
        <v>0</v>
      </c>
      <c r="I164" s="48">
        <f t="shared" ref="I164:R164" si="40">I163</f>
        <v>9.8196402454940461</v>
      </c>
      <c r="J164" s="48">
        <f t="shared" si="40"/>
        <v>6.6449925579340103</v>
      </c>
      <c r="K164" s="48">
        <f t="shared" si="40"/>
        <v>7.6911877764034173</v>
      </c>
      <c r="L164" s="48">
        <f t="shared" si="40"/>
        <v>6.6410296972579843</v>
      </c>
      <c r="M164" s="48">
        <f t="shared" si="40"/>
        <v>5.6522959585908659</v>
      </c>
      <c r="N164" s="48">
        <f t="shared" si="40"/>
        <v>5.6522959585908623</v>
      </c>
      <c r="O164" s="48">
        <f t="shared" si="40"/>
        <v>5.6522959585908623</v>
      </c>
      <c r="P164" s="48">
        <f t="shared" si="40"/>
        <v>5.6522959585908623</v>
      </c>
      <c r="Q164" s="48">
        <f t="shared" si="40"/>
        <v>5.6522959585908623</v>
      </c>
      <c r="R164" s="48">
        <f t="shared" si="40"/>
        <v>5.6522959585908623</v>
      </c>
      <c r="S164" s="25"/>
      <c r="T164" s="25"/>
      <c r="U164" s="14"/>
      <c r="V164" s="14"/>
      <c r="W164" s="14"/>
      <c r="X164" s="14"/>
      <c r="Y164" s="14"/>
      <c r="Z164" s="14"/>
      <c r="AA164" s="14"/>
    </row>
    <row r="165" spans="1:27" ht="15.75" customHeight="1" x14ac:dyDescent="0.2">
      <c r="A165" s="11"/>
      <c r="B165" s="11"/>
      <c r="C165" s="11" t="s">
        <v>11</v>
      </c>
      <c r="D165" s="11" t="s">
        <v>35</v>
      </c>
      <c r="E165" s="11"/>
      <c r="F165" s="11"/>
      <c r="G165" s="11"/>
      <c r="H165" s="44">
        <f>0</f>
        <v>0</v>
      </c>
      <c r="I165" s="44">
        <f>0</f>
        <v>0</v>
      </c>
      <c r="J165" s="44">
        <f>0</f>
        <v>0</v>
      </c>
      <c r="K165" s="44">
        <f>0</f>
        <v>0</v>
      </c>
      <c r="L165" s="44">
        <f>0</f>
        <v>0</v>
      </c>
      <c r="M165" s="44">
        <f>0</f>
        <v>0</v>
      </c>
      <c r="N165" s="44">
        <f>0</f>
        <v>0</v>
      </c>
      <c r="O165" s="44">
        <f>0</f>
        <v>0</v>
      </c>
      <c r="P165" s="44">
        <f>0</f>
        <v>0</v>
      </c>
      <c r="Q165" s="44">
        <f>0</f>
        <v>0</v>
      </c>
      <c r="R165" s="44">
        <f>0</f>
        <v>0</v>
      </c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2">
      <c r="A166" s="1"/>
      <c r="B166" s="1"/>
      <c r="C166" s="1" t="s">
        <v>10</v>
      </c>
      <c r="D166" s="1" t="s">
        <v>35</v>
      </c>
      <c r="E166" s="1"/>
      <c r="F166" s="1"/>
      <c r="G166" s="1"/>
      <c r="H166" s="44">
        <f t="shared" ref="H166:R166" si="41">SUM(H164:H165)</f>
        <v>0</v>
      </c>
      <c r="I166" s="44">
        <f t="shared" si="41"/>
        <v>9.8196402454940461</v>
      </c>
      <c r="J166" s="44">
        <f t="shared" si="41"/>
        <v>6.6449925579340103</v>
      </c>
      <c r="K166" s="44">
        <f t="shared" si="41"/>
        <v>7.6911877764034173</v>
      </c>
      <c r="L166" s="44">
        <f t="shared" si="41"/>
        <v>6.6410296972579843</v>
      </c>
      <c r="M166" s="44">
        <f t="shared" si="41"/>
        <v>5.6522959585908659</v>
      </c>
      <c r="N166" s="44">
        <f t="shared" si="41"/>
        <v>5.6522959585908623</v>
      </c>
      <c r="O166" s="44">
        <f t="shared" si="41"/>
        <v>5.6522959585908623</v>
      </c>
      <c r="P166" s="44">
        <f t="shared" si="41"/>
        <v>5.6522959585908623</v>
      </c>
      <c r="Q166" s="44">
        <f t="shared" si="41"/>
        <v>5.6522959585908623</v>
      </c>
      <c r="R166" s="44">
        <f t="shared" si="41"/>
        <v>5.6522959585908623</v>
      </c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2">
      <c r="A167" s="1"/>
      <c r="B167" s="1"/>
      <c r="C167" s="13" t="s">
        <v>9</v>
      </c>
      <c r="D167" s="13" t="s">
        <v>35</v>
      </c>
      <c r="E167" s="13"/>
      <c r="F167" s="13"/>
      <c r="G167" s="42"/>
      <c r="H167" s="45"/>
      <c r="I167" s="45">
        <f t="shared" ref="I167:R167" si="42">-I166*$D$23</f>
        <v>-2.3567136589185709</v>
      </c>
      <c r="J167" s="45">
        <f t="shared" si="42"/>
        <v>-1.5947982139041623</v>
      </c>
      <c r="K167" s="45">
        <f t="shared" si="42"/>
        <v>-1.84588506633682</v>
      </c>
      <c r="L167" s="45">
        <f t="shared" si="42"/>
        <v>-1.5938471273419161</v>
      </c>
      <c r="M167" s="45">
        <f t="shared" si="42"/>
        <v>-1.3565510300618078</v>
      </c>
      <c r="N167" s="45">
        <f t="shared" si="42"/>
        <v>-1.3565510300618069</v>
      </c>
      <c r="O167" s="45">
        <f t="shared" si="42"/>
        <v>-1.3565510300618069</v>
      </c>
      <c r="P167" s="45">
        <f t="shared" si="42"/>
        <v>-1.3565510300618069</v>
      </c>
      <c r="Q167" s="45">
        <f t="shared" si="42"/>
        <v>-1.3565510300618069</v>
      </c>
      <c r="R167" s="45">
        <f t="shared" si="42"/>
        <v>-1.3565510300618069</v>
      </c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customHeight="1" x14ac:dyDescent="0.2">
      <c r="A168" s="1"/>
      <c r="B168" s="1"/>
      <c r="C168" s="9" t="s">
        <v>8</v>
      </c>
      <c r="D168" s="9" t="s">
        <v>35</v>
      </c>
      <c r="E168" s="9"/>
      <c r="F168" s="1"/>
      <c r="G168" s="1"/>
      <c r="H168" s="46">
        <f>H166</f>
        <v>0</v>
      </c>
      <c r="I168" s="46">
        <f t="shared" ref="I168:R168" si="43">SUM(I164,I167)</f>
        <v>7.4629265865754757</v>
      </c>
      <c r="J168" s="46">
        <f t="shared" si="43"/>
        <v>5.0501943440298476</v>
      </c>
      <c r="K168" s="46">
        <f t="shared" si="43"/>
        <v>5.8453027100665977</v>
      </c>
      <c r="L168" s="46">
        <f t="shared" si="43"/>
        <v>5.0471825699160684</v>
      </c>
      <c r="M168" s="46">
        <f t="shared" si="43"/>
        <v>4.2957449285290581</v>
      </c>
      <c r="N168" s="46">
        <f t="shared" si="43"/>
        <v>4.2957449285290554</v>
      </c>
      <c r="O168" s="46">
        <f t="shared" si="43"/>
        <v>4.2957449285290554</v>
      </c>
      <c r="P168" s="46">
        <f t="shared" si="43"/>
        <v>4.2957449285290554</v>
      </c>
      <c r="Q168" s="46">
        <f t="shared" si="43"/>
        <v>4.2957449285290554</v>
      </c>
      <c r="R168" s="46">
        <f t="shared" si="43"/>
        <v>4.2957449285290554</v>
      </c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2">
      <c r="A169" s="1"/>
      <c r="B169" s="1"/>
      <c r="C169" s="1" t="s">
        <v>7</v>
      </c>
      <c r="D169" s="1" t="s">
        <v>35</v>
      </c>
      <c r="E169" s="1"/>
      <c r="F169" s="1"/>
      <c r="G169" s="1"/>
      <c r="H169" s="44">
        <f t="shared" ref="H169:R169" si="44">H168/(1+$D$22)^H139</f>
        <v>0</v>
      </c>
      <c r="I169" s="44">
        <f t="shared" si="44"/>
        <v>6.8413991184171214</v>
      </c>
      <c r="J169" s="44">
        <f t="shared" si="44"/>
        <v>4.2440413533877264</v>
      </c>
      <c r="K169" s="44">
        <f t="shared" si="44"/>
        <v>4.5031278828418078</v>
      </c>
      <c r="L169" s="44">
        <f t="shared" si="44"/>
        <v>3.5644460530869746</v>
      </c>
      <c r="M169" s="44">
        <f t="shared" si="44"/>
        <v>2.7811042933603582</v>
      </c>
      <c r="N169" s="44">
        <f t="shared" si="44"/>
        <v>2.5494883595729436</v>
      </c>
      <c r="O169" s="44">
        <f t="shared" si="44"/>
        <v>2.3371618644852186</v>
      </c>
      <c r="P169" s="44">
        <f t="shared" si="44"/>
        <v>2.1425183450215872</v>
      </c>
      <c r="Q169" s="44">
        <f t="shared" si="44"/>
        <v>1.9640851275677969</v>
      </c>
      <c r="R169" s="44">
        <f t="shared" si="44"/>
        <v>1.8005121857167301</v>
      </c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2">
      <c r="A170" s="1"/>
      <c r="B170" s="1"/>
      <c r="C170" s="1" t="s">
        <v>51</v>
      </c>
      <c r="D170" s="1" t="s">
        <v>35</v>
      </c>
      <c r="E170" s="1"/>
      <c r="F170" s="1"/>
      <c r="G170" s="1"/>
      <c r="H170" s="44">
        <f>H169</f>
        <v>0</v>
      </c>
      <c r="I170" s="44">
        <f>H170+I169</f>
        <v>6.8413991184171214</v>
      </c>
      <c r="J170" s="44">
        <f t="shared" ref="J170:R170" si="45">I170+J169</f>
        <v>11.085440471804848</v>
      </c>
      <c r="K170" s="44">
        <f t="shared" si="45"/>
        <v>15.588568354646656</v>
      </c>
      <c r="L170" s="44">
        <f t="shared" si="45"/>
        <v>19.153014407733629</v>
      </c>
      <c r="M170" s="44">
        <f t="shared" si="45"/>
        <v>21.934118701093986</v>
      </c>
      <c r="N170" s="44">
        <f t="shared" si="45"/>
        <v>24.48360706066693</v>
      </c>
      <c r="O170" s="44">
        <f t="shared" si="45"/>
        <v>26.820768925152148</v>
      </c>
      <c r="P170" s="44">
        <f t="shared" si="45"/>
        <v>28.963287270173737</v>
      </c>
      <c r="Q170" s="44">
        <f t="shared" si="45"/>
        <v>30.927372397741532</v>
      </c>
      <c r="R170" s="44">
        <f t="shared" si="45"/>
        <v>32.727884583458263</v>
      </c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44">
        <f>IF(H170&lt;0,(13-6)/12,0)</f>
        <v>0</v>
      </c>
      <c r="I172" s="44">
        <f>IF(COUNTIF($H172:H172,"=0")=COUNTA($H172:H172),IF(I170&lt;0,(13-6)/12,0),IF(I170&lt;0,1,IF(I170=0,IF(H170&gt;=0,0,1),IF(H170&lt;0,-H170/I169,0))))</f>
        <v>0</v>
      </c>
      <c r="J172" s="44">
        <f>IF(COUNTIF($H172:I172,"=0")=COUNTA($H172:I172),IF(J170&lt;0,(13-6)/12,0),IF(J170&lt;0,1,IF(J170=0,IF(I170&gt;=0,0,1),IF(I170&lt;0,-I170/J169,0))))</f>
        <v>0</v>
      </c>
      <c r="K172" s="44">
        <f>IF(COUNTIF($H172:J172,"=0")=COUNTA($H172:J172),IF(K170&lt;0,(13-6)/12,0),IF(K170&lt;0,1,IF(K170=0,IF(J170&gt;=0,0,1),IF(J170&lt;0,-J170/K169,0))))</f>
        <v>0</v>
      </c>
      <c r="L172" s="44">
        <f>IF(COUNTIF($H172:K172,"=0")=COUNTA($H172:K172),IF(L170&lt;0,(13-6)/12,0),IF(L170&lt;0,1,IF(L170=0,IF(K170&gt;=0,0,1),IF(K170&lt;0,-K170/L169,0))))</f>
        <v>0</v>
      </c>
      <c r="M172" s="44">
        <f>IF(COUNTIF($H172:L172,"=0")=COUNTA($H172:L172),IF(M170&lt;0,(13-6)/12,0),IF(M170&lt;0,1,IF(M170=0,IF(L170&gt;=0,0,1),IF(L170&lt;0,-L170/M169,0))))</f>
        <v>0</v>
      </c>
      <c r="N172" s="44">
        <f>IF(COUNTIF($H172:M172,"=0")=COUNTA($H172:M172),IF(N170&lt;0,(13-6)/12,0),IF(N170&lt;0,1,IF(N170=0,IF(M170&gt;=0,0,1),IF(M170&lt;0,-M170/N169,0))))</f>
        <v>0</v>
      </c>
      <c r="O172" s="44">
        <f>IF(COUNTIF($H172:N172,"=0")=COUNTA($H172:N172),IF(O170&lt;0,(13-6)/12,0),IF(O170&lt;0,1,IF(O170=0,IF(N170&gt;=0,0,1),IF(N170&lt;0,-N170/O169,0))))</f>
        <v>0</v>
      </c>
      <c r="P172" s="44">
        <f>IF(COUNTIF($H172:O172,"=0")=COUNTA($H172:O172),IF(P170&lt;0,(13-6)/12,0),IF(P170&lt;0,1,IF(P170=0,IF(O170&gt;=0,0,1),IF(O170&lt;0,-O170/P169,0))))</f>
        <v>0</v>
      </c>
      <c r="Q172" s="44">
        <f>IF(COUNTIF($H172:P172,"=0")=COUNTA($H172:P172),IF(Q170&lt;0,(13-6)/12,0),IF(Q170&lt;0,1,IF(Q170=0,IF(P170&gt;=0,0,1),IF(P170&lt;0,-P170/Q169,0))))</f>
        <v>0</v>
      </c>
      <c r="R172" s="44">
        <f>IF(COUNTIF($H172:Q172,"=0")=COUNTA($H172:Q172),IF(R170&lt;0,(13-6)/12,0),IF(R170&lt;0,1,IF(R170=0,IF(Q170&gt;=0,0,1),IF(Q170&lt;0,-Q170/R169,0))))</f>
        <v>0</v>
      </c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2">
      <c r="A173" s="1"/>
      <c r="B173" s="1"/>
      <c r="C173" s="1"/>
      <c r="D173" s="1" t="s">
        <v>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6" t="s">
        <v>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5" t="s">
        <v>4</v>
      </c>
      <c r="D175" s="4" t="s">
        <v>35</v>
      </c>
      <c r="E175" s="3"/>
      <c r="F175" s="10">
        <f>NPV(D82,I168:R168)+H168</f>
        <v>49.180075781762319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9"/>
      <c r="C177" s="5" t="s">
        <v>3</v>
      </c>
      <c r="D177" s="4" t="s">
        <v>35</v>
      </c>
      <c r="E177" s="3"/>
      <c r="F177" s="8">
        <f>SUM(H169:R169)</f>
        <v>32.727884583458263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7">
        <f>NPV(F181,I168:R168)+H168</f>
        <v>17.026481523686545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6" t="s">
        <v>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5" t="s">
        <v>1</v>
      </c>
      <c r="D181" s="4" t="s">
        <v>0</v>
      </c>
      <c r="E181" s="3"/>
      <c r="F181" s="2">
        <v>0.30256107521085068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6" t="s">
        <v>112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49" t="s">
        <v>113</v>
      </c>
      <c r="D185" s="50" t="s">
        <v>35</v>
      </c>
      <c r="E185" s="51"/>
      <c r="F185" s="52">
        <f>AVERAGE(I169:R169)</f>
        <v>3.2727884583458264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49" t="s">
        <v>114</v>
      </c>
      <c r="D186" s="50" t="s">
        <v>40</v>
      </c>
      <c r="E186" s="51"/>
      <c r="F186" s="52">
        <f>F185*1000/I151</f>
        <v>7.378775181362375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.7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.7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.7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.7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5.7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5.7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5.7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5.75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5.75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5.75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5.75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5.75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5.75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5.75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5.75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5.75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5.75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5.75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5.75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5.75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5.75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5.75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5.75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5.75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5.75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5.75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5.75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5.75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5.75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5.75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5.75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5.75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5.75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5.75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5.75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5.75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5.75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5.75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5.75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5.75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5.75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5.75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5.75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5.75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5.75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5.75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5.75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5.75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5.75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5.75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5.75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5.75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5.75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5.75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5.75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5.75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5.75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5.75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5.75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5.75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5.75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5.75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5.75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5.75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5.75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5.75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5.75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5.75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5.75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5.75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5.75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5.75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5.75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5.75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5.75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5.75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5.75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5.75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5.75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5.75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5.75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</sheetData>
  <dataConsolidate/>
  <mergeCells count="5">
    <mergeCell ref="C3:G3"/>
    <mergeCell ref="F89:G89"/>
    <mergeCell ref="F107:G107"/>
    <mergeCell ref="F139:G139"/>
    <mergeCell ref="F159:G159"/>
  </mergeCells>
  <dataValidations count="3">
    <dataValidation type="list" allowBlank="1" showInputMessage="1" showErrorMessage="1" sqref="D84" xr:uid="{314EC124-BB11-1946-851B-C76509D1EFD5}">
      <formula1>"0.5,0.55,0.6,0.65,0.7"</formula1>
    </dataValidation>
    <dataValidation type="list" allowBlank="1" showInputMessage="1" showErrorMessage="1" sqref="D83" xr:uid="{03326981-C39C-5240-A9FF-969359A5E445}">
      <formula1>"0.05,0.1,0.15,0.2,0.25"</formula1>
    </dataValidation>
    <dataValidation type="list" allowBlank="1" showInputMessage="1" showErrorMessage="1" sqref="D85" xr:uid="{198A93E2-41C4-C24D-ABC4-36096CD2C2E7}">
      <formula1>"BASE,FIP,FIC,COMBO"</formula1>
    </dataValidation>
  </dataValidations>
  <hyperlinks>
    <hyperlink ref="G48" r:id="rId1" xr:uid="{EE3AE636-220D-174C-959A-895E73EFE3F2}"/>
    <hyperlink ref="G58" r:id="rId2" xr:uid="{A9A0A60A-FCB5-FA40-9849-727F0A869A42}"/>
    <hyperlink ref="G57" r:id="rId3" xr:uid="{E9B0EAE9-9E3B-6A4B-91EB-43FA3BE6CDFA}"/>
  </hyperlink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720C-CF0C-6043-AB15-254656B37D38}">
  <dimension ref="A1:AB1089"/>
  <sheetViews>
    <sheetView showGridLines="0" topLeftCell="A96" zoomScale="75" zoomScaleNormal="100" workbookViewId="0">
      <pane xSplit="7" topLeftCell="H1" activePane="topRight" state="frozen"/>
      <selection pane="topRight" activeCell="S124" sqref="S1:S1048576"/>
    </sheetView>
  </sheetViews>
  <sheetFormatPr baseColWidth="10" defaultColWidth="11.1640625" defaultRowHeight="15" customHeight="1" outlineLevelRow="1" x14ac:dyDescent="0.2"/>
  <cols>
    <col min="1" max="1" width="2.1640625" customWidth="1"/>
    <col min="2" max="2" width="4.6640625" customWidth="1"/>
    <col min="3" max="3" width="47.6640625" customWidth="1"/>
    <col min="4" max="4" width="14" customWidth="1"/>
    <col min="5" max="5" width="2" customWidth="1"/>
    <col min="6" max="6" width="20.83203125" customWidth="1"/>
    <col min="7" max="7" width="11.33203125" bestFit="1" customWidth="1"/>
    <col min="8" max="8" width="13.5" customWidth="1"/>
    <col min="9" max="22" width="12.5" customWidth="1"/>
    <col min="23" max="27" width="12" customWidth="1"/>
  </cols>
  <sheetData>
    <row r="1" spans="1:27" ht="15.75" customHeight="1" x14ac:dyDescent="0.2">
      <c r="A1" s="1"/>
      <c r="B1" s="33" t="s">
        <v>38</v>
      </c>
      <c r="C1" s="33"/>
      <c r="D1" s="33"/>
      <c r="E1" s="33"/>
      <c r="F1" s="33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1.5" customHeight="1" x14ac:dyDescent="0.2">
      <c r="A3" s="31"/>
      <c r="B3" s="20"/>
      <c r="C3" s="86" t="s">
        <v>39</v>
      </c>
      <c r="D3" s="87"/>
      <c r="E3" s="87"/>
      <c r="F3" s="87"/>
      <c r="G3" s="87"/>
      <c r="H3" s="32"/>
      <c r="I3" s="32"/>
      <c r="J3" s="32"/>
      <c r="K3" s="32"/>
      <c r="L3" s="32"/>
      <c r="M3" s="32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s="41" customFormat="1" ht="25" customHeight="1" x14ac:dyDescent="0.2">
      <c r="A6" s="39"/>
      <c r="B6" s="40" t="s">
        <v>29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</row>
    <row r="7" spans="1:27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61" customFormat="1" ht="15.75" customHeight="1" outlineLevel="1" x14ac:dyDescent="0.2">
      <c r="A8" s="60"/>
      <c r="B8" s="62" t="s">
        <v>63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</row>
    <row r="9" spans="1:27" ht="15.75" customHeight="1" outlineLevel="1" x14ac:dyDescent="0.2">
      <c r="A9" s="1"/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" outlineLevel="1" x14ac:dyDescent="0.2">
      <c r="C10" t="s">
        <v>54</v>
      </c>
      <c r="D10" s="36">
        <v>66458.513999999675</v>
      </c>
      <c r="F10" t="s">
        <v>111</v>
      </c>
    </row>
    <row r="11" spans="1:27" ht="16" outlineLevel="1" x14ac:dyDescent="0.2">
      <c r="C11" t="s">
        <v>55</v>
      </c>
      <c r="D11" s="36">
        <v>63330.169000001297</v>
      </c>
      <c r="F11" t="s">
        <v>111</v>
      </c>
    </row>
    <row r="12" spans="1:27" ht="16" outlineLevel="1" x14ac:dyDescent="0.2">
      <c r="C12" s="55" t="s">
        <v>56</v>
      </c>
      <c r="D12" s="56">
        <v>180689.93499999747</v>
      </c>
      <c r="E12" s="43"/>
      <c r="F12" s="43" t="s">
        <v>111</v>
      </c>
    </row>
    <row r="13" spans="1:27" ht="16" outlineLevel="1" x14ac:dyDescent="0.2">
      <c r="C13" s="57" t="s">
        <v>57</v>
      </c>
      <c r="D13" s="58">
        <f>SUM(D10:D12)</f>
        <v>310478.61799999845</v>
      </c>
      <c r="E13" s="57"/>
      <c r="F13" s="57" t="s">
        <v>111</v>
      </c>
    </row>
    <row r="14" spans="1:27" ht="15.75" customHeight="1" outlineLevel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s="61" customFormat="1" ht="15.75" customHeight="1" outlineLevel="1" x14ac:dyDescent="0.2">
      <c r="A15" s="60"/>
      <c r="B15" s="62" t="s">
        <v>108</v>
      </c>
      <c r="C15" s="60"/>
      <c r="D15" s="60"/>
      <c r="E15" s="60"/>
      <c r="F15" s="60"/>
      <c r="G15" s="60" t="s">
        <v>72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spans="1:27" ht="15.75" customHeight="1" outlineLevel="1" x14ac:dyDescent="0.2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" outlineLevel="1" x14ac:dyDescent="0.2">
      <c r="C17" t="s">
        <v>58</v>
      </c>
      <c r="D17" s="59">
        <v>0.107</v>
      </c>
      <c r="G17" t="s">
        <v>73</v>
      </c>
    </row>
    <row r="18" spans="1:27" ht="16" outlineLevel="1" x14ac:dyDescent="0.2">
      <c r="C18" t="s">
        <v>59</v>
      </c>
      <c r="D18" s="59">
        <v>6.0499999999999998E-2</v>
      </c>
      <c r="G18" t="s">
        <v>73</v>
      </c>
    </row>
    <row r="19" spans="1:27" ht="16" outlineLevel="1" x14ac:dyDescent="0.2">
      <c r="C19" t="s">
        <v>60</v>
      </c>
      <c r="D19" s="59">
        <v>0.73529999999999995</v>
      </c>
      <c r="G19" t="s">
        <v>73</v>
      </c>
    </row>
    <row r="20" spans="1:27" ht="16" outlineLevel="1" x14ac:dyDescent="0.2">
      <c r="C20" t="s">
        <v>61</v>
      </c>
      <c r="D20" s="59">
        <v>0.26469999999999999</v>
      </c>
      <c r="G20" t="s">
        <v>73</v>
      </c>
    </row>
    <row r="21" spans="1:27" ht="16" outlineLevel="1" x14ac:dyDescent="0.2">
      <c r="C21" t="s">
        <v>62</v>
      </c>
      <c r="D21" s="35">
        <v>0.24</v>
      </c>
      <c r="G21" t="s">
        <v>73</v>
      </c>
    </row>
    <row r="22" spans="1:27" ht="16" outlineLevel="1" x14ac:dyDescent="0.2">
      <c r="C22" s="21" t="s">
        <v>36</v>
      </c>
      <c r="D22" s="38">
        <f>D19*D17+D20*D18*(1-D21)</f>
        <v>9.0848005999999995E-2</v>
      </c>
      <c r="E22" s="21"/>
      <c r="F22" s="21" t="s">
        <v>22</v>
      </c>
    </row>
    <row r="23" spans="1:27" ht="16" outlineLevel="1" x14ac:dyDescent="0.2">
      <c r="C23" s="21" t="s">
        <v>23</v>
      </c>
      <c r="D23" s="38">
        <f>D21</f>
        <v>0.24</v>
      </c>
      <c r="E23" s="21"/>
      <c r="F23" s="21"/>
    </row>
    <row r="24" spans="1:27" ht="15.75" customHeight="1" outlineLevel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61" customFormat="1" ht="15.75" customHeight="1" outlineLevel="1" x14ac:dyDescent="0.2">
      <c r="A25" s="60"/>
      <c r="B25" s="62" t="s">
        <v>109</v>
      </c>
      <c r="C25" s="60"/>
      <c r="D25" s="60"/>
      <c r="E25" s="60"/>
      <c r="F25" s="60"/>
      <c r="G25" s="60" t="s">
        <v>72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spans="1:27" ht="15.75" customHeight="1" outlineLevel="1" x14ac:dyDescent="0.2">
      <c r="A26" s="1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" outlineLevel="1" x14ac:dyDescent="0.2">
      <c r="C27" t="s">
        <v>58</v>
      </c>
      <c r="D27" s="59">
        <v>8.9399999999999993E-2</v>
      </c>
      <c r="G27" t="s">
        <v>73</v>
      </c>
    </row>
    <row r="28" spans="1:27" ht="16" outlineLevel="1" x14ac:dyDescent="0.2">
      <c r="C28" t="s">
        <v>59</v>
      </c>
      <c r="D28" s="59">
        <v>5.7500000000000002E-2</v>
      </c>
      <c r="G28" t="s">
        <v>73</v>
      </c>
    </row>
    <row r="29" spans="1:27" ht="16" outlineLevel="1" x14ac:dyDescent="0.2">
      <c r="C29" t="s">
        <v>60</v>
      </c>
      <c r="D29" s="59">
        <v>0.52649999999999997</v>
      </c>
      <c r="G29" t="s">
        <v>73</v>
      </c>
    </row>
    <row r="30" spans="1:27" ht="16" outlineLevel="1" x14ac:dyDescent="0.2">
      <c r="C30" t="s">
        <v>61</v>
      </c>
      <c r="D30" s="59">
        <v>0.47349999999999998</v>
      </c>
      <c r="G30" t="s">
        <v>73</v>
      </c>
    </row>
    <row r="31" spans="1:27" ht="16" outlineLevel="1" x14ac:dyDescent="0.2">
      <c r="C31" t="s">
        <v>62</v>
      </c>
      <c r="D31" s="35">
        <v>0.24</v>
      </c>
      <c r="G31" t="s">
        <v>73</v>
      </c>
    </row>
    <row r="32" spans="1:27" ht="16" outlineLevel="1" x14ac:dyDescent="0.2">
      <c r="C32" s="21" t="s">
        <v>36</v>
      </c>
      <c r="D32" s="38">
        <f>D29*D27+D30*D28*(1-D31)</f>
        <v>6.7761049999999989E-2</v>
      </c>
      <c r="E32" s="21"/>
      <c r="F32" s="21" t="s">
        <v>22</v>
      </c>
    </row>
    <row r="33" spans="1:27" ht="16" outlineLevel="1" x14ac:dyDescent="0.2">
      <c r="C33" s="21" t="s">
        <v>23</v>
      </c>
      <c r="D33" s="38">
        <f>D31</f>
        <v>0.24</v>
      </c>
      <c r="E33" s="21"/>
      <c r="F33" s="21"/>
    </row>
    <row r="34" spans="1:27" ht="15.75" customHeight="1" outlineLevel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61" customFormat="1" ht="15.75" customHeight="1" outlineLevel="1" x14ac:dyDescent="0.2">
      <c r="A35" s="60"/>
      <c r="B35" s="62" t="s">
        <v>64</v>
      </c>
      <c r="C35" s="60"/>
      <c r="D35" s="60"/>
      <c r="E35" s="60"/>
      <c r="F35" s="60"/>
      <c r="G35" s="60" t="s">
        <v>72</v>
      </c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spans="1:27" ht="15.75" customHeight="1" outlineLevel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outlineLevel="1" x14ac:dyDescent="0.2">
      <c r="A37" s="21"/>
      <c r="B37" s="21"/>
      <c r="C37" s="21" t="s">
        <v>28</v>
      </c>
      <c r="D37" s="34">
        <v>10</v>
      </c>
      <c r="E37" s="29"/>
      <c r="F37" s="29" t="s">
        <v>27</v>
      </c>
      <c r="G37" s="20"/>
      <c r="H37" s="21"/>
      <c r="I37" s="2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outlineLevel="1" x14ac:dyDescent="0.2">
      <c r="A38" s="21"/>
      <c r="B38" s="21"/>
      <c r="C38" s="21" t="s">
        <v>33</v>
      </c>
      <c r="D38" s="54">
        <f>D43*1000/D41</f>
        <v>8504.566210045663</v>
      </c>
      <c r="E38" s="29"/>
      <c r="F38" s="29" t="s">
        <v>30</v>
      </c>
      <c r="G38" s="20"/>
      <c r="H38" s="21"/>
      <c r="I38" s="2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outlineLevel="1" x14ac:dyDescent="0.2">
      <c r="A39" s="21"/>
      <c r="B39" s="21"/>
      <c r="C39" s="21" t="s">
        <v>34</v>
      </c>
      <c r="D39" s="54">
        <f>ROUND(D38*1.3,0)</f>
        <v>11056</v>
      </c>
      <c r="E39" s="29"/>
      <c r="F39" s="29" t="s">
        <v>30</v>
      </c>
      <c r="G39" s="20"/>
      <c r="H39" s="21"/>
      <c r="I39" s="2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outlineLevel="1" x14ac:dyDescent="0.2">
      <c r="A40" s="21"/>
      <c r="B40" s="21"/>
      <c r="C40" s="21" t="s">
        <v>34</v>
      </c>
      <c r="D40" s="54">
        <f>ROUND(D39/10,0)*10</f>
        <v>11060</v>
      </c>
      <c r="E40" s="29"/>
      <c r="F40" s="28" t="s">
        <v>30</v>
      </c>
      <c r="G40" s="20"/>
      <c r="H40" s="30"/>
      <c r="I40" s="3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outlineLevel="1" x14ac:dyDescent="0.2">
      <c r="A41" s="21"/>
      <c r="B41" s="21"/>
      <c r="C41" s="21" t="s">
        <v>26</v>
      </c>
      <c r="D41" s="36">
        <f>8760*0.7</f>
        <v>6132</v>
      </c>
      <c r="E41" s="29"/>
      <c r="F41" s="28" t="s">
        <v>25</v>
      </c>
      <c r="G41" s="20"/>
      <c r="H41" s="1"/>
      <c r="I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outlineLevel="1" x14ac:dyDescent="0.2">
      <c r="A42" s="21"/>
      <c r="B42" s="21"/>
      <c r="C42" s="21" t="s">
        <v>52</v>
      </c>
      <c r="D42" s="36">
        <f>D13</f>
        <v>310478.61799999845</v>
      </c>
      <c r="E42" s="29"/>
      <c r="F42" s="28" t="s">
        <v>53</v>
      </c>
      <c r="G42" s="20"/>
      <c r="H42" s="1"/>
      <c r="I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outlineLevel="1" x14ac:dyDescent="0.2">
      <c r="A43" s="21"/>
      <c r="B43" s="21"/>
      <c r="C43" s="21" t="s">
        <v>46</v>
      </c>
      <c r="D43" s="37">
        <f>1043*0.05*1000</f>
        <v>52150.000000000007</v>
      </c>
      <c r="E43" s="29"/>
      <c r="F43" s="28" t="s">
        <v>24</v>
      </c>
      <c r="G43" s="20"/>
      <c r="H43" s="1"/>
      <c r="J43" s="83"/>
      <c r="K43" s="82"/>
      <c r="M43" s="8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outlineLevel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61" customFormat="1" ht="15.75" customHeight="1" outlineLevel="1" x14ac:dyDescent="0.2">
      <c r="A45" s="60"/>
      <c r="B45" s="62" t="s">
        <v>74</v>
      </c>
      <c r="C45" s="60"/>
      <c r="D45" s="60"/>
      <c r="E45" s="60"/>
      <c r="F45" s="60"/>
      <c r="G45" s="60" t="s">
        <v>72</v>
      </c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spans="1:27" ht="15.75" customHeight="1" outlineLevel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outlineLevel="1" x14ac:dyDescent="0.2">
      <c r="A47" s="21"/>
      <c r="B47" s="21"/>
      <c r="C47" s="21" t="s">
        <v>67</v>
      </c>
      <c r="D47" s="37">
        <f>SUM(D48:D52)</f>
        <v>310</v>
      </c>
      <c r="E47" s="29"/>
      <c r="F47" s="28" t="s">
        <v>32</v>
      </c>
      <c r="G47" s="20"/>
      <c r="H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outlineLevel="1" x14ac:dyDescent="0.2">
      <c r="A48" s="21"/>
      <c r="B48" s="21"/>
      <c r="C48" s="63" t="s">
        <v>68</v>
      </c>
      <c r="D48" s="36">
        <v>90</v>
      </c>
      <c r="E48" s="29"/>
      <c r="F48" s="28" t="s">
        <v>32</v>
      </c>
      <c r="G48" s="65" t="s">
        <v>75</v>
      </c>
      <c r="H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outlineLevel="1" x14ac:dyDescent="0.2">
      <c r="A49" s="21"/>
      <c r="B49" s="21"/>
      <c r="C49" s="63" t="s">
        <v>69</v>
      </c>
      <c r="D49" s="36">
        <v>105</v>
      </c>
      <c r="E49" s="29"/>
      <c r="F49" s="28" t="s">
        <v>32</v>
      </c>
      <c r="G49" s="20"/>
      <c r="H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outlineLevel="1" x14ac:dyDescent="0.2">
      <c r="A50" s="21"/>
      <c r="B50" s="21"/>
      <c r="C50" s="63" t="s">
        <v>65</v>
      </c>
      <c r="D50" s="36">
        <v>45</v>
      </c>
      <c r="E50" s="29"/>
      <c r="F50" s="28" t="s">
        <v>32</v>
      </c>
      <c r="G50" s="20"/>
      <c r="H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outlineLevel="1" x14ac:dyDescent="0.2">
      <c r="A51" s="21"/>
      <c r="B51" s="21"/>
      <c r="C51" s="63" t="s">
        <v>70</v>
      </c>
      <c r="D51" s="36">
        <v>35</v>
      </c>
      <c r="E51" s="29"/>
      <c r="F51" s="28" t="s">
        <v>32</v>
      </c>
      <c r="G51" s="20"/>
      <c r="H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outlineLevel="1" x14ac:dyDescent="0.2">
      <c r="A52" s="21"/>
      <c r="B52" s="21"/>
      <c r="C52" s="63" t="s">
        <v>77</v>
      </c>
      <c r="D52" s="36">
        <v>35</v>
      </c>
      <c r="E52" s="29"/>
      <c r="F52" s="28" t="s">
        <v>32</v>
      </c>
      <c r="G52" s="20"/>
      <c r="H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outlineLevel="1" x14ac:dyDescent="0.2">
      <c r="A53" s="21"/>
      <c r="B53" s="21"/>
      <c r="C53" s="63" t="s">
        <v>93</v>
      </c>
      <c r="D53" s="35">
        <v>0.1</v>
      </c>
      <c r="E53" s="29"/>
      <c r="F53" s="28" t="s">
        <v>90</v>
      </c>
      <c r="G53" s="20"/>
      <c r="H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outlineLevel="1" x14ac:dyDescent="0.2">
      <c r="A54" s="21"/>
      <c r="B54" s="21"/>
      <c r="C54" s="66" t="s">
        <v>67</v>
      </c>
      <c r="D54" s="36">
        <f>(D47*D40/1000)*(1+D53)</f>
        <v>3771.46</v>
      </c>
      <c r="E54" s="21"/>
      <c r="F54" s="27" t="s">
        <v>35</v>
      </c>
      <c r="G54" s="20"/>
      <c r="H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outlineLevel="1" x14ac:dyDescent="0.2">
      <c r="A55" s="21"/>
      <c r="B55" s="21"/>
      <c r="C55" s="21" t="s">
        <v>103</v>
      </c>
      <c r="D55" s="36">
        <v>10</v>
      </c>
      <c r="E55" s="21"/>
      <c r="F55" s="28" t="s">
        <v>37</v>
      </c>
      <c r="G55" s="20" t="s">
        <v>76</v>
      </c>
      <c r="H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outlineLevel="1" x14ac:dyDescent="0.2">
      <c r="A56" s="21"/>
      <c r="B56" s="21"/>
      <c r="C56" s="21" t="s">
        <v>94</v>
      </c>
      <c r="D56" s="36">
        <f>IF(OR(D85="FIC",D85="COMBO"),0,D55)</f>
        <v>0</v>
      </c>
      <c r="E56" s="29"/>
      <c r="F56" s="28" t="s">
        <v>37</v>
      </c>
      <c r="G56" s="20" t="s">
        <v>76</v>
      </c>
      <c r="H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outlineLevel="1" x14ac:dyDescent="0.2">
      <c r="A57" s="21"/>
      <c r="B57" s="21"/>
      <c r="C57" s="21" t="s">
        <v>66</v>
      </c>
      <c r="D57" s="36">
        <v>3.5</v>
      </c>
      <c r="E57" s="21"/>
      <c r="F57" s="21" t="s">
        <v>71</v>
      </c>
      <c r="G57" s="65" t="s">
        <v>75</v>
      </c>
      <c r="H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outlineLevel="1" x14ac:dyDescent="0.2">
      <c r="A58" s="21"/>
      <c r="B58" s="21"/>
      <c r="C58" s="21" t="s">
        <v>15</v>
      </c>
      <c r="D58" s="64">
        <v>2.5</v>
      </c>
      <c r="E58" s="21"/>
      <c r="F58" s="27" t="s">
        <v>40</v>
      </c>
      <c r="G58" s="65" t="s">
        <v>75</v>
      </c>
      <c r="H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outlineLevel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61" customFormat="1" ht="15.75" customHeight="1" outlineLevel="1" x14ac:dyDescent="0.2">
      <c r="A60" s="60"/>
      <c r="B60" s="62" t="s">
        <v>79</v>
      </c>
      <c r="C60" s="60"/>
      <c r="D60" s="60"/>
      <c r="E60" s="60"/>
      <c r="F60" s="60"/>
      <c r="G60" s="60" t="s">
        <v>72</v>
      </c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spans="1:27" ht="15.75" customHeight="1" outlineLevel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outlineLevel="1" x14ac:dyDescent="0.2">
      <c r="A62" s="1"/>
      <c r="B62" s="1"/>
      <c r="C62" s="21" t="s">
        <v>91</v>
      </c>
      <c r="D62" s="69">
        <f>0.0560958904038811</f>
        <v>5.6095890403881098E-2</v>
      </c>
      <c r="E62" s="21"/>
      <c r="F62" s="27" t="s">
        <v>78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outlineLevel="1" x14ac:dyDescent="0.2">
      <c r="A63" s="1"/>
      <c r="B63" s="1"/>
      <c r="C63" s="21" t="s">
        <v>95</v>
      </c>
      <c r="D63" s="69">
        <f>IF(OR(D85="FIP",D85="COMBO"),D83,0)</f>
        <v>0.15</v>
      </c>
      <c r="E63" s="21"/>
      <c r="F63" s="2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outlineLevel="1" x14ac:dyDescent="0.2">
      <c r="A64" s="1"/>
      <c r="B64" s="1"/>
      <c r="C64" s="21" t="s">
        <v>88</v>
      </c>
      <c r="D64" s="69">
        <v>0.30399999999999999</v>
      </c>
      <c r="E64" s="21"/>
      <c r="F64" s="27" t="s">
        <v>78</v>
      </c>
      <c r="G64" s="1"/>
      <c r="H64" s="1">
        <v>3.8889321999999997E-2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8" ht="15.75" customHeight="1" outlineLevel="1" x14ac:dyDescent="0.2">
      <c r="A65" s="1"/>
      <c r="B65" s="1"/>
      <c r="C65" s="21" t="s">
        <v>84</v>
      </c>
      <c r="D65" s="35">
        <f>IF(OR(D85="FIC",D85="COMBO"), D84,0%)</f>
        <v>0.6</v>
      </c>
      <c r="E65" s="21"/>
      <c r="F65" s="2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8" ht="15.75" customHeight="1" outlineLevel="1" x14ac:dyDescent="0.2">
      <c r="A66" s="21"/>
      <c r="B66" s="21"/>
      <c r="C66" s="21" t="s">
        <v>41</v>
      </c>
      <c r="D66" s="35">
        <v>0.3</v>
      </c>
      <c r="E66" s="21"/>
      <c r="F66" s="27"/>
      <c r="G66" s="21"/>
      <c r="H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8" ht="15.75" customHeight="1" outlineLevel="1" x14ac:dyDescent="0.2">
      <c r="A67" s="21"/>
      <c r="B67" s="21"/>
      <c r="C67" s="21" t="s">
        <v>42</v>
      </c>
      <c r="D67" s="36">
        <f>D43*D66</f>
        <v>15645.000000000002</v>
      </c>
      <c r="E67" s="21"/>
      <c r="F67" s="27" t="s">
        <v>24</v>
      </c>
      <c r="G67" s="21"/>
      <c r="H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8" ht="15.75" customHeight="1" outlineLevel="1" x14ac:dyDescent="0.2">
      <c r="A68" s="21"/>
      <c r="B68" s="21"/>
      <c r="C68" s="21" t="s">
        <v>43</v>
      </c>
      <c r="D68" s="35">
        <v>0</v>
      </c>
      <c r="E68" s="21"/>
      <c r="F68" s="27"/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8" ht="15.75" customHeight="1" outlineLevel="1" x14ac:dyDescent="0.2">
      <c r="A69" s="21"/>
      <c r="B69" s="21"/>
      <c r="C69" s="21" t="s">
        <v>107</v>
      </c>
      <c r="D69" s="67">
        <v>0.35</v>
      </c>
      <c r="E69" s="21"/>
      <c r="F69" s="27"/>
      <c r="G69" s="2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8" ht="15.75" customHeight="1" x14ac:dyDescent="0.2">
      <c r="A70" s="21"/>
      <c r="B70" s="21"/>
      <c r="C70" s="21"/>
      <c r="D70" s="75"/>
      <c r="E70" s="21"/>
      <c r="F70" s="27"/>
      <c r="G70" s="2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8" ht="15.75" customHeight="1" x14ac:dyDescent="0.2">
      <c r="A71" s="21"/>
      <c r="B71" s="21"/>
      <c r="G71" s="2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8" s="71" customFormat="1" ht="22" customHeight="1" x14ac:dyDescent="0.2">
      <c r="A72" s="70"/>
      <c r="B72" s="73" t="s">
        <v>83</v>
      </c>
      <c r="G72" s="70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spans="1:28" ht="16" x14ac:dyDescent="0.2">
      <c r="A73" s="21"/>
      <c r="B73" s="74"/>
      <c r="G73" s="2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8" ht="16" x14ac:dyDescent="0.2">
      <c r="A74" s="21"/>
      <c r="B74" s="74"/>
      <c r="G74" s="21"/>
      <c r="H74" s="18">
        <v>2022</v>
      </c>
      <c r="I74" s="18">
        <v>2023</v>
      </c>
      <c r="J74" s="18">
        <v>2024</v>
      </c>
      <c r="K74" s="18">
        <v>2025</v>
      </c>
      <c r="L74" s="18">
        <v>2026</v>
      </c>
      <c r="M74" s="18">
        <v>2027</v>
      </c>
      <c r="N74" s="18">
        <v>2028</v>
      </c>
      <c r="O74" s="18">
        <v>2029</v>
      </c>
      <c r="P74" s="18">
        <v>2030</v>
      </c>
      <c r="Q74" s="18">
        <v>2031</v>
      </c>
      <c r="R74" s="18">
        <v>2032</v>
      </c>
      <c r="T74" s="1"/>
      <c r="U74" s="1"/>
      <c r="V74" s="1"/>
      <c r="W74" s="1"/>
      <c r="X74" s="1"/>
      <c r="Y74" s="1"/>
      <c r="Z74" s="1"/>
      <c r="AA74" s="1"/>
      <c r="AB74" s="1"/>
    </row>
    <row r="75" spans="1:28" ht="16" x14ac:dyDescent="0.2">
      <c r="A75" s="21"/>
      <c r="B75" s="74"/>
      <c r="C75" t="s">
        <v>89</v>
      </c>
      <c r="D75" s="68">
        <f>I75</f>
        <v>116.125</v>
      </c>
      <c r="F75" t="s">
        <v>40</v>
      </c>
      <c r="G75" s="21" t="s">
        <v>87</v>
      </c>
      <c r="H75" s="76">
        <v>281.375</v>
      </c>
      <c r="I75" s="76">
        <v>116.125</v>
      </c>
      <c r="J75" s="76">
        <v>82</v>
      </c>
      <c r="K75" s="76">
        <v>84.875</v>
      </c>
      <c r="L75" s="76">
        <f>K75*(L77/K77)</f>
        <v>77.911571207430342</v>
      </c>
      <c r="M75" s="76">
        <f>L75*(M77/L77)</f>
        <v>71.355437306501557</v>
      </c>
      <c r="N75" s="76">
        <f>M75</f>
        <v>71.355437306501557</v>
      </c>
      <c r="O75" s="76">
        <f t="shared" ref="O75:R75" si="0">N75</f>
        <v>71.355437306501557</v>
      </c>
      <c r="P75" s="76">
        <f t="shared" si="0"/>
        <v>71.355437306501557</v>
      </c>
      <c r="Q75" s="76">
        <f t="shared" si="0"/>
        <v>71.355437306501557</v>
      </c>
      <c r="R75" s="76">
        <f t="shared" si="0"/>
        <v>71.355437306501557</v>
      </c>
      <c r="T75" s="1"/>
      <c r="U75" s="1"/>
      <c r="V75" s="1"/>
      <c r="W75" s="1"/>
      <c r="X75" s="1"/>
      <c r="Y75" s="1"/>
      <c r="Z75" s="1"/>
      <c r="AA75" s="1"/>
      <c r="AB75" s="1"/>
    </row>
    <row r="76" spans="1:28" ht="16" x14ac:dyDescent="0.2">
      <c r="A76" s="21"/>
      <c r="B76" s="74"/>
      <c r="C76" t="s">
        <v>83</v>
      </c>
      <c r="D76" s="68">
        <f>H76</f>
        <v>304</v>
      </c>
      <c r="F76" t="s">
        <v>40</v>
      </c>
      <c r="G76" s="21"/>
      <c r="H76" s="76">
        <f>D64*1000</f>
        <v>304</v>
      </c>
      <c r="I76" s="76">
        <f>H76*I75/H75</f>
        <v>125.46246112838739</v>
      </c>
      <c r="J76" s="76">
        <f t="shared" ref="J76:R76" si="1">I76*J75/I75</f>
        <v>88.593513993780547</v>
      </c>
      <c r="K76" s="76">
        <f t="shared" si="1"/>
        <v>91.699689027099069</v>
      </c>
      <c r="L76" s="76">
        <f t="shared" si="1"/>
        <v>84.176339927352544</v>
      </c>
      <c r="M76" s="76">
        <f t="shared" si="1"/>
        <v>77.093035774949698</v>
      </c>
      <c r="N76" s="76">
        <f t="shared" si="1"/>
        <v>77.093035774949698</v>
      </c>
      <c r="O76" s="76">
        <f t="shared" si="1"/>
        <v>77.093035774949698</v>
      </c>
      <c r="P76" s="76">
        <f t="shared" si="1"/>
        <v>77.093035774949698</v>
      </c>
      <c r="Q76" s="76">
        <f t="shared" si="1"/>
        <v>77.093035774949698</v>
      </c>
      <c r="R76" s="76">
        <f t="shared" si="1"/>
        <v>77.093035774949698</v>
      </c>
      <c r="T76" s="1"/>
      <c r="U76" s="1"/>
      <c r="V76" s="1"/>
      <c r="W76" s="1"/>
      <c r="X76" s="1"/>
      <c r="Y76" s="1"/>
      <c r="Z76" s="1"/>
      <c r="AA76" s="1"/>
      <c r="AB76" s="1"/>
    </row>
    <row r="77" spans="1:28" ht="16" x14ac:dyDescent="0.2">
      <c r="A77" s="21"/>
      <c r="B77" s="74"/>
      <c r="C77" t="s">
        <v>85</v>
      </c>
      <c r="D77" s="68">
        <f>I77</f>
        <v>37.670999999999999</v>
      </c>
      <c r="F77" t="s">
        <v>40</v>
      </c>
      <c r="G77" s="21" t="s">
        <v>86</v>
      </c>
      <c r="H77" s="76">
        <v>138.07499999999999</v>
      </c>
      <c r="I77" s="76">
        <v>37.670999999999999</v>
      </c>
      <c r="J77" s="76">
        <v>29.66</v>
      </c>
      <c r="K77" s="76">
        <v>32.299999999999997</v>
      </c>
      <c r="L77" s="76">
        <v>29.65</v>
      </c>
      <c r="M77" s="76">
        <v>27.155000000000001</v>
      </c>
      <c r="N77" s="76">
        <f>M77</f>
        <v>27.155000000000001</v>
      </c>
      <c r="O77" s="76">
        <f t="shared" ref="O77:R77" si="2">N77</f>
        <v>27.155000000000001</v>
      </c>
      <c r="P77" s="76">
        <f t="shared" si="2"/>
        <v>27.155000000000001</v>
      </c>
      <c r="Q77" s="76">
        <f t="shared" si="2"/>
        <v>27.155000000000001</v>
      </c>
      <c r="R77" s="76">
        <f t="shared" si="2"/>
        <v>27.155000000000001</v>
      </c>
      <c r="T77" s="1"/>
      <c r="U77" s="1"/>
      <c r="V77" s="1"/>
      <c r="W77" s="1"/>
      <c r="X77" s="1"/>
      <c r="Y77" s="1"/>
      <c r="Z77" s="1"/>
      <c r="AA77" s="1"/>
      <c r="AB77" s="1"/>
    </row>
    <row r="78" spans="1:28" ht="16" x14ac:dyDescent="0.2">
      <c r="A78" s="21"/>
      <c r="B78" s="74"/>
      <c r="C78" t="s">
        <v>80</v>
      </c>
      <c r="D78" s="77">
        <f>H78</f>
        <v>56.0958904038811</v>
      </c>
      <c r="F78" t="s">
        <v>40</v>
      </c>
      <c r="G78" s="21"/>
      <c r="H78" s="76">
        <f>D62*1000</f>
        <v>56.0958904038811</v>
      </c>
      <c r="I78" s="78">
        <f>H78</f>
        <v>56.0958904038811</v>
      </c>
      <c r="J78" s="76">
        <f t="shared" ref="J78:R78" si="3">I78*J77/I77</f>
        <v>44.166709388630871</v>
      </c>
      <c r="K78" s="76">
        <f t="shared" si="3"/>
        <v>48.097933690248716</v>
      </c>
      <c r="L78" s="76">
        <f t="shared" si="3"/>
        <v>44.151818387488369</v>
      </c>
      <c r="M78" s="76">
        <f t="shared" si="3"/>
        <v>40.436513602436648</v>
      </c>
      <c r="N78" s="76">
        <f t="shared" si="3"/>
        <v>40.436513602436641</v>
      </c>
      <c r="O78" s="76">
        <f t="shared" si="3"/>
        <v>40.436513602436641</v>
      </c>
      <c r="P78" s="76">
        <f t="shared" si="3"/>
        <v>40.436513602436641</v>
      </c>
      <c r="Q78" s="76">
        <f t="shared" si="3"/>
        <v>40.436513602436641</v>
      </c>
      <c r="R78" s="76">
        <f t="shared" si="3"/>
        <v>40.436513602436641</v>
      </c>
      <c r="T78" s="1"/>
      <c r="U78" s="1"/>
      <c r="V78" s="1"/>
      <c r="W78" s="1"/>
      <c r="X78" s="1"/>
      <c r="Y78" s="1"/>
      <c r="Z78" s="1"/>
      <c r="AA78" s="1"/>
      <c r="AB78" s="1"/>
    </row>
    <row r="79" spans="1:28" ht="16" x14ac:dyDescent="0.2">
      <c r="A79" s="21"/>
      <c r="B79" s="74"/>
      <c r="D79" s="77"/>
      <c r="G79" s="21"/>
      <c r="H79" s="76"/>
      <c r="I79" s="78"/>
      <c r="J79" s="76"/>
      <c r="K79" s="76"/>
      <c r="L79" s="76"/>
      <c r="M79" s="76"/>
      <c r="N79" s="76"/>
      <c r="O79" s="76"/>
      <c r="P79" s="76"/>
      <c r="Q79" s="76"/>
      <c r="R79" s="76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2">
      <c r="A80" s="21"/>
      <c r="B80" s="21"/>
      <c r="G80" s="2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71" customFormat="1" ht="22" customHeight="1" x14ac:dyDescent="0.2">
      <c r="A81" s="70"/>
      <c r="B81" s="73" t="s">
        <v>81</v>
      </c>
      <c r="G81" s="70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</row>
    <row r="82" spans="1:27" ht="16" x14ac:dyDescent="0.2">
      <c r="A82" s="21"/>
      <c r="B82" s="74"/>
      <c r="G82" s="2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" x14ac:dyDescent="0.2">
      <c r="A83" s="21"/>
      <c r="B83" s="74"/>
      <c r="C83" t="s">
        <v>96</v>
      </c>
      <c r="D83" s="35">
        <v>0.15</v>
      </c>
      <c r="G83" s="2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" x14ac:dyDescent="0.2">
      <c r="A84" s="21"/>
      <c r="B84" s="74"/>
      <c r="C84" t="s">
        <v>97</v>
      </c>
      <c r="D84" s="35">
        <v>0.6</v>
      </c>
      <c r="G84" s="2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" x14ac:dyDescent="0.2">
      <c r="A85" s="21"/>
      <c r="B85" s="74"/>
      <c r="C85" t="s">
        <v>82</v>
      </c>
      <c r="D85" s="36" t="s">
        <v>110</v>
      </c>
      <c r="G85" s="2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21"/>
      <c r="B86" s="21"/>
      <c r="C86" s="19"/>
      <c r="D86" s="21"/>
      <c r="E86" s="21"/>
      <c r="F86" s="21"/>
      <c r="G86" s="2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22"/>
      <c r="B87" s="26" t="s">
        <v>98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spans="1:27" ht="9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21"/>
      <c r="B89" s="21"/>
      <c r="C89" s="20"/>
      <c r="D89" s="19"/>
      <c r="E89" s="19"/>
      <c r="F89" s="88" t="s">
        <v>17</v>
      </c>
      <c r="G89" s="89"/>
      <c r="H89" s="18">
        <v>0</v>
      </c>
      <c r="I89" s="18">
        <v>1</v>
      </c>
      <c r="J89" s="18">
        <v>2</v>
      </c>
      <c r="K89" s="18">
        <v>3</v>
      </c>
      <c r="L89" s="18">
        <v>4</v>
      </c>
      <c r="M89" s="18">
        <v>5</v>
      </c>
      <c r="N89" s="18">
        <v>6</v>
      </c>
      <c r="O89" s="18">
        <v>7</v>
      </c>
      <c r="P89" s="18">
        <v>8</v>
      </c>
      <c r="Q89" s="18">
        <v>9</v>
      </c>
      <c r="R89" s="18">
        <v>10</v>
      </c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9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6" t="s">
        <v>16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 t="s">
        <v>31</v>
      </c>
      <c r="D92" s="1" t="s">
        <v>40</v>
      </c>
      <c r="E92" s="1"/>
      <c r="F92" s="1"/>
      <c r="G92" s="1"/>
      <c r="H92" s="44">
        <f t="shared" ref="H92:R92" si="4">IF(OR($D$85="FIC",$D$85="COMBO"),H78*(1-$D$69),H78)</f>
        <v>36.462328762522716</v>
      </c>
      <c r="I92" s="44">
        <f t="shared" si="4"/>
        <v>36.462328762522716</v>
      </c>
      <c r="J92" s="44">
        <f t="shared" si="4"/>
        <v>28.708361102610066</v>
      </c>
      <c r="K92" s="44">
        <f t="shared" si="4"/>
        <v>31.263656898661665</v>
      </c>
      <c r="L92" s="44">
        <f t="shared" si="4"/>
        <v>28.698681951867442</v>
      </c>
      <c r="M92" s="44">
        <f t="shared" si="4"/>
        <v>26.283733841583821</v>
      </c>
      <c r="N92" s="44">
        <f t="shared" si="4"/>
        <v>26.283733841583818</v>
      </c>
      <c r="O92" s="44">
        <f t="shared" si="4"/>
        <v>26.283733841583818</v>
      </c>
      <c r="P92" s="44">
        <f t="shared" si="4"/>
        <v>26.283733841583818</v>
      </c>
      <c r="Q92" s="44">
        <f t="shared" si="4"/>
        <v>26.283733841583818</v>
      </c>
      <c r="R92" s="44">
        <f t="shared" si="4"/>
        <v>26.283733841583818</v>
      </c>
      <c r="S92" s="23"/>
      <c r="T92" s="23"/>
      <c r="U92" s="23"/>
      <c r="V92" s="23"/>
      <c r="W92" s="23"/>
      <c r="X92" s="23"/>
      <c r="Y92" s="23"/>
      <c r="Z92" s="23"/>
      <c r="AA92" s="23"/>
    </row>
    <row r="93" spans="1:27" ht="15.75" customHeight="1" x14ac:dyDescent="0.2">
      <c r="A93" s="1"/>
      <c r="B93" s="1"/>
      <c r="C93" s="1" t="s">
        <v>92</v>
      </c>
      <c r="D93" s="1" t="s">
        <v>40</v>
      </c>
      <c r="E93" s="1"/>
      <c r="F93" s="1"/>
      <c r="G93" s="1"/>
      <c r="H93" s="44">
        <f>H92*(1+$D$68)</f>
        <v>36.462328762522716</v>
      </c>
      <c r="I93" s="44">
        <f t="shared" ref="I93:R93" si="5">I92*(1+$D$68)</f>
        <v>36.462328762522716</v>
      </c>
      <c r="J93" s="44">
        <f t="shared" si="5"/>
        <v>28.708361102610066</v>
      </c>
      <c r="K93" s="44">
        <f t="shared" si="5"/>
        <v>31.263656898661665</v>
      </c>
      <c r="L93" s="44">
        <f t="shared" si="5"/>
        <v>28.698681951867442</v>
      </c>
      <c r="M93" s="44">
        <f t="shared" si="5"/>
        <v>26.283733841583821</v>
      </c>
      <c r="N93" s="44">
        <f t="shared" si="5"/>
        <v>26.283733841583818</v>
      </c>
      <c r="O93" s="44">
        <f t="shared" si="5"/>
        <v>26.283733841583818</v>
      </c>
      <c r="P93" s="44">
        <f t="shared" si="5"/>
        <v>26.283733841583818</v>
      </c>
      <c r="Q93" s="44">
        <f t="shared" si="5"/>
        <v>26.283733841583818</v>
      </c>
      <c r="R93" s="44">
        <f t="shared" si="5"/>
        <v>26.283733841583818</v>
      </c>
      <c r="S93" s="23"/>
      <c r="T93" s="23"/>
      <c r="U93" s="23"/>
      <c r="V93" s="23"/>
      <c r="W93" s="23"/>
      <c r="X93" s="23"/>
      <c r="Y93" s="23"/>
      <c r="Z93" s="23"/>
      <c r="AA93" s="23"/>
    </row>
    <row r="94" spans="1:27" ht="15.75" customHeight="1" x14ac:dyDescent="0.2">
      <c r="A94" s="1"/>
      <c r="B94" s="1"/>
      <c r="C94" s="1" t="s">
        <v>44</v>
      </c>
      <c r="D94" s="1" t="s">
        <v>18</v>
      </c>
      <c r="E94" s="1"/>
      <c r="F94" s="1"/>
      <c r="G94" s="1"/>
      <c r="H94" s="44"/>
      <c r="I94" s="44">
        <f>IF(OR($D$85="BASE",$D$85="FIP"),$D$67,0)</f>
        <v>0</v>
      </c>
      <c r="J94" s="44">
        <f t="shared" ref="J94:R94" si="6">IF(OR($D$85="BASE",$D$85="FIP"),$D$67,0)</f>
        <v>0</v>
      </c>
      <c r="K94" s="44">
        <f t="shared" si="6"/>
        <v>0</v>
      </c>
      <c r="L94" s="44">
        <f t="shared" si="6"/>
        <v>0</v>
      </c>
      <c r="M94" s="44">
        <f t="shared" si="6"/>
        <v>0</v>
      </c>
      <c r="N94" s="44">
        <f t="shared" si="6"/>
        <v>0</v>
      </c>
      <c r="O94" s="44">
        <f t="shared" si="6"/>
        <v>0</v>
      </c>
      <c r="P94" s="44">
        <f t="shared" si="6"/>
        <v>0</v>
      </c>
      <c r="Q94" s="44">
        <f t="shared" si="6"/>
        <v>0</v>
      </c>
      <c r="R94" s="44">
        <f t="shared" si="6"/>
        <v>0</v>
      </c>
      <c r="S94" s="23"/>
      <c r="T94" s="23"/>
      <c r="U94" s="23"/>
      <c r="V94" s="23"/>
      <c r="W94" s="23"/>
      <c r="X94" s="23"/>
      <c r="Y94" s="23"/>
      <c r="Z94" s="23"/>
      <c r="AA94" s="23"/>
    </row>
    <row r="95" spans="1:27" ht="15.75" customHeight="1" x14ac:dyDescent="0.2">
      <c r="A95" s="1"/>
      <c r="B95" s="1"/>
      <c r="C95" s="42" t="s">
        <v>45</v>
      </c>
      <c r="D95" s="42" t="s">
        <v>18</v>
      </c>
      <c r="E95" s="43"/>
      <c r="F95" s="43"/>
      <c r="G95" s="43"/>
      <c r="H95" s="45"/>
      <c r="I95" s="45">
        <f>$D$43-I94</f>
        <v>52150.000000000007</v>
      </c>
      <c r="J95" s="45">
        <f t="shared" ref="J95:R95" si="7">$D$43-J94</f>
        <v>52150.000000000007</v>
      </c>
      <c r="K95" s="45">
        <f t="shared" si="7"/>
        <v>52150.000000000007</v>
      </c>
      <c r="L95" s="45">
        <f t="shared" si="7"/>
        <v>52150.000000000007</v>
      </c>
      <c r="M95" s="45">
        <f t="shared" si="7"/>
        <v>52150.000000000007</v>
      </c>
      <c r="N95" s="45">
        <f t="shared" si="7"/>
        <v>52150.000000000007</v>
      </c>
      <c r="O95" s="45">
        <f t="shared" si="7"/>
        <v>52150.000000000007</v>
      </c>
      <c r="P95" s="45">
        <f t="shared" si="7"/>
        <v>52150.000000000007</v>
      </c>
      <c r="Q95" s="45">
        <f t="shared" si="7"/>
        <v>52150.000000000007</v>
      </c>
      <c r="R95" s="45">
        <f t="shared" si="7"/>
        <v>52150.000000000007</v>
      </c>
      <c r="S95" s="23"/>
      <c r="T95" s="23"/>
      <c r="U95" s="23"/>
      <c r="V95" s="23"/>
      <c r="W95" s="23"/>
      <c r="X95" s="23"/>
      <c r="Y95" s="23"/>
      <c r="Z95" s="23"/>
      <c r="AA95" s="23"/>
    </row>
    <row r="96" spans="1:27" ht="15.75" customHeight="1" x14ac:dyDescent="0.2">
      <c r="A96" s="9"/>
      <c r="B96" s="9"/>
      <c r="C96" s="9" t="s">
        <v>21</v>
      </c>
      <c r="D96" s="24" t="s">
        <v>35</v>
      </c>
      <c r="E96" s="9"/>
      <c r="F96" s="9"/>
      <c r="G96" s="9"/>
      <c r="H96" s="46">
        <f>(H95*H92+H94*H93)/1000</f>
        <v>0</v>
      </c>
      <c r="I96" s="46">
        <f>(I95*I92+I94*I93)/1000</f>
        <v>1901.5104449655601</v>
      </c>
      <c r="J96" s="46">
        <f t="shared" ref="J96:R96" si="8">(J95*J92+J94*J93)/1000</f>
        <v>1497.1410315011151</v>
      </c>
      <c r="K96" s="46">
        <f t="shared" si="8"/>
        <v>1630.3997072652062</v>
      </c>
      <c r="L96" s="46">
        <f t="shared" si="8"/>
        <v>1496.6362637898874</v>
      </c>
      <c r="M96" s="46">
        <f t="shared" si="8"/>
        <v>1370.6967198385964</v>
      </c>
      <c r="N96" s="46">
        <f t="shared" si="8"/>
        <v>1370.6967198385962</v>
      </c>
      <c r="O96" s="46">
        <f t="shared" si="8"/>
        <v>1370.6967198385962</v>
      </c>
      <c r="P96" s="46">
        <f t="shared" si="8"/>
        <v>1370.6967198385962</v>
      </c>
      <c r="Q96" s="46">
        <f t="shared" si="8"/>
        <v>1370.6967198385962</v>
      </c>
      <c r="R96" s="46">
        <f t="shared" si="8"/>
        <v>1370.6967198385962</v>
      </c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5.75" customHeight="1" x14ac:dyDescent="0.2">
      <c r="A97" s="1"/>
      <c r="B97" s="1"/>
      <c r="C97" s="1"/>
      <c r="D97" s="1"/>
      <c r="E97" s="1"/>
      <c r="F97" s="1"/>
      <c r="G97" s="1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T97" s="23"/>
      <c r="U97" s="23"/>
      <c r="V97" s="23"/>
      <c r="W97" s="23"/>
      <c r="X97" s="23"/>
      <c r="Y97" s="23"/>
      <c r="Z97" s="23"/>
      <c r="AA97" s="23"/>
    </row>
    <row r="98" spans="1:27" ht="15.75" customHeight="1" x14ac:dyDescent="0.2">
      <c r="A98" s="1"/>
      <c r="B98" s="1"/>
      <c r="C98" s="42" t="s">
        <v>117</v>
      </c>
      <c r="D98" s="42" t="s">
        <v>35</v>
      </c>
      <c r="E98" s="42"/>
      <c r="F98" s="42"/>
      <c r="G98" s="42"/>
      <c r="H98" s="45">
        <f>H95*H78*$D$63/1000</f>
        <v>0</v>
      </c>
      <c r="I98" s="45">
        <f t="shared" ref="I98:R98" si="9">I95*I78*$D$63/1000</f>
        <v>438.81010268436</v>
      </c>
      <c r="J98" s="45">
        <f t="shared" si="9"/>
        <v>345.49408419256503</v>
      </c>
      <c r="K98" s="45">
        <f t="shared" si="9"/>
        <v>376.24608629197064</v>
      </c>
      <c r="L98" s="45">
        <f t="shared" si="9"/>
        <v>345.37759933612779</v>
      </c>
      <c r="M98" s="45">
        <f t="shared" si="9"/>
        <v>316.31462765506069</v>
      </c>
      <c r="N98" s="45">
        <f t="shared" si="9"/>
        <v>316.31462765506063</v>
      </c>
      <c r="O98" s="45">
        <f t="shared" si="9"/>
        <v>316.31462765506063</v>
      </c>
      <c r="P98" s="45">
        <f t="shared" si="9"/>
        <v>316.31462765506063</v>
      </c>
      <c r="Q98" s="45">
        <f t="shared" si="9"/>
        <v>316.31462765506063</v>
      </c>
      <c r="R98" s="45">
        <f t="shared" si="9"/>
        <v>316.31462765506063</v>
      </c>
      <c r="S98" s="12"/>
      <c r="T98" s="23"/>
      <c r="U98" s="23"/>
      <c r="V98" s="23"/>
      <c r="W98" s="23"/>
      <c r="X98" s="23"/>
      <c r="Y98" s="23"/>
      <c r="Z98" s="23"/>
      <c r="AA98" s="23"/>
    </row>
    <row r="99" spans="1:27" ht="15.75" customHeight="1" x14ac:dyDescent="0.2">
      <c r="A99" s="9"/>
      <c r="B99" s="9"/>
      <c r="C99" s="9" t="s">
        <v>105</v>
      </c>
      <c r="D99" s="24" t="s">
        <v>35</v>
      </c>
      <c r="E99" s="9"/>
      <c r="F99" s="9"/>
      <c r="G99" s="9"/>
      <c r="H99" s="46">
        <f>H98+H96</f>
        <v>0</v>
      </c>
      <c r="I99" s="46">
        <f t="shared" ref="I99:R99" si="10">I98+I96</f>
        <v>2340.3205476499202</v>
      </c>
      <c r="J99" s="46">
        <f t="shared" si="10"/>
        <v>1842.6351156936801</v>
      </c>
      <c r="K99" s="46">
        <f t="shared" si="10"/>
        <v>2006.6457935571768</v>
      </c>
      <c r="L99" s="46">
        <f t="shared" si="10"/>
        <v>1842.0138631260152</v>
      </c>
      <c r="M99" s="46">
        <f t="shared" si="10"/>
        <v>1687.011347493657</v>
      </c>
      <c r="N99" s="46">
        <f t="shared" si="10"/>
        <v>1687.0113474936568</v>
      </c>
      <c r="O99" s="46">
        <f t="shared" si="10"/>
        <v>1687.0113474936568</v>
      </c>
      <c r="P99" s="46">
        <f t="shared" si="10"/>
        <v>1687.0113474936568</v>
      </c>
      <c r="Q99" s="46">
        <f t="shared" si="10"/>
        <v>1687.0113474936568</v>
      </c>
      <c r="R99" s="46">
        <f t="shared" si="10"/>
        <v>1687.0113474936568</v>
      </c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6" t="s">
        <v>20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 t="s">
        <v>19</v>
      </c>
      <c r="D102" s="1" t="s">
        <v>35</v>
      </c>
      <c r="E102" s="1"/>
      <c r="F102" s="1"/>
      <c r="G102" s="1"/>
      <c r="H102" s="44">
        <f t="shared" ref="H102:R102" si="11">-($D$58*(H94+H95)/1000)-($D$57*$D$39/1000)</f>
        <v>-38.695999999999998</v>
      </c>
      <c r="I102" s="44">
        <f t="shared" si="11"/>
        <v>-169.07100000000003</v>
      </c>
      <c r="J102" s="44">
        <f t="shared" si="11"/>
        <v>-169.07100000000003</v>
      </c>
      <c r="K102" s="44">
        <f t="shared" si="11"/>
        <v>-169.07100000000003</v>
      </c>
      <c r="L102" s="44">
        <f t="shared" si="11"/>
        <v>-169.07100000000003</v>
      </c>
      <c r="M102" s="44">
        <f t="shared" si="11"/>
        <v>-169.07100000000003</v>
      </c>
      <c r="N102" s="44">
        <f t="shared" si="11"/>
        <v>-169.07100000000003</v>
      </c>
      <c r="O102" s="44">
        <f t="shared" si="11"/>
        <v>-169.07100000000003</v>
      </c>
      <c r="P102" s="44">
        <f t="shared" si="11"/>
        <v>-169.07100000000003</v>
      </c>
      <c r="Q102" s="44">
        <f t="shared" si="11"/>
        <v>-169.07100000000003</v>
      </c>
      <c r="R102" s="44">
        <f t="shared" si="11"/>
        <v>-169.07100000000003</v>
      </c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 ht="15.75" customHeight="1" x14ac:dyDescent="0.2">
      <c r="A103" s="1"/>
      <c r="B103" s="1"/>
      <c r="C103" s="42" t="s">
        <v>47</v>
      </c>
      <c r="D103" s="42" t="s">
        <v>35</v>
      </c>
      <c r="E103" s="42"/>
      <c r="F103" s="42"/>
      <c r="G103" s="42"/>
      <c r="H103" s="45">
        <f>-$D$56</f>
        <v>0</v>
      </c>
      <c r="I103" s="45">
        <f t="shared" ref="I103:R103" si="12">-$D$56</f>
        <v>0</v>
      </c>
      <c r="J103" s="45">
        <f t="shared" si="12"/>
        <v>0</v>
      </c>
      <c r="K103" s="45">
        <f t="shared" si="12"/>
        <v>0</v>
      </c>
      <c r="L103" s="45">
        <f t="shared" si="12"/>
        <v>0</v>
      </c>
      <c r="M103" s="45">
        <f t="shared" si="12"/>
        <v>0</v>
      </c>
      <c r="N103" s="45">
        <f t="shared" si="12"/>
        <v>0</v>
      </c>
      <c r="O103" s="45">
        <f t="shared" si="12"/>
        <v>0</v>
      </c>
      <c r="P103" s="45">
        <f t="shared" si="12"/>
        <v>0</v>
      </c>
      <c r="Q103" s="45">
        <f t="shared" si="12"/>
        <v>0</v>
      </c>
      <c r="R103" s="45">
        <f t="shared" si="12"/>
        <v>0</v>
      </c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5.75" customHeight="1" x14ac:dyDescent="0.2">
      <c r="A104" s="9"/>
      <c r="B104" s="9"/>
      <c r="C104" s="9" t="s">
        <v>15</v>
      </c>
      <c r="D104" s="9" t="s">
        <v>35</v>
      </c>
      <c r="E104" s="9"/>
      <c r="F104" s="9"/>
      <c r="G104" s="9"/>
      <c r="H104" s="46">
        <f>SUM(H102:H103)</f>
        <v>-38.695999999999998</v>
      </c>
      <c r="I104" s="46">
        <f>SUM(I102:I103)</f>
        <v>-169.07100000000003</v>
      </c>
      <c r="J104" s="46">
        <f t="shared" ref="J104:R104" si="13">SUM(J102:J103)</f>
        <v>-169.07100000000003</v>
      </c>
      <c r="K104" s="46">
        <f t="shared" si="13"/>
        <v>-169.07100000000003</v>
      </c>
      <c r="L104" s="46">
        <f t="shared" si="13"/>
        <v>-169.07100000000003</v>
      </c>
      <c r="M104" s="46">
        <f t="shared" si="13"/>
        <v>-169.07100000000003</v>
      </c>
      <c r="N104" s="46">
        <f t="shared" si="13"/>
        <v>-169.07100000000003</v>
      </c>
      <c r="O104" s="46">
        <f t="shared" si="13"/>
        <v>-169.07100000000003</v>
      </c>
      <c r="P104" s="46">
        <f t="shared" si="13"/>
        <v>-169.07100000000003</v>
      </c>
      <c r="Q104" s="46">
        <f t="shared" si="13"/>
        <v>-169.07100000000003</v>
      </c>
      <c r="R104" s="46">
        <f t="shared" si="13"/>
        <v>-169.07100000000003</v>
      </c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6" t="s">
        <v>50</v>
      </c>
      <c r="C107" s="1"/>
      <c r="D107" s="1"/>
      <c r="E107" s="1"/>
      <c r="F107" s="88" t="s">
        <v>17</v>
      </c>
      <c r="G107" s="90"/>
      <c r="H107" s="18">
        <v>0</v>
      </c>
      <c r="I107" s="18">
        <v>1</v>
      </c>
      <c r="J107" s="18">
        <v>2</v>
      </c>
      <c r="K107" s="18">
        <v>3</v>
      </c>
      <c r="L107" s="18">
        <v>4</v>
      </c>
      <c r="M107" s="18">
        <v>5</v>
      </c>
      <c r="N107" s="18">
        <v>6</v>
      </c>
      <c r="O107" s="18">
        <v>7</v>
      </c>
      <c r="P107" s="18">
        <v>8</v>
      </c>
      <c r="Q107" s="18">
        <v>9</v>
      </c>
      <c r="R107" s="18">
        <v>10</v>
      </c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 t="s">
        <v>16</v>
      </c>
      <c r="D108" s="1" t="s">
        <v>35</v>
      </c>
      <c r="E108" s="1"/>
      <c r="F108" s="1"/>
      <c r="G108" s="1"/>
      <c r="H108" s="44">
        <f>H99</f>
        <v>0</v>
      </c>
      <c r="I108" s="44">
        <f t="shared" ref="I108:R108" si="14">I99</f>
        <v>2340.3205476499202</v>
      </c>
      <c r="J108" s="44">
        <f t="shared" si="14"/>
        <v>1842.6351156936801</v>
      </c>
      <c r="K108" s="44">
        <f t="shared" si="14"/>
        <v>2006.6457935571768</v>
      </c>
      <c r="L108" s="44">
        <f t="shared" si="14"/>
        <v>1842.0138631260152</v>
      </c>
      <c r="M108" s="44">
        <f t="shared" si="14"/>
        <v>1687.011347493657</v>
      </c>
      <c r="N108" s="44">
        <f t="shared" si="14"/>
        <v>1687.0113474936568</v>
      </c>
      <c r="O108" s="44">
        <f t="shared" si="14"/>
        <v>1687.0113474936568</v>
      </c>
      <c r="P108" s="44">
        <f t="shared" si="14"/>
        <v>1687.0113474936568</v>
      </c>
      <c r="Q108" s="44">
        <f t="shared" si="14"/>
        <v>1687.0113474936568</v>
      </c>
      <c r="R108" s="44">
        <f t="shared" si="14"/>
        <v>1687.0113474936568</v>
      </c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2">
      <c r="A109" s="1"/>
      <c r="B109" s="1"/>
      <c r="C109" s="1" t="s">
        <v>15</v>
      </c>
      <c r="D109" s="17" t="s">
        <v>35</v>
      </c>
      <c r="E109" s="1"/>
      <c r="F109" s="1"/>
      <c r="G109" s="1"/>
      <c r="H109" s="44">
        <f t="shared" ref="H109:R109" si="15">H104</f>
        <v>-38.695999999999998</v>
      </c>
      <c r="I109" s="44">
        <f t="shared" si="15"/>
        <v>-169.07100000000003</v>
      </c>
      <c r="J109" s="44">
        <f t="shared" si="15"/>
        <v>-169.07100000000003</v>
      </c>
      <c r="K109" s="44">
        <f t="shared" si="15"/>
        <v>-169.07100000000003</v>
      </c>
      <c r="L109" s="44">
        <f t="shared" si="15"/>
        <v>-169.07100000000003</v>
      </c>
      <c r="M109" s="44">
        <f t="shared" si="15"/>
        <v>-169.07100000000003</v>
      </c>
      <c r="N109" s="44">
        <f t="shared" si="15"/>
        <v>-169.07100000000003</v>
      </c>
      <c r="O109" s="44">
        <f t="shared" si="15"/>
        <v>-169.07100000000003</v>
      </c>
      <c r="P109" s="44">
        <f t="shared" si="15"/>
        <v>-169.07100000000003</v>
      </c>
      <c r="Q109" s="44">
        <f t="shared" si="15"/>
        <v>-169.07100000000003</v>
      </c>
      <c r="R109" s="44">
        <f t="shared" si="15"/>
        <v>-169.07100000000003</v>
      </c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2">
      <c r="A110" s="1"/>
      <c r="B110" s="1"/>
      <c r="C110" s="13" t="s">
        <v>14</v>
      </c>
      <c r="D110" s="13" t="s">
        <v>35</v>
      </c>
      <c r="E110" s="13"/>
      <c r="F110" s="13"/>
      <c r="G110" s="13"/>
      <c r="H110" s="45">
        <f>-D54</f>
        <v>-3771.46</v>
      </c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2"/>
      <c r="T110" s="42"/>
      <c r="U110" s="42"/>
      <c r="V110" s="13"/>
      <c r="W110" s="13"/>
      <c r="X110" s="13"/>
      <c r="Y110" s="13"/>
      <c r="Z110" s="13"/>
      <c r="AA110" s="13"/>
    </row>
    <row r="111" spans="1:27" ht="15.75" customHeight="1" x14ac:dyDescent="0.2">
      <c r="A111" s="9"/>
      <c r="B111" s="9"/>
      <c r="C111" s="9" t="s">
        <v>13</v>
      </c>
      <c r="D111" s="9" t="s">
        <v>35</v>
      </c>
      <c r="E111" s="9"/>
      <c r="F111" s="9"/>
      <c r="G111" s="53"/>
      <c r="H111" s="48">
        <f>SUM(H108:H110)</f>
        <v>-3810.1559999999999</v>
      </c>
      <c r="I111" s="48">
        <f t="shared" ref="I111:R111" si="16">SUM(I108:I109)</f>
        <v>2171.2495476499203</v>
      </c>
      <c r="J111" s="48">
        <f t="shared" si="16"/>
        <v>1673.5641156936799</v>
      </c>
      <c r="K111" s="48">
        <f t="shared" si="16"/>
        <v>1837.5747935571767</v>
      </c>
      <c r="L111" s="48">
        <f t="shared" si="16"/>
        <v>1672.9428631260153</v>
      </c>
      <c r="M111" s="48">
        <f t="shared" si="16"/>
        <v>1517.9403474936571</v>
      </c>
      <c r="N111" s="48">
        <f t="shared" si="16"/>
        <v>1517.9403474936566</v>
      </c>
      <c r="O111" s="48">
        <f t="shared" si="16"/>
        <v>1517.9403474936566</v>
      </c>
      <c r="P111" s="48">
        <f t="shared" si="16"/>
        <v>1517.9403474936566</v>
      </c>
      <c r="Q111" s="48">
        <f t="shared" si="16"/>
        <v>1517.9403474936566</v>
      </c>
      <c r="R111" s="48">
        <f t="shared" si="16"/>
        <v>1517.9403474936566</v>
      </c>
      <c r="S111" s="47"/>
      <c r="T111" s="47"/>
      <c r="U111" s="15"/>
      <c r="V111" s="15"/>
      <c r="W111" s="15"/>
      <c r="X111" s="15"/>
      <c r="Y111" s="15"/>
      <c r="Z111" s="15"/>
      <c r="AA111" s="15"/>
    </row>
    <row r="112" spans="1:27" ht="15.75" customHeight="1" x14ac:dyDescent="0.2">
      <c r="A112" s="9"/>
      <c r="B112" s="9"/>
      <c r="C112" s="4" t="s">
        <v>12</v>
      </c>
      <c r="D112" s="4" t="s">
        <v>35</v>
      </c>
      <c r="E112" s="4"/>
      <c r="F112" s="4"/>
      <c r="G112" s="53"/>
      <c r="H112" s="48">
        <f>H111</f>
        <v>-3810.1559999999999</v>
      </c>
      <c r="I112" s="48">
        <f t="shared" ref="I112:R112" si="17">I111</f>
        <v>2171.2495476499203</v>
      </c>
      <c r="J112" s="48">
        <f t="shared" si="17"/>
        <v>1673.5641156936799</v>
      </c>
      <c r="K112" s="48">
        <f t="shared" si="17"/>
        <v>1837.5747935571767</v>
      </c>
      <c r="L112" s="48">
        <f t="shared" si="17"/>
        <v>1672.9428631260153</v>
      </c>
      <c r="M112" s="48">
        <f t="shared" si="17"/>
        <v>1517.9403474936571</v>
      </c>
      <c r="N112" s="48">
        <f t="shared" si="17"/>
        <v>1517.9403474936566</v>
      </c>
      <c r="O112" s="48">
        <f t="shared" si="17"/>
        <v>1517.9403474936566</v>
      </c>
      <c r="P112" s="48">
        <f t="shared" si="17"/>
        <v>1517.9403474936566</v>
      </c>
      <c r="Q112" s="48">
        <f t="shared" si="17"/>
        <v>1517.9403474936566</v>
      </c>
      <c r="R112" s="48">
        <f t="shared" si="17"/>
        <v>1517.9403474936566</v>
      </c>
      <c r="S112" s="25"/>
      <c r="T112" s="25"/>
      <c r="U112" s="14"/>
      <c r="V112" s="14"/>
      <c r="W112" s="14"/>
      <c r="X112" s="14"/>
      <c r="Y112" s="14"/>
      <c r="Z112" s="14"/>
      <c r="AA112" s="14"/>
    </row>
    <row r="113" spans="1:27" ht="15.75" customHeight="1" x14ac:dyDescent="0.2">
      <c r="A113" s="11"/>
      <c r="B113" s="11"/>
      <c r="C113" s="11" t="s">
        <v>11</v>
      </c>
      <c r="D113" s="11" t="s">
        <v>35</v>
      </c>
      <c r="E113" s="11"/>
      <c r="F113" s="11"/>
      <c r="G113" s="11"/>
      <c r="H113" s="44">
        <f>-$D$54/$D$37</f>
        <v>-377.14600000000002</v>
      </c>
      <c r="I113" s="44">
        <f t="shared" ref="I113:R113" si="18">-$D$54/$D$37</f>
        <v>-377.14600000000002</v>
      </c>
      <c r="J113" s="44">
        <f t="shared" si="18"/>
        <v>-377.14600000000002</v>
      </c>
      <c r="K113" s="44">
        <f t="shared" si="18"/>
        <v>-377.14600000000002</v>
      </c>
      <c r="L113" s="44">
        <f t="shared" si="18"/>
        <v>-377.14600000000002</v>
      </c>
      <c r="M113" s="44">
        <f t="shared" si="18"/>
        <v>-377.14600000000002</v>
      </c>
      <c r="N113" s="44">
        <f t="shared" si="18"/>
        <v>-377.14600000000002</v>
      </c>
      <c r="O113" s="44">
        <f t="shared" si="18"/>
        <v>-377.14600000000002</v>
      </c>
      <c r="P113" s="44">
        <f t="shared" si="18"/>
        <v>-377.14600000000002</v>
      </c>
      <c r="Q113" s="44">
        <f t="shared" si="18"/>
        <v>-377.14600000000002</v>
      </c>
      <c r="R113" s="44">
        <f t="shared" si="18"/>
        <v>-377.14600000000002</v>
      </c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2">
      <c r="A114" s="1"/>
      <c r="B114" s="1"/>
      <c r="C114" s="1" t="s">
        <v>10</v>
      </c>
      <c r="D114" s="1" t="s">
        <v>35</v>
      </c>
      <c r="E114" s="1"/>
      <c r="F114" s="1"/>
      <c r="G114" s="1"/>
      <c r="H114" s="44">
        <f t="shared" ref="H114:R114" si="19">SUM(H112:H113)</f>
        <v>-4187.3019999999997</v>
      </c>
      <c r="I114" s="44">
        <f t="shared" si="19"/>
        <v>1794.1035476499203</v>
      </c>
      <c r="J114" s="44">
        <f t="shared" si="19"/>
        <v>1296.41811569368</v>
      </c>
      <c r="K114" s="44">
        <f t="shared" si="19"/>
        <v>1460.4287935571767</v>
      </c>
      <c r="L114" s="44">
        <f t="shared" si="19"/>
        <v>1295.7968631260153</v>
      </c>
      <c r="M114" s="44">
        <f t="shared" si="19"/>
        <v>1140.7943474936571</v>
      </c>
      <c r="N114" s="44">
        <f t="shared" si="19"/>
        <v>1140.7943474936567</v>
      </c>
      <c r="O114" s="44">
        <f t="shared" si="19"/>
        <v>1140.7943474936567</v>
      </c>
      <c r="P114" s="44">
        <f t="shared" si="19"/>
        <v>1140.7943474936567</v>
      </c>
      <c r="Q114" s="44">
        <f t="shared" si="19"/>
        <v>1140.7943474936567</v>
      </c>
      <c r="R114" s="44">
        <f t="shared" si="19"/>
        <v>1140.7943474936567</v>
      </c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2">
      <c r="A115" s="1"/>
      <c r="B115" s="1"/>
      <c r="C115" s="13" t="s">
        <v>9</v>
      </c>
      <c r="D115" s="13" t="s">
        <v>35</v>
      </c>
      <c r="E115" s="13"/>
      <c r="F115" s="13"/>
      <c r="G115" s="42"/>
      <c r="H115" s="45"/>
      <c r="I115" s="45">
        <f t="shared" ref="I115:R115" si="20">-I114*$D$23</f>
        <v>-430.58485143598085</v>
      </c>
      <c r="J115" s="45">
        <f t="shared" si="20"/>
        <v>-311.14034776648316</v>
      </c>
      <c r="K115" s="45">
        <f t="shared" si="20"/>
        <v>-350.50291045372239</v>
      </c>
      <c r="L115" s="45">
        <f t="shared" si="20"/>
        <v>-310.99124715024368</v>
      </c>
      <c r="M115" s="45">
        <f t="shared" si="20"/>
        <v>-273.7906433984777</v>
      </c>
      <c r="N115" s="45">
        <f t="shared" si="20"/>
        <v>-273.79064339847758</v>
      </c>
      <c r="O115" s="45">
        <f t="shared" si="20"/>
        <v>-273.79064339847758</v>
      </c>
      <c r="P115" s="45">
        <f t="shared" si="20"/>
        <v>-273.79064339847758</v>
      </c>
      <c r="Q115" s="45">
        <f t="shared" si="20"/>
        <v>-273.79064339847758</v>
      </c>
      <c r="R115" s="45">
        <f t="shared" si="20"/>
        <v>-273.79064339847758</v>
      </c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.75" customHeight="1" x14ac:dyDescent="0.2">
      <c r="A116" s="1"/>
      <c r="B116" s="1"/>
      <c r="C116" s="9" t="s">
        <v>8</v>
      </c>
      <c r="D116" s="9" t="s">
        <v>35</v>
      </c>
      <c r="E116" s="9"/>
      <c r="F116" s="1"/>
      <c r="G116" s="1"/>
      <c r="H116" s="46">
        <f>H114</f>
        <v>-4187.3019999999997</v>
      </c>
      <c r="I116" s="46">
        <f t="shared" ref="I116:R116" si="21">SUM(I112,I115)</f>
        <v>1740.6646962139394</v>
      </c>
      <c r="J116" s="46">
        <f t="shared" si="21"/>
        <v>1362.4237679271969</v>
      </c>
      <c r="K116" s="46">
        <f t="shared" si="21"/>
        <v>1487.0718831034542</v>
      </c>
      <c r="L116" s="46">
        <f t="shared" si="21"/>
        <v>1361.9516159757716</v>
      </c>
      <c r="M116" s="46">
        <f t="shared" si="21"/>
        <v>1244.1497040951795</v>
      </c>
      <c r="N116" s="46">
        <f t="shared" si="21"/>
        <v>1244.149704095179</v>
      </c>
      <c r="O116" s="46">
        <f t="shared" si="21"/>
        <v>1244.149704095179</v>
      </c>
      <c r="P116" s="46">
        <f t="shared" si="21"/>
        <v>1244.149704095179</v>
      </c>
      <c r="Q116" s="46">
        <f t="shared" si="21"/>
        <v>1244.149704095179</v>
      </c>
      <c r="R116" s="46">
        <f t="shared" si="21"/>
        <v>1244.149704095179</v>
      </c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2">
      <c r="A117" s="1"/>
      <c r="B117" s="1"/>
      <c r="C117" s="1" t="s">
        <v>7</v>
      </c>
      <c r="D117" s="1" t="s">
        <v>35</v>
      </c>
      <c r="E117" s="1"/>
      <c r="F117" s="1"/>
      <c r="G117" s="1"/>
      <c r="H117" s="44">
        <f t="shared" ref="H117:R117" si="22">H116/(1+$D$22)^H89</f>
        <v>-4187.3019999999997</v>
      </c>
      <c r="I117" s="44">
        <f t="shared" si="22"/>
        <v>1595.6986552111268</v>
      </c>
      <c r="J117" s="44">
        <f t="shared" si="22"/>
        <v>1144.9426334962393</v>
      </c>
      <c r="K117" s="44">
        <f t="shared" si="22"/>
        <v>1145.6164364354952</v>
      </c>
      <c r="L117" s="44">
        <f t="shared" si="22"/>
        <v>961.84415657882471</v>
      </c>
      <c r="M117" s="44">
        <f t="shared" si="22"/>
        <v>805.47382146987206</v>
      </c>
      <c r="N117" s="44">
        <f t="shared" si="22"/>
        <v>738.39234892443096</v>
      </c>
      <c r="O117" s="44">
        <f t="shared" si="22"/>
        <v>676.89755572091201</v>
      </c>
      <c r="P117" s="44">
        <f t="shared" si="22"/>
        <v>620.52417201825267</v>
      </c>
      <c r="Q117" s="44">
        <f t="shared" si="22"/>
        <v>568.84567657930211</v>
      </c>
      <c r="R117" s="44">
        <f t="shared" si="22"/>
        <v>521.47106970950642</v>
      </c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2">
      <c r="A118" s="1"/>
      <c r="B118" s="1"/>
      <c r="C118" s="1" t="s">
        <v>51</v>
      </c>
      <c r="D118" s="1" t="s">
        <v>35</v>
      </c>
      <c r="E118" s="1"/>
      <c r="F118" s="1"/>
      <c r="G118" s="1"/>
      <c r="H118" s="44">
        <f>H117</f>
        <v>-4187.3019999999997</v>
      </c>
      <c r="I118" s="44">
        <f>H118+I117</f>
        <v>-2591.6033447888731</v>
      </c>
      <c r="J118" s="44">
        <f t="shared" ref="J118:R118" si="23">I118+J117</f>
        <v>-1446.6607112926338</v>
      </c>
      <c r="K118" s="44">
        <f t="shared" si="23"/>
        <v>-301.04427485713859</v>
      </c>
      <c r="L118" s="44">
        <f t="shared" si="23"/>
        <v>660.79988172168612</v>
      </c>
      <c r="M118" s="44">
        <f t="shared" si="23"/>
        <v>1466.2737031915581</v>
      </c>
      <c r="N118" s="44">
        <f t="shared" si="23"/>
        <v>2204.6660521159893</v>
      </c>
      <c r="O118" s="44">
        <f t="shared" si="23"/>
        <v>2881.5636078369012</v>
      </c>
      <c r="P118" s="44">
        <f t="shared" si="23"/>
        <v>3502.0877798551537</v>
      </c>
      <c r="Q118" s="44">
        <f t="shared" si="23"/>
        <v>4070.9334564344558</v>
      </c>
      <c r="R118" s="44">
        <f t="shared" si="23"/>
        <v>4592.4045261439624</v>
      </c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2">
      <c r="A119" s="1"/>
      <c r="B119" s="1"/>
      <c r="C119" s="1"/>
      <c r="D119" s="1"/>
      <c r="E119" s="1"/>
      <c r="F119" s="1"/>
      <c r="G119" s="1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44">
        <f>IF(H118&lt;0,(13-6)/12,0)</f>
        <v>0.58333333333333337</v>
      </c>
      <c r="I120" s="44">
        <f>IF(COUNTIF($H120:H120,"=0")=COUNTA($H120:H120),IF(I118&lt;0,(13-6)/12,0),IF(I118&lt;0,1,IF(I118=0,IF(H118&gt;=0,0,1),IF(H118&lt;0,-H118/I117,0))))</f>
        <v>1</v>
      </c>
      <c r="J120" s="44">
        <f>IF(COUNTIF($H120:I120,"=0")=COUNTA($H120:I120),IF(J118&lt;0,(13-6)/12,0),IF(J118&lt;0,1,IF(J118=0,IF(I118&gt;=0,0,1),IF(I118&lt;0,-I118/J117,0))))</f>
        <v>1</v>
      </c>
      <c r="K120" s="44">
        <f>IF(COUNTIF($H120:J120,"=0")=COUNTA($H120:J120),IF(K118&lt;0,(13-6)/12,0),IF(K118&lt;0,1,IF(K118=0,IF(J118&gt;=0,0,1),IF(J118&lt;0,-J118/K117,0))))</f>
        <v>1</v>
      </c>
      <c r="L120" s="44">
        <f>IF(COUNTIF($H120:K120,"=0")=COUNTA($H120:K120),IF(L118&lt;0,(13-6)/12,0),IF(L118&lt;0,1,IF(L118=0,IF(K118&gt;=0,0,1),IF(K118&lt;0,-K118/L117,0))))</f>
        <v>0.31298654028103723</v>
      </c>
      <c r="M120" s="44">
        <f>IF(COUNTIF($H120:L120,"=0")=COUNTA($H120:L120),IF(M118&lt;0,(13-6)/12,0),IF(M118&lt;0,1,IF(M118=0,IF(L118&gt;=0,0,1),IF(L118&lt;0,-L118/M117,0))))</f>
        <v>0</v>
      </c>
      <c r="N120" s="44">
        <f>IF(COUNTIF($H120:M120,"=0")=COUNTA($H120:M120),IF(N118&lt;0,(13-6)/12,0),IF(N118&lt;0,1,IF(N118=0,IF(M118&gt;=0,0,1),IF(M118&lt;0,-M118/N117,0))))</f>
        <v>0</v>
      </c>
      <c r="O120" s="44">
        <f>IF(COUNTIF($H120:N120,"=0")=COUNTA($H120:N120),IF(O118&lt;0,(13-6)/12,0),IF(O118&lt;0,1,IF(O118=0,IF(N118&gt;=0,0,1),IF(N118&lt;0,-N118/O117,0))))</f>
        <v>0</v>
      </c>
      <c r="P120" s="44">
        <f>IF(COUNTIF($H120:O120,"=0")=COUNTA($H120:O120),IF(P118&lt;0,(13-6)/12,0),IF(P118&lt;0,1,IF(P118=0,IF(O118&gt;=0,0,1),IF(O118&lt;0,-O118/P117,0))))</f>
        <v>0</v>
      </c>
      <c r="Q120" s="44">
        <f>IF(COUNTIF($H120:P120,"=0")=COUNTA($H120:P120),IF(Q118&lt;0,(13-6)/12,0),IF(Q118&lt;0,1,IF(Q118=0,IF(P118&gt;=0,0,1),IF(P118&lt;0,-P118/Q117,0))))</f>
        <v>0</v>
      </c>
      <c r="R120" s="44">
        <f>IF(COUNTIF($H120:Q120,"=0")=COUNTA($H120:Q120),IF(R118&lt;0,(13-6)/12,0),IF(R118&lt;0,1,IF(R118=0,IF(Q118&gt;=0,0,1),IF(Q118&lt;0,-Q118/R117,0))))</f>
        <v>0</v>
      </c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2">
      <c r="A121" s="1"/>
      <c r="B121" s="1"/>
      <c r="C121" s="1"/>
      <c r="D121" s="1" t="s">
        <v>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6" t="s">
        <v>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5" t="s">
        <v>4</v>
      </c>
      <c r="D123" s="4" t="s">
        <v>35</v>
      </c>
      <c r="E123" s="3"/>
      <c r="F123" s="81">
        <f>NPV(D22,I116:R116)+H116</f>
        <v>4592.4045261439624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9"/>
      <c r="C125" s="5" t="s">
        <v>3</v>
      </c>
      <c r="D125" s="4" t="s">
        <v>35</v>
      </c>
      <c r="E125" s="3"/>
      <c r="F125" s="80">
        <f>SUM(H117:R117)</f>
        <v>4592.4045261439624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7">
        <f>NPV(F129,I116:R116)+H116</f>
        <v>-168.45315491409383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6" t="s">
        <v>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5" t="s">
        <v>1</v>
      </c>
      <c r="D129" s="4" t="s">
        <v>0</v>
      </c>
      <c r="E129" s="3"/>
      <c r="F129" s="2">
        <v>0.34194554034342728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6" t="s">
        <v>48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49" t="s">
        <v>49</v>
      </c>
      <c r="D133" s="50" t="s">
        <v>27</v>
      </c>
      <c r="E133" s="51"/>
      <c r="F133" s="52">
        <f>IF(SUM(H120:R120)=0,0,SUM(H120:R120))</f>
        <v>3.8963198736143707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22"/>
      <c r="B137" s="26" t="s">
        <v>99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21"/>
      <c r="B139" s="21"/>
      <c r="C139" s="20"/>
      <c r="D139" s="19"/>
      <c r="E139" s="19"/>
      <c r="F139" s="88" t="s">
        <v>17</v>
      </c>
      <c r="G139" s="90"/>
      <c r="H139" s="18">
        <v>0</v>
      </c>
      <c r="I139" s="18">
        <v>1</v>
      </c>
      <c r="J139" s="18">
        <v>2</v>
      </c>
      <c r="K139" s="18">
        <v>3</v>
      </c>
      <c r="L139" s="18">
        <v>4</v>
      </c>
      <c r="M139" s="18">
        <v>5</v>
      </c>
      <c r="N139" s="18">
        <v>6</v>
      </c>
      <c r="O139" s="18">
        <v>7</v>
      </c>
      <c r="P139" s="18">
        <v>8</v>
      </c>
      <c r="Q139" s="18">
        <v>9</v>
      </c>
      <c r="R139" s="18">
        <v>10</v>
      </c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9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6" t="s">
        <v>100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 t="s">
        <v>31</v>
      </c>
      <c r="D142" s="1" t="s">
        <v>40</v>
      </c>
      <c r="E142" s="1"/>
      <c r="F142" s="1"/>
      <c r="G142" s="1"/>
      <c r="H142" s="44">
        <f>H92</f>
        <v>36.462328762522716</v>
      </c>
      <c r="I142" s="44">
        <f t="shared" ref="I142:R142" si="24">I92</f>
        <v>36.462328762522716</v>
      </c>
      <c r="J142" s="44">
        <f t="shared" si="24"/>
        <v>28.708361102610066</v>
      </c>
      <c r="K142" s="44">
        <f t="shared" si="24"/>
        <v>31.263656898661665</v>
      </c>
      <c r="L142" s="44">
        <f t="shared" si="24"/>
        <v>28.698681951867442</v>
      </c>
      <c r="M142" s="44">
        <f t="shared" si="24"/>
        <v>26.283733841583821</v>
      </c>
      <c r="N142" s="44">
        <f t="shared" si="24"/>
        <v>26.283733841583818</v>
      </c>
      <c r="O142" s="44">
        <f t="shared" si="24"/>
        <v>26.283733841583818</v>
      </c>
      <c r="P142" s="44">
        <f t="shared" si="24"/>
        <v>26.283733841583818</v>
      </c>
      <c r="Q142" s="44">
        <f t="shared" si="24"/>
        <v>26.283733841583818</v>
      </c>
      <c r="R142" s="44">
        <f t="shared" si="24"/>
        <v>26.283733841583818</v>
      </c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 ht="15.75" customHeight="1" x14ac:dyDescent="0.2">
      <c r="A143" s="1"/>
      <c r="B143" s="1"/>
      <c r="C143" s="1" t="s">
        <v>101</v>
      </c>
      <c r="D143" s="1" t="s">
        <v>18</v>
      </c>
      <c r="E143" s="1"/>
      <c r="F143" s="1"/>
      <c r="G143" s="1"/>
      <c r="H143" s="44">
        <f>IF(OR($D$85="BASE",$D$85="FIP"),0,H95+H94)</f>
        <v>0</v>
      </c>
      <c r="I143" s="44">
        <f>IF(OR($D$85="BASE",$D$85="FIP"),0,I95+I94)</f>
        <v>52150.000000000007</v>
      </c>
      <c r="J143" s="44">
        <f t="shared" ref="J143:R143" si="25">IF(OR($D$85="BASE",$D$85="FIP"),0,J95+J94)</f>
        <v>52150.000000000007</v>
      </c>
      <c r="K143" s="44">
        <f t="shared" si="25"/>
        <v>52150.000000000007</v>
      </c>
      <c r="L143" s="44">
        <f t="shared" si="25"/>
        <v>52150.000000000007</v>
      </c>
      <c r="M143" s="44">
        <f t="shared" si="25"/>
        <v>52150.000000000007</v>
      </c>
      <c r="N143" s="44">
        <f t="shared" si="25"/>
        <v>52150.000000000007</v>
      </c>
      <c r="O143" s="44">
        <f t="shared" si="25"/>
        <v>52150.000000000007</v>
      </c>
      <c r="P143" s="44">
        <f t="shared" si="25"/>
        <v>52150.000000000007</v>
      </c>
      <c r="Q143" s="44">
        <f t="shared" si="25"/>
        <v>52150.000000000007</v>
      </c>
      <c r="R143" s="44">
        <f t="shared" si="25"/>
        <v>52150.000000000007</v>
      </c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 ht="15.75" customHeight="1" x14ac:dyDescent="0.2">
      <c r="A144" s="1"/>
      <c r="B144" s="1"/>
      <c r="C144" s="1" t="s">
        <v>104</v>
      </c>
      <c r="D144" s="79" t="s">
        <v>35</v>
      </c>
      <c r="E144" s="1"/>
      <c r="F144" s="1"/>
      <c r="G144" s="1"/>
      <c r="H144" s="44">
        <f>-H142*H143/1000</f>
        <v>0</v>
      </c>
      <c r="I144" s="44">
        <f t="shared" ref="I144:R144" si="26">-I142*I143/1000</f>
        <v>-1901.5104449655601</v>
      </c>
      <c r="J144" s="44">
        <f t="shared" si="26"/>
        <v>-1497.1410315011151</v>
      </c>
      <c r="K144" s="44">
        <f t="shared" si="26"/>
        <v>-1630.3997072652062</v>
      </c>
      <c r="L144" s="44">
        <f t="shared" si="26"/>
        <v>-1496.6362637898874</v>
      </c>
      <c r="M144" s="44">
        <f t="shared" si="26"/>
        <v>-1370.6967198385964</v>
      </c>
      <c r="N144" s="44">
        <f t="shared" si="26"/>
        <v>-1370.6967198385962</v>
      </c>
      <c r="O144" s="44">
        <f t="shared" si="26"/>
        <v>-1370.6967198385962</v>
      </c>
      <c r="P144" s="44">
        <f t="shared" si="26"/>
        <v>-1370.6967198385962</v>
      </c>
      <c r="Q144" s="44">
        <f t="shared" si="26"/>
        <v>-1370.6967198385962</v>
      </c>
      <c r="R144" s="44">
        <f t="shared" si="26"/>
        <v>-1370.6967198385962</v>
      </c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 ht="15.75" customHeight="1" x14ac:dyDescent="0.2">
      <c r="A145" s="1"/>
      <c r="B145" s="1"/>
      <c r="C145" s="1" t="s">
        <v>15</v>
      </c>
      <c r="D145" s="79" t="s">
        <v>35</v>
      </c>
      <c r="E145" s="1"/>
      <c r="F145" s="1"/>
      <c r="G145" s="1"/>
      <c r="H145" s="44">
        <f>-($D$58*H143/1000)</f>
        <v>0</v>
      </c>
      <c r="I145" s="44">
        <f t="shared" ref="I145:R145" si="27">-($D$58*I143/1000)</f>
        <v>-130.37500000000003</v>
      </c>
      <c r="J145" s="44">
        <f t="shared" si="27"/>
        <v>-130.37500000000003</v>
      </c>
      <c r="K145" s="44">
        <f t="shared" si="27"/>
        <v>-130.37500000000003</v>
      </c>
      <c r="L145" s="44">
        <f t="shared" si="27"/>
        <v>-130.37500000000003</v>
      </c>
      <c r="M145" s="44">
        <f t="shared" si="27"/>
        <v>-130.37500000000003</v>
      </c>
      <c r="N145" s="44">
        <f t="shared" si="27"/>
        <v>-130.37500000000003</v>
      </c>
      <c r="O145" s="44">
        <f t="shared" si="27"/>
        <v>-130.37500000000003</v>
      </c>
      <c r="P145" s="44">
        <f t="shared" si="27"/>
        <v>-130.37500000000003</v>
      </c>
      <c r="Q145" s="44">
        <f t="shared" si="27"/>
        <v>-130.37500000000003</v>
      </c>
      <c r="R145" s="44">
        <f t="shared" si="27"/>
        <v>-130.37500000000003</v>
      </c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 ht="15.75" customHeight="1" x14ac:dyDescent="0.2">
      <c r="A146" s="1"/>
      <c r="B146" s="1"/>
      <c r="C146" s="42" t="s">
        <v>47</v>
      </c>
      <c r="D146" s="42" t="s">
        <v>35</v>
      </c>
      <c r="E146" s="43"/>
      <c r="F146" s="43"/>
      <c r="G146" s="43"/>
      <c r="H146" s="45">
        <f t="shared" ref="H146:R146" si="28">IF(H139=0,0,IF(OR($D$85="FIC",$D$85="COMBO"),-$D$55,0))</f>
        <v>0</v>
      </c>
      <c r="I146" s="45">
        <f t="shared" si="28"/>
        <v>-10</v>
      </c>
      <c r="J146" s="45">
        <f t="shared" si="28"/>
        <v>-10</v>
      </c>
      <c r="K146" s="45">
        <f t="shared" si="28"/>
        <v>-10</v>
      </c>
      <c r="L146" s="45">
        <f t="shared" si="28"/>
        <v>-10</v>
      </c>
      <c r="M146" s="45">
        <f t="shared" si="28"/>
        <v>-10</v>
      </c>
      <c r="N146" s="45">
        <f t="shared" si="28"/>
        <v>-10</v>
      </c>
      <c r="O146" s="45">
        <f t="shared" si="28"/>
        <v>-10</v>
      </c>
      <c r="P146" s="45">
        <f t="shared" si="28"/>
        <v>-10</v>
      </c>
      <c r="Q146" s="45">
        <f t="shared" si="28"/>
        <v>-10</v>
      </c>
      <c r="R146" s="45">
        <f t="shared" si="28"/>
        <v>-10</v>
      </c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 ht="15.75" customHeight="1" x14ac:dyDescent="0.2">
      <c r="A147" s="9"/>
      <c r="B147" s="9"/>
      <c r="C147" s="9" t="s">
        <v>15</v>
      </c>
      <c r="D147" s="24" t="s">
        <v>35</v>
      </c>
      <c r="E147" s="9"/>
      <c r="F147" s="9"/>
      <c r="G147" s="9"/>
      <c r="H147" s="46">
        <f>H144+H145+H146</f>
        <v>0</v>
      </c>
      <c r="I147" s="46">
        <f t="shared" ref="I147:R147" si="29">I144+I145+I146</f>
        <v>-2041.8854449655601</v>
      </c>
      <c r="J147" s="46">
        <f t="shared" si="29"/>
        <v>-1637.5160315011151</v>
      </c>
      <c r="K147" s="46">
        <f t="shared" si="29"/>
        <v>-1770.7747072652062</v>
      </c>
      <c r="L147" s="46">
        <f t="shared" si="29"/>
        <v>-1637.0112637898874</v>
      </c>
      <c r="M147" s="46">
        <f t="shared" si="29"/>
        <v>-1511.0717198385964</v>
      </c>
      <c r="N147" s="46">
        <f t="shared" si="29"/>
        <v>-1511.0717198385962</v>
      </c>
      <c r="O147" s="46">
        <f t="shared" si="29"/>
        <v>-1511.0717198385962</v>
      </c>
      <c r="P147" s="46">
        <f t="shared" si="29"/>
        <v>-1511.0717198385962</v>
      </c>
      <c r="Q147" s="46">
        <f t="shared" si="29"/>
        <v>-1511.0717198385962</v>
      </c>
      <c r="R147" s="46">
        <f t="shared" si="29"/>
        <v>-1511.0717198385962</v>
      </c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6" t="s">
        <v>105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 t="s">
        <v>31</v>
      </c>
      <c r="D150" s="1" t="s">
        <v>40</v>
      </c>
      <c r="E150" s="1"/>
      <c r="F150" s="1"/>
      <c r="G150" s="1"/>
      <c r="H150" s="44">
        <f>H78</f>
        <v>56.0958904038811</v>
      </c>
      <c r="I150" s="44">
        <f t="shared" ref="I150:R150" si="30">I78</f>
        <v>56.0958904038811</v>
      </c>
      <c r="J150" s="44">
        <f t="shared" si="30"/>
        <v>44.166709388630871</v>
      </c>
      <c r="K150" s="44">
        <f t="shared" si="30"/>
        <v>48.097933690248716</v>
      </c>
      <c r="L150" s="44">
        <f t="shared" si="30"/>
        <v>44.151818387488369</v>
      </c>
      <c r="M150" s="44">
        <f t="shared" si="30"/>
        <v>40.436513602436648</v>
      </c>
      <c r="N150" s="44">
        <f t="shared" si="30"/>
        <v>40.436513602436641</v>
      </c>
      <c r="O150" s="44">
        <f t="shared" si="30"/>
        <v>40.436513602436641</v>
      </c>
      <c r="P150" s="44">
        <f t="shared" si="30"/>
        <v>40.436513602436641</v>
      </c>
      <c r="Q150" s="44">
        <f t="shared" si="30"/>
        <v>40.436513602436641</v>
      </c>
      <c r="R150" s="44">
        <f t="shared" si="30"/>
        <v>40.436513602436641</v>
      </c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 ht="15.75" customHeight="1" x14ac:dyDescent="0.2">
      <c r="A151" s="1"/>
      <c r="B151" s="1"/>
      <c r="C151" s="1" t="s">
        <v>102</v>
      </c>
      <c r="D151" s="1" t="s">
        <v>18</v>
      </c>
      <c r="E151" s="1"/>
      <c r="F151" s="1"/>
      <c r="G151" s="1"/>
      <c r="H151" s="44">
        <f t="shared" ref="H151:R151" si="31">H143</f>
        <v>0</v>
      </c>
      <c r="I151" s="44">
        <f t="shared" si="31"/>
        <v>52150.000000000007</v>
      </c>
      <c r="J151" s="44">
        <f t="shared" si="31"/>
        <v>52150.000000000007</v>
      </c>
      <c r="K151" s="44">
        <f t="shared" si="31"/>
        <v>52150.000000000007</v>
      </c>
      <c r="L151" s="44">
        <f t="shared" si="31"/>
        <v>52150.000000000007</v>
      </c>
      <c r="M151" s="44">
        <f t="shared" si="31"/>
        <v>52150.000000000007</v>
      </c>
      <c r="N151" s="44">
        <f t="shared" si="31"/>
        <v>52150.000000000007</v>
      </c>
      <c r="O151" s="44">
        <f t="shared" si="31"/>
        <v>52150.000000000007</v>
      </c>
      <c r="P151" s="44">
        <f t="shared" si="31"/>
        <v>52150.000000000007</v>
      </c>
      <c r="Q151" s="44">
        <f t="shared" si="31"/>
        <v>52150.000000000007</v>
      </c>
      <c r="R151" s="44">
        <f t="shared" si="31"/>
        <v>52150.000000000007</v>
      </c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 ht="15.75" customHeight="1" x14ac:dyDescent="0.2">
      <c r="A152" s="1"/>
      <c r="B152" s="1"/>
      <c r="C152" s="1" t="s">
        <v>106</v>
      </c>
      <c r="D152" s="1" t="s">
        <v>35</v>
      </c>
      <c r="E152" s="1"/>
      <c r="F152" s="1"/>
      <c r="G152" s="1"/>
      <c r="H152" s="44">
        <f t="shared" ref="H152:R152" si="32">H150*H151/1000</f>
        <v>0</v>
      </c>
      <c r="I152" s="44">
        <f t="shared" si="32"/>
        <v>2925.4006845623999</v>
      </c>
      <c r="J152" s="44">
        <f t="shared" si="32"/>
        <v>2303.2938946171002</v>
      </c>
      <c r="K152" s="44">
        <f t="shared" si="32"/>
        <v>2508.3072419464711</v>
      </c>
      <c r="L152" s="44">
        <f t="shared" si="32"/>
        <v>2302.5173289075187</v>
      </c>
      <c r="M152" s="44">
        <f t="shared" si="32"/>
        <v>2108.7641843670713</v>
      </c>
      <c r="N152" s="44">
        <f t="shared" si="32"/>
        <v>2108.7641843670708</v>
      </c>
      <c r="O152" s="44">
        <f t="shared" si="32"/>
        <v>2108.7641843670708</v>
      </c>
      <c r="P152" s="44">
        <f t="shared" si="32"/>
        <v>2108.7641843670708</v>
      </c>
      <c r="Q152" s="44">
        <f t="shared" si="32"/>
        <v>2108.7641843670708</v>
      </c>
      <c r="R152" s="44">
        <f t="shared" si="32"/>
        <v>2108.7641843670708</v>
      </c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 ht="15.75" customHeight="1" x14ac:dyDescent="0.2">
      <c r="A153" s="1"/>
      <c r="B153" s="1"/>
      <c r="C153" s="42" t="s">
        <v>47</v>
      </c>
      <c r="D153" s="42" t="s">
        <v>35</v>
      </c>
      <c r="E153" s="42"/>
      <c r="F153" s="42"/>
      <c r="G153" s="42"/>
      <c r="H153" s="45">
        <f t="shared" ref="H153:R153" si="33">IF(H139=0,0,IF(OR($D$85="FIC",$D$85="COMBO"),+$D$55*$D$65,0))</f>
        <v>0</v>
      </c>
      <c r="I153" s="45">
        <f t="shared" si="33"/>
        <v>6</v>
      </c>
      <c r="J153" s="45">
        <f t="shared" si="33"/>
        <v>6</v>
      </c>
      <c r="K153" s="45">
        <f t="shared" si="33"/>
        <v>6</v>
      </c>
      <c r="L153" s="45">
        <f t="shared" si="33"/>
        <v>6</v>
      </c>
      <c r="M153" s="45">
        <f t="shared" si="33"/>
        <v>6</v>
      </c>
      <c r="N153" s="45">
        <f t="shared" si="33"/>
        <v>6</v>
      </c>
      <c r="O153" s="45">
        <f t="shared" si="33"/>
        <v>6</v>
      </c>
      <c r="P153" s="45">
        <f t="shared" si="33"/>
        <v>6</v>
      </c>
      <c r="Q153" s="45">
        <f t="shared" si="33"/>
        <v>6</v>
      </c>
      <c r="R153" s="45">
        <f t="shared" si="33"/>
        <v>6</v>
      </c>
      <c r="S153" s="12"/>
      <c r="T153" s="16"/>
      <c r="U153" s="16"/>
      <c r="V153" s="16"/>
      <c r="W153" s="16"/>
      <c r="X153" s="16"/>
      <c r="Y153" s="16"/>
      <c r="Z153" s="16"/>
      <c r="AA153" s="16"/>
    </row>
    <row r="154" spans="1:27" ht="15.75" customHeight="1" x14ac:dyDescent="0.2">
      <c r="A154" s="9"/>
      <c r="B154" s="9"/>
      <c r="C154" s="9" t="s">
        <v>21</v>
      </c>
      <c r="D154" s="9" t="s">
        <v>35</v>
      </c>
      <c r="E154" s="9"/>
      <c r="F154" s="9"/>
      <c r="G154" s="9"/>
      <c r="H154" s="46">
        <f>H152+H153</f>
        <v>0</v>
      </c>
      <c r="I154" s="46">
        <f>I152+I153</f>
        <v>2931.4006845623999</v>
      </c>
      <c r="J154" s="46">
        <f t="shared" ref="J154:R154" si="34">J152+J153</f>
        <v>2309.2938946171002</v>
      </c>
      <c r="K154" s="46">
        <f t="shared" si="34"/>
        <v>2514.3072419464711</v>
      </c>
      <c r="L154" s="46">
        <f t="shared" si="34"/>
        <v>2308.5173289075187</v>
      </c>
      <c r="M154" s="46">
        <f t="shared" si="34"/>
        <v>2114.7641843670713</v>
      </c>
      <c r="N154" s="46">
        <f t="shared" si="34"/>
        <v>2114.7641843670708</v>
      </c>
      <c r="O154" s="46">
        <f t="shared" si="34"/>
        <v>2114.7641843670708</v>
      </c>
      <c r="P154" s="46">
        <f t="shared" si="34"/>
        <v>2114.7641843670708</v>
      </c>
      <c r="Q154" s="46">
        <f t="shared" si="34"/>
        <v>2114.7641843670708</v>
      </c>
      <c r="R154" s="46">
        <f t="shared" si="34"/>
        <v>2114.7641843670708</v>
      </c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42" t="s">
        <v>117</v>
      </c>
      <c r="D156" s="42" t="s">
        <v>35</v>
      </c>
      <c r="E156" s="42"/>
      <c r="F156" s="42"/>
      <c r="G156" s="42"/>
      <c r="H156" s="45">
        <f>H151*H150*$D$63/1000</f>
        <v>0</v>
      </c>
      <c r="I156" s="45">
        <f t="shared" ref="I156:R156" si="35">I151*I150*$D$63/1000</f>
        <v>438.81010268436</v>
      </c>
      <c r="J156" s="45">
        <f t="shared" si="35"/>
        <v>345.49408419256503</v>
      </c>
      <c r="K156" s="45">
        <f t="shared" si="35"/>
        <v>376.24608629197064</v>
      </c>
      <c r="L156" s="45">
        <f t="shared" si="35"/>
        <v>345.37759933612779</v>
      </c>
      <c r="M156" s="45">
        <f t="shared" si="35"/>
        <v>316.31462765506069</v>
      </c>
      <c r="N156" s="45">
        <f t="shared" si="35"/>
        <v>316.31462765506063</v>
      </c>
      <c r="O156" s="45">
        <f t="shared" si="35"/>
        <v>316.31462765506063</v>
      </c>
      <c r="P156" s="45">
        <f t="shared" si="35"/>
        <v>316.31462765506063</v>
      </c>
      <c r="Q156" s="45">
        <f t="shared" si="35"/>
        <v>316.31462765506063</v>
      </c>
      <c r="R156" s="45">
        <f t="shared" si="35"/>
        <v>316.31462765506063</v>
      </c>
      <c r="S156" s="12"/>
      <c r="T156" s="23"/>
      <c r="U156" s="23"/>
      <c r="V156" s="23"/>
      <c r="W156" s="23"/>
      <c r="X156" s="23"/>
      <c r="Y156" s="23"/>
      <c r="Z156" s="23"/>
      <c r="AA156" s="23"/>
    </row>
    <row r="157" spans="1:27" ht="15.75" customHeight="1" x14ac:dyDescent="0.2">
      <c r="A157" s="9"/>
      <c r="B157" s="9"/>
      <c r="C157" s="9" t="s">
        <v>105</v>
      </c>
      <c r="D157" s="24" t="s">
        <v>35</v>
      </c>
      <c r="E157" s="9"/>
      <c r="F157" s="9"/>
      <c r="G157" s="9"/>
      <c r="H157" s="46">
        <f>H156+H154</f>
        <v>0</v>
      </c>
      <c r="I157" s="46">
        <f t="shared" ref="I157:R157" si="36">I156+I154</f>
        <v>3370.21078724676</v>
      </c>
      <c r="J157" s="46">
        <f t="shared" si="36"/>
        <v>2654.7879788096652</v>
      </c>
      <c r="K157" s="46">
        <f t="shared" si="36"/>
        <v>2890.5533282384417</v>
      </c>
      <c r="L157" s="46">
        <f t="shared" si="36"/>
        <v>2653.8949282436465</v>
      </c>
      <c r="M157" s="46">
        <f t="shared" si="36"/>
        <v>2431.0788120221318</v>
      </c>
      <c r="N157" s="46">
        <f t="shared" si="36"/>
        <v>2431.0788120221314</v>
      </c>
      <c r="O157" s="46">
        <f t="shared" si="36"/>
        <v>2431.0788120221314</v>
      </c>
      <c r="P157" s="46">
        <f t="shared" si="36"/>
        <v>2431.0788120221314</v>
      </c>
      <c r="Q157" s="46">
        <f t="shared" si="36"/>
        <v>2431.0788120221314</v>
      </c>
      <c r="R157" s="46">
        <f t="shared" si="36"/>
        <v>2431.0788120221314</v>
      </c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6" t="s">
        <v>50</v>
      </c>
      <c r="C159" s="1"/>
      <c r="D159" s="1"/>
      <c r="E159" s="1"/>
      <c r="F159" s="88" t="s">
        <v>17</v>
      </c>
      <c r="G159" s="90"/>
      <c r="H159" s="18">
        <v>0</v>
      </c>
      <c r="I159" s="18">
        <v>1</v>
      </c>
      <c r="J159" s="18">
        <v>2</v>
      </c>
      <c r="K159" s="18">
        <v>3</v>
      </c>
      <c r="L159" s="18">
        <v>4</v>
      </c>
      <c r="M159" s="18">
        <v>5</v>
      </c>
      <c r="N159" s="18">
        <v>6</v>
      </c>
      <c r="O159" s="18">
        <v>7</v>
      </c>
      <c r="P159" s="18">
        <v>8</v>
      </c>
      <c r="Q159" s="18">
        <v>9</v>
      </c>
      <c r="R159" s="18">
        <v>10</v>
      </c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 t="s">
        <v>16</v>
      </c>
      <c r="D160" s="1" t="s">
        <v>35</v>
      </c>
      <c r="E160" s="1"/>
      <c r="F160" s="1"/>
      <c r="G160" s="1"/>
      <c r="H160" s="44">
        <f>H157</f>
        <v>0</v>
      </c>
      <c r="I160" s="44">
        <f t="shared" ref="I160:R160" si="37">I157</f>
        <v>3370.21078724676</v>
      </c>
      <c r="J160" s="44">
        <f t="shared" si="37"/>
        <v>2654.7879788096652</v>
      </c>
      <c r="K160" s="44">
        <f t="shared" si="37"/>
        <v>2890.5533282384417</v>
      </c>
      <c r="L160" s="44">
        <f t="shared" si="37"/>
        <v>2653.8949282436465</v>
      </c>
      <c r="M160" s="44">
        <f t="shared" si="37"/>
        <v>2431.0788120221318</v>
      </c>
      <c r="N160" s="44">
        <f t="shared" si="37"/>
        <v>2431.0788120221314</v>
      </c>
      <c r="O160" s="44">
        <f t="shared" si="37"/>
        <v>2431.0788120221314</v>
      </c>
      <c r="P160" s="44">
        <f t="shared" si="37"/>
        <v>2431.0788120221314</v>
      </c>
      <c r="Q160" s="44">
        <f t="shared" si="37"/>
        <v>2431.0788120221314</v>
      </c>
      <c r="R160" s="44">
        <f t="shared" si="37"/>
        <v>2431.0788120221314</v>
      </c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2">
      <c r="A161" s="1"/>
      <c r="B161" s="1"/>
      <c r="C161" s="1" t="s">
        <v>15</v>
      </c>
      <c r="D161" s="17" t="s">
        <v>35</v>
      </c>
      <c r="E161" s="1"/>
      <c r="F161" s="1"/>
      <c r="G161" s="1"/>
      <c r="H161" s="44">
        <f>H147</f>
        <v>0</v>
      </c>
      <c r="I161" s="44">
        <f t="shared" ref="I161:R161" si="38">I147</f>
        <v>-2041.8854449655601</v>
      </c>
      <c r="J161" s="44">
        <f t="shared" si="38"/>
        <v>-1637.5160315011151</v>
      </c>
      <c r="K161" s="44">
        <f t="shared" si="38"/>
        <v>-1770.7747072652062</v>
      </c>
      <c r="L161" s="44">
        <f t="shared" si="38"/>
        <v>-1637.0112637898874</v>
      </c>
      <c r="M161" s="44">
        <f t="shared" si="38"/>
        <v>-1511.0717198385964</v>
      </c>
      <c r="N161" s="44">
        <f t="shared" si="38"/>
        <v>-1511.0717198385962</v>
      </c>
      <c r="O161" s="44">
        <f t="shared" si="38"/>
        <v>-1511.0717198385962</v>
      </c>
      <c r="P161" s="44">
        <f t="shared" si="38"/>
        <v>-1511.0717198385962</v>
      </c>
      <c r="Q161" s="44">
        <f t="shared" si="38"/>
        <v>-1511.0717198385962</v>
      </c>
      <c r="R161" s="44">
        <f t="shared" si="38"/>
        <v>-1511.0717198385962</v>
      </c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2">
      <c r="A162" s="1"/>
      <c r="B162" s="1"/>
      <c r="C162" s="13" t="s">
        <v>14</v>
      </c>
      <c r="D162" s="13" t="s">
        <v>35</v>
      </c>
      <c r="E162" s="13"/>
      <c r="F162" s="13"/>
      <c r="G162" s="13"/>
      <c r="H162" s="45">
        <f>-D107</f>
        <v>0</v>
      </c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2"/>
      <c r="T162" s="42"/>
      <c r="U162" s="42"/>
      <c r="V162" s="13"/>
      <c r="W162" s="13"/>
      <c r="X162" s="13"/>
      <c r="Y162" s="13"/>
      <c r="Z162" s="13"/>
      <c r="AA162" s="13"/>
    </row>
    <row r="163" spans="1:27" ht="15.75" customHeight="1" x14ac:dyDescent="0.2">
      <c r="A163" s="9"/>
      <c r="B163" s="9"/>
      <c r="C163" s="9" t="s">
        <v>13</v>
      </c>
      <c r="D163" s="9" t="s">
        <v>35</v>
      </c>
      <c r="E163" s="9"/>
      <c r="F163" s="9"/>
      <c r="G163" s="53"/>
      <c r="H163" s="48">
        <f>SUM(H160:H162)</f>
        <v>0</v>
      </c>
      <c r="I163" s="48">
        <f>SUM(I160:I161)</f>
        <v>1328.3253422811999</v>
      </c>
      <c r="J163" s="48">
        <f t="shared" ref="J163:R163" si="39">SUM(J160:J161)</f>
        <v>1017.2719473085501</v>
      </c>
      <c r="K163" s="48">
        <f t="shared" si="39"/>
        <v>1119.7786209732355</v>
      </c>
      <c r="L163" s="48">
        <f t="shared" si="39"/>
        <v>1016.8836644537591</v>
      </c>
      <c r="M163" s="48">
        <f t="shared" si="39"/>
        <v>920.00709218353541</v>
      </c>
      <c r="N163" s="48">
        <f t="shared" si="39"/>
        <v>920.00709218353518</v>
      </c>
      <c r="O163" s="48">
        <f t="shared" si="39"/>
        <v>920.00709218353518</v>
      </c>
      <c r="P163" s="48">
        <f t="shared" si="39"/>
        <v>920.00709218353518</v>
      </c>
      <c r="Q163" s="48">
        <f t="shared" si="39"/>
        <v>920.00709218353518</v>
      </c>
      <c r="R163" s="48">
        <f t="shared" si="39"/>
        <v>920.00709218353518</v>
      </c>
      <c r="S163" s="47"/>
      <c r="T163" s="47"/>
      <c r="U163" s="15"/>
      <c r="V163" s="15"/>
      <c r="W163" s="15"/>
      <c r="X163" s="15"/>
      <c r="Y163" s="15"/>
      <c r="Z163" s="15"/>
      <c r="AA163" s="15"/>
    </row>
    <row r="164" spans="1:27" ht="15.75" customHeight="1" x14ac:dyDescent="0.2">
      <c r="A164" s="9"/>
      <c r="B164" s="9"/>
      <c r="C164" s="4" t="s">
        <v>12</v>
      </c>
      <c r="D164" s="4" t="s">
        <v>35</v>
      </c>
      <c r="E164" s="4"/>
      <c r="F164" s="4"/>
      <c r="G164" s="53"/>
      <c r="H164" s="48">
        <f>H163</f>
        <v>0</v>
      </c>
      <c r="I164" s="48">
        <f t="shared" ref="I164:R164" si="40">I163</f>
        <v>1328.3253422811999</v>
      </c>
      <c r="J164" s="48">
        <f t="shared" si="40"/>
        <v>1017.2719473085501</v>
      </c>
      <c r="K164" s="48">
        <f t="shared" si="40"/>
        <v>1119.7786209732355</v>
      </c>
      <c r="L164" s="48">
        <f t="shared" si="40"/>
        <v>1016.8836644537591</v>
      </c>
      <c r="M164" s="48">
        <f t="shared" si="40"/>
        <v>920.00709218353541</v>
      </c>
      <c r="N164" s="48">
        <f t="shared" si="40"/>
        <v>920.00709218353518</v>
      </c>
      <c r="O164" s="48">
        <f t="shared" si="40"/>
        <v>920.00709218353518</v>
      </c>
      <c r="P164" s="48">
        <f t="shared" si="40"/>
        <v>920.00709218353518</v>
      </c>
      <c r="Q164" s="48">
        <f t="shared" si="40"/>
        <v>920.00709218353518</v>
      </c>
      <c r="R164" s="48">
        <f t="shared" si="40"/>
        <v>920.00709218353518</v>
      </c>
      <c r="S164" s="25"/>
      <c r="T164" s="25"/>
      <c r="U164" s="14"/>
      <c r="V164" s="14"/>
      <c r="W164" s="14"/>
      <c r="X164" s="14"/>
      <c r="Y164" s="14"/>
      <c r="Z164" s="14"/>
      <c r="AA164" s="14"/>
    </row>
    <row r="165" spans="1:27" ht="15.75" customHeight="1" x14ac:dyDescent="0.2">
      <c r="A165" s="11"/>
      <c r="B165" s="11"/>
      <c r="C165" s="11" t="s">
        <v>11</v>
      </c>
      <c r="D165" s="11" t="s">
        <v>35</v>
      </c>
      <c r="E165" s="11"/>
      <c r="F165" s="11"/>
      <c r="G165" s="11"/>
      <c r="H165" s="44">
        <f>0</f>
        <v>0</v>
      </c>
      <c r="I165" s="44">
        <f>0</f>
        <v>0</v>
      </c>
      <c r="J165" s="44">
        <f>0</f>
        <v>0</v>
      </c>
      <c r="K165" s="44">
        <f>0</f>
        <v>0</v>
      </c>
      <c r="L165" s="44">
        <f>0</f>
        <v>0</v>
      </c>
      <c r="M165" s="44">
        <f>0</f>
        <v>0</v>
      </c>
      <c r="N165" s="44">
        <f>0</f>
        <v>0</v>
      </c>
      <c r="O165" s="44">
        <f>0</f>
        <v>0</v>
      </c>
      <c r="P165" s="44">
        <f>0</f>
        <v>0</v>
      </c>
      <c r="Q165" s="44">
        <f>0</f>
        <v>0</v>
      </c>
      <c r="R165" s="44">
        <f>0</f>
        <v>0</v>
      </c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2">
      <c r="A166" s="1"/>
      <c r="B166" s="1"/>
      <c r="C166" s="1" t="s">
        <v>10</v>
      </c>
      <c r="D166" s="1" t="s">
        <v>35</v>
      </c>
      <c r="E166" s="1"/>
      <c r="F166" s="1"/>
      <c r="G166" s="1"/>
      <c r="H166" s="44">
        <f t="shared" ref="H166:R166" si="41">SUM(H164:H165)</f>
        <v>0</v>
      </c>
      <c r="I166" s="44">
        <f t="shared" si="41"/>
        <v>1328.3253422811999</v>
      </c>
      <c r="J166" s="44">
        <f t="shared" si="41"/>
        <v>1017.2719473085501</v>
      </c>
      <c r="K166" s="44">
        <f t="shared" si="41"/>
        <v>1119.7786209732355</v>
      </c>
      <c r="L166" s="44">
        <f t="shared" si="41"/>
        <v>1016.8836644537591</v>
      </c>
      <c r="M166" s="44">
        <f t="shared" si="41"/>
        <v>920.00709218353541</v>
      </c>
      <c r="N166" s="44">
        <f t="shared" si="41"/>
        <v>920.00709218353518</v>
      </c>
      <c r="O166" s="44">
        <f t="shared" si="41"/>
        <v>920.00709218353518</v>
      </c>
      <c r="P166" s="44">
        <f t="shared" si="41"/>
        <v>920.00709218353518</v>
      </c>
      <c r="Q166" s="44">
        <f t="shared" si="41"/>
        <v>920.00709218353518</v>
      </c>
      <c r="R166" s="44">
        <f t="shared" si="41"/>
        <v>920.00709218353518</v>
      </c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2">
      <c r="A167" s="1"/>
      <c r="B167" s="1"/>
      <c r="C167" s="13" t="s">
        <v>9</v>
      </c>
      <c r="D167" s="13" t="s">
        <v>35</v>
      </c>
      <c r="E167" s="13"/>
      <c r="F167" s="13"/>
      <c r="G167" s="42"/>
      <c r="H167" s="45"/>
      <c r="I167" s="45">
        <f t="shared" ref="I167:R167" si="42">-I166*$D$23</f>
        <v>-318.79808214748795</v>
      </c>
      <c r="J167" s="45">
        <f t="shared" si="42"/>
        <v>-244.14526735405201</v>
      </c>
      <c r="K167" s="45">
        <f t="shared" si="42"/>
        <v>-268.7468690335765</v>
      </c>
      <c r="L167" s="45">
        <f t="shared" si="42"/>
        <v>-244.05207946890218</v>
      </c>
      <c r="M167" s="45">
        <f t="shared" si="42"/>
        <v>-220.80170212404849</v>
      </c>
      <c r="N167" s="45">
        <f t="shared" si="42"/>
        <v>-220.80170212404843</v>
      </c>
      <c r="O167" s="45">
        <f t="shared" si="42"/>
        <v>-220.80170212404843</v>
      </c>
      <c r="P167" s="45">
        <f t="shared" si="42"/>
        <v>-220.80170212404843</v>
      </c>
      <c r="Q167" s="45">
        <f t="shared" si="42"/>
        <v>-220.80170212404843</v>
      </c>
      <c r="R167" s="45">
        <f t="shared" si="42"/>
        <v>-220.80170212404843</v>
      </c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customHeight="1" x14ac:dyDescent="0.2">
      <c r="A168" s="1"/>
      <c r="B168" s="1"/>
      <c r="C168" s="9" t="s">
        <v>8</v>
      </c>
      <c r="D168" s="9" t="s">
        <v>35</v>
      </c>
      <c r="E168" s="9"/>
      <c r="F168" s="1"/>
      <c r="G168" s="1"/>
      <c r="H168" s="46">
        <f>H166</f>
        <v>0</v>
      </c>
      <c r="I168" s="46">
        <f t="shared" ref="I168:R168" si="43">SUM(I164,I167)</f>
        <v>1009.5272601337119</v>
      </c>
      <c r="J168" s="46">
        <f t="shared" si="43"/>
        <v>773.12667995449806</v>
      </c>
      <c r="K168" s="46">
        <f t="shared" si="43"/>
        <v>851.03175193965899</v>
      </c>
      <c r="L168" s="46">
        <f t="shared" si="43"/>
        <v>772.83158498485693</v>
      </c>
      <c r="M168" s="46">
        <f t="shared" si="43"/>
        <v>699.20539005948694</v>
      </c>
      <c r="N168" s="46">
        <f t="shared" si="43"/>
        <v>699.20539005948672</v>
      </c>
      <c r="O168" s="46">
        <f t="shared" si="43"/>
        <v>699.20539005948672</v>
      </c>
      <c r="P168" s="46">
        <f t="shared" si="43"/>
        <v>699.20539005948672</v>
      </c>
      <c r="Q168" s="46">
        <f t="shared" si="43"/>
        <v>699.20539005948672</v>
      </c>
      <c r="R168" s="46">
        <f t="shared" si="43"/>
        <v>699.20539005948672</v>
      </c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2">
      <c r="A169" s="1"/>
      <c r="B169" s="1"/>
      <c r="C169" s="1" t="s">
        <v>7</v>
      </c>
      <c r="D169" s="1" t="s">
        <v>35</v>
      </c>
      <c r="E169" s="1"/>
      <c r="F169" s="1"/>
      <c r="G169" s="1"/>
      <c r="H169" s="44">
        <f t="shared" ref="H169:R169" si="44">H168/(1+$D$22)^H139</f>
        <v>0</v>
      </c>
      <c r="I169" s="44">
        <f t="shared" si="44"/>
        <v>925.45180866720295</v>
      </c>
      <c r="J169" s="44">
        <f t="shared" si="44"/>
        <v>649.71392734878384</v>
      </c>
      <c r="K169" s="44">
        <f t="shared" si="44"/>
        <v>655.62127428290682</v>
      </c>
      <c r="L169" s="44">
        <f t="shared" si="44"/>
        <v>545.79291607555876</v>
      </c>
      <c r="M169" s="44">
        <f t="shared" si="44"/>
        <v>452.67192177096911</v>
      </c>
      <c r="N169" s="44">
        <f t="shared" si="44"/>
        <v>414.9724978009163</v>
      </c>
      <c r="O169" s="44">
        <f t="shared" si="44"/>
        <v>380.41275733964738</v>
      </c>
      <c r="P169" s="44">
        <f t="shared" si="44"/>
        <v>348.73122125837881</v>
      </c>
      <c r="Q169" s="44">
        <f t="shared" si="44"/>
        <v>319.68818693369712</v>
      </c>
      <c r="R169" s="44">
        <f t="shared" si="44"/>
        <v>293.06391465659158</v>
      </c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2">
      <c r="A170" s="1"/>
      <c r="B170" s="1"/>
      <c r="C170" s="1" t="s">
        <v>51</v>
      </c>
      <c r="D170" s="1" t="s">
        <v>35</v>
      </c>
      <c r="E170" s="1"/>
      <c r="F170" s="1"/>
      <c r="G170" s="1"/>
      <c r="H170" s="44">
        <f>H169</f>
        <v>0</v>
      </c>
      <c r="I170" s="44">
        <f>H170+I169</f>
        <v>925.45180866720295</v>
      </c>
      <c r="J170" s="44">
        <f t="shared" ref="J170:R170" si="45">I170+J169</f>
        <v>1575.1657360159868</v>
      </c>
      <c r="K170" s="44">
        <f t="shared" si="45"/>
        <v>2230.7870102988936</v>
      </c>
      <c r="L170" s="44">
        <f t="shared" si="45"/>
        <v>2776.5799263744525</v>
      </c>
      <c r="M170" s="44">
        <f t="shared" si="45"/>
        <v>3229.2518481454217</v>
      </c>
      <c r="N170" s="44">
        <f t="shared" si="45"/>
        <v>3644.224345946338</v>
      </c>
      <c r="O170" s="44">
        <f t="shared" si="45"/>
        <v>4024.6371032859852</v>
      </c>
      <c r="P170" s="44">
        <f t="shared" si="45"/>
        <v>4373.3683245443644</v>
      </c>
      <c r="Q170" s="44">
        <f t="shared" si="45"/>
        <v>4693.056511478062</v>
      </c>
      <c r="R170" s="44">
        <f t="shared" si="45"/>
        <v>4986.1204261346538</v>
      </c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44">
        <f>IF(H170&lt;0,(13-6)/12,0)</f>
        <v>0</v>
      </c>
      <c r="I172" s="44">
        <f>IF(COUNTIF($H172:H172,"=0")=COUNTA($H172:H172),IF(I170&lt;0,(13-6)/12,0),IF(I170&lt;0,1,IF(I170=0,IF(H170&gt;=0,0,1),IF(H170&lt;0,-H170/I169,0))))</f>
        <v>0</v>
      </c>
      <c r="J172" s="44">
        <f>IF(COUNTIF($H172:I172,"=0")=COUNTA($H172:I172),IF(J170&lt;0,(13-6)/12,0),IF(J170&lt;0,1,IF(J170=0,IF(I170&gt;=0,0,1),IF(I170&lt;0,-I170/J169,0))))</f>
        <v>0</v>
      </c>
      <c r="K172" s="44">
        <f>IF(COUNTIF($H172:J172,"=0")=COUNTA($H172:J172),IF(K170&lt;0,(13-6)/12,0),IF(K170&lt;0,1,IF(K170=0,IF(J170&gt;=0,0,1),IF(J170&lt;0,-J170/K169,0))))</f>
        <v>0</v>
      </c>
      <c r="L172" s="44">
        <f>IF(COUNTIF($H172:K172,"=0")=COUNTA($H172:K172),IF(L170&lt;0,(13-6)/12,0),IF(L170&lt;0,1,IF(L170=0,IF(K170&gt;=0,0,1),IF(K170&lt;0,-K170/L169,0))))</f>
        <v>0</v>
      </c>
      <c r="M172" s="44">
        <f>IF(COUNTIF($H172:L172,"=0")=COUNTA($H172:L172),IF(M170&lt;0,(13-6)/12,0),IF(M170&lt;0,1,IF(M170=0,IF(L170&gt;=0,0,1),IF(L170&lt;0,-L170/M169,0))))</f>
        <v>0</v>
      </c>
      <c r="N172" s="44">
        <f>IF(COUNTIF($H172:M172,"=0")=COUNTA($H172:M172),IF(N170&lt;0,(13-6)/12,0),IF(N170&lt;0,1,IF(N170=0,IF(M170&gt;=0,0,1),IF(M170&lt;0,-M170/N169,0))))</f>
        <v>0</v>
      </c>
      <c r="O172" s="44">
        <f>IF(COUNTIF($H172:N172,"=0")=COUNTA($H172:N172),IF(O170&lt;0,(13-6)/12,0),IF(O170&lt;0,1,IF(O170=0,IF(N170&gt;=0,0,1),IF(N170&lt;0,-N170/O169,0))))</f>
        <v>0</v>
      </c>
      <c r="P172" s="44">
        <f>IF(COUNTIF($H172:O172,"=0")=COUNTA($H172:O172),IF(P170&lt;0,(13-6)/12,0),IF(P170&lt;0,1,IF(P170=0,IF(O170&gt;=0,0,1),IF(O170&lt;0,-O170/P169,0))))</f>
        <v>0</v>
      </c>
      <c r="Q172" s="44">
        <f>IF(COUNTIF($H172:P172,"=0")=COUNTA($H172:P172),IF(Q170&lt;0,(13-6)/12,0),IF(Q170&lt;0,1,IF(Q170=0,IF(P170&gt;=0,0,1),IF(P170&lt;0,-P170/Q169,0))))</f>
        <v>0</v>
      </c>
      <c r="R172" s="44">
        <f>IF(COUNTIF($H172:Q172,"=0")=COUNTA($H172:Q172),IF(R170&lt;0,(13-6)/12,0),IF(R170&lt;0,1,IF(R170=0,IF(Q170&gt;=0,0,1),IF(Q170&lt;0,-Q170/R169,0))))</f>
        <v>0</v>
      </c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2">
      <c r="A173" s="1"/>
      <c r="B173" s="1"/>
      <c r="C173" s="1"/>
      <c r="D173" s="1" t="s">
        <v>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6" t="s">
        <v>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5" t="s">
        <v>4</v>
      </c>
      <c r="D175" s="4" t="s">
        <v>35</v>
      </c>
      <c r="E175" s="3"/>
      <c r="F175" s="10">
        <f>NPV(D82,I168:R168)+H168</f>
        <v>7601.7496173696445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9"/>
      <c r="C177" s="5" t="s">
        <v>3</v>
      </c>
      <c r="D177" s="4" t="s">
        <v>35</v>
      </c>
      <c r="E177" s="3"/>
      <c r="F177" s="8">
        <f>SUM(H169:R169)</f>
        <v>4986.1204261346538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7">
        <f>NPV(F181,I168:R168)+H168</f>
        <v>2522.6748420202521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6" t="s">
        <v>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5" t="s">
        <v>1</v>
      </c>
      <c r="D181" s="4" t="s">
        <v>0</v>
      </c>
      <c r="E181" s="3"/>
      <c r="F181" s="2">
        <v>0.30256107521085068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6" t="s">
        <v>112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49" t="s">
        <v>113</v>
      </c>
      <c r="D185" s="50" t="s">
        <v>35</v>
      </c>
      <c r="E185" s="51"/>
      <c r="F185" s="52">
        <f>AVERAGE(I169:R169)</f>
        <v>498.61204261346541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49" t="s">
        <v>114</v>
      </c>
      <c r="D186" s="50" t="s">
        <v>40</v>
      </c>
      <c r="E186" s="51"/>
      <c r="F186" s="52">
        <f>F185*1000/I151</f>
        <v>9.5611129935467947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.7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.7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.7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.7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5.7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5.7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5.7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5.75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5.75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5.75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5.75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5.75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5.75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5.75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5.75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5.75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5.75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5.75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5.75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5.75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5.75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5.75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5.75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5.75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5.75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5.75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5.75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5.75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5.75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5.75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5.75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5.75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5.75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5.75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5.75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5.75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5.75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5.75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5.75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5.75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5.75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5.75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5.75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5.75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5.75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5.75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5.75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5.75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5.75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5.75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5.75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5.75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5.75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5.75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5.75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5.75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5.75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5.75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5.75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5.75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5.75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5.75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5.75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5.75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5.75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5.75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5.75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5.75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5.75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5.75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5.75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5.75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5.75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5.75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5.75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5.75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5.75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5.75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5.75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5.75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5.75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</sheetData>
  <dataConsolidate/>
  <mergeCells count="5">
    <mergeCell ref="C3:G3"/>
    <mergeCell ref="F89:G89"/>
    <mergeCell ref="F107:G107"/>
    <mergeCell ref="F139:G139"/>
    <mergeCell ref="F159:G159"/>
  </mergeCells>
  <dataValidations count="3">
    <dataValidation type="list" allowBlank="1" showInputMessage="1" showErrorMessage="1" sqref="D84" xr:uid="{5B3ED438-9B97-1F4B-96CB-8B10D99EBD37}">
      <formula1>"0.5,0.55,0.6,0.65,0.7"</formula1>
    </dataValidation>
    <dataValidation type="list" allowBlank="1" showInputMessage="1" showErrorMessage="1" sqref="D83" xr:uid="{85ADD220-395F-FF40-BE92-9049623C8D58}">
      <formula1>"0.05,0.1,0.15,0.2,0.25"</formula1>
    </dataValidation>
    <dataValidation type="list" allowBlank="1" showInputMessage="1" showErrorMessage="1" sqref="D85" xr:uid="{51FF2A8C-11D8-9C4B-B2D6-F3CF317FA9B4}">
      <formula1>"BASE,FIP,FIC,COMBO"</formula1>
    </dataValidation>
  </dataValidations>
  <hyperlinks>
    <hyperlink ref="G48" r:id="rId1" xr:uid="{776E3AD6-0379-5D4B-96FF-A68DA14D0194}"/>
    <hyperlink ref="G58" r:id="rId2" xr:uid="{D51EC9AC-C327-4C49-9150-F222640024B1}"/>
    <hyperlink ref="G57" r:id="rId3" xr:uid="{CA97B373-5521-0641-87C2-40015E0AD8E4}"/>
  </hyperlink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2F79-67F2-6A47-81A8-5AF1999F1E12}">
  <dimension ref="B1:L14"/>
  <sheetViews>
    <sheetView topLeftCell="G1" zoomScale="106" workbookViewId="0">
      <selection activeCell="G19" sqref="G19:K31"/>
    </sheetView>
  </sheetViews>
  <sheetFormatPr baseColWidth="10" defaultRowHeight="16" x14ac:dyDescent="0.2"/>
  <sheetData>
    <row r="1" spans="2:12" x14ac:dyDescent="0.2">
      <c r="C1" s="91" t="s">
        <v>118</v>
      </c>
      <c r="D1" s="91"/>
      <c r="E1" s="91"/>
      <c r="F1" s="91"/>
      <c r="I1" s="91" t="s">
        <v>119</v>
      </c>
      <c r="J1" s="91"/>
      <c r="K1" s="91"/>
      <c r="L1" s="91"/>
    </row>
    <row r="2" spans="2:12" x14ac:dyDescent="0.2">
      <c r="C2" t="s">
        <v>116</v>
      </c>
      <c r="D2" t="s">
        <v>95</v>
      </c>
      <c r="E2" t="s">
        <v>115</v>
      </c>
      <c r="F2" t="s">
        <v>110</v>
      </c>
      <c r="I2" t="s">
        <v>116</v>
      </c>
      <c r="J2" t="s">
        <v>95</v>
      </c>
      <c r="K2" t="s">
        <v>115</v>
      </c>
      <c r="L2" t="s">
        <v>110</v>
      </c>
    </row>
    <row r="3" spans="2:12" x14ac:dyDescent="0.2">
      <c r="B3" t="s">
        <v>5</v>
      </c>
      <c r="C3" s="78">
        <f>'Financial Model BASE'!F123</f>
        <v>0.96375496190488263</v>
      </c>
      <c r="D3">
        <f>'Financial Model FIP'!F123</f>
        <v>11.035558274797161</v>
      </c>
      <c r="E3">
        <f>'Financial Model FIC'!F123</f>
        <v>25.983747773812034</v>
      </c>
      <c r="F3">
        <f>'Financial Model COMBO'!F123</f>
        <v>40.372038220801009</v>
      </c>
      <c r="H3" t="s">
        <v>121</v>
      </c>
      <c r="I3" s="78">
        <f>'Financial Model BASE'!F185</f>
        <v>0</v>
      </c>
      <c r="J3" s="78">
        <f>'Financial Model FIP'!F185</f>
        <v>0</v>
      </c>
      <c r="K3" s="78">
        <f>'Financial Model FIC'!F185</f>
        <v>0.87474005051433057</v>
      </c>
      <c r="L3" s="78">
        <f>'Financial Model COMBO'!F185</f>
        <v>2.3135690952132277</v>
      </c>
    </row>
    <row r="4" spans="2:12" x14ac:dyDescent="0.2">
      <c r="B4" t="s">
        <v>2</v>
      </c>
      <c r="C4" s="85">
        <f>'Financial Model BASE'!F129</f>
        <v>9.6473474225974631E-2</v>
      </c>
      <c r="D4">
        <f>'Financial Model FIP'!F129</f>
        <v>0.15244997463852064</v>
      </c>
      <c r="E4">
        <f>'Financial Model FIC'!F129</f>
        <v>0.2576149605965406</v>
      </c>
      <c r="F4">
        <f>'Financial Model COMBO'!F129</f>
        <v>0.34194554034342728</v>
      </c>
      <c r="H4" t="s">
        <v>122</v>
      </c>
      <c r="I4">
        <f>'Financial Model BASE'!R170</f>
        <v>0</v>
      </c>
      <c r="J4">
        <f>'Financial Model FIP'!R170</f>
        <v>0</v>
      </c>
      <c r="K4">
        <f>'Financial Model FIC'!R170</f>
        <v>8.7474005051433057</v>
      </c>
      <c r="L4">
        <f>'Financial Model COMBO'!R170</f>
        <v>23.135690952132279</v>
      </c>
    </row>
    <row r="5" spans="2:12" x14ac:dyDescent="0.2">
      <c r="B5" t="s">
        <v>120</v>
      </c>
      <c r="C5" s="78">
        <f>'Financial Model BASE'!F133</f>
        <v>10.178127839360858</v>
      </c>
      <c r="D5" s="78">
        <f>'Financial Model FIP'!F133</f>
        <v>7.2563059405074375</v>
      </c>
      <c r="E5" s="78">
        <f>'Financial Model FIC'!F133</f>
        <v>4.7447917771311783</v>
      </c>
      <c r="F5" s="78">
        <f>'Financial Model COMBO'!F133</f>
        <v>3.7205003941080412</v>
      </c>
    </row>
    <row r="8" spans="2:12" x14ac:dyDescent="0.2">
      <c r="C8" t="s">
        <v>95</v>
      </c>
      <c r="D8" t="s">
        <v>115</v>
      </c>
    </row>
    <row r="9" spans="2:12" x14ac:dyDescent="0.2">
      <c r="C9" t="s">
        <v>120</v>
      </c>
      <c r="D9" t="s">
        <v>121</v>
      </c>
    </row>
    <row r="10" spans="2:12" x14ac:dyDescent="0.2">
      <c r="B10" s="84">
        <v>0.05</v>
      </c>
      <c r="C10">
        <v>4.34</v>
      </c>
      <c r="D10">
        <v>1.83</v>
      </c>
    </row>
    <row r="11" spans="2:12" x14ac:dyDescent="0.2">
      <c r="B11" s="84">
        <v>0.1</v>
      </c>
      <c r="C11">
        <v>4.01</v>
      </c>
      <c r="D11">
        <v>2.0699999999999998</v>
      </c>
    </row>
    <row r="12" spans="2:12" x14ac:dyDescent="0.2">
      <c r="B12" s="84">
        <v>0.15</v>
      </c>
      <c r="C12" s="78">
        <f>F5</f>
        <v>3.7205003941080412</v>
      </c>
      <c r="D12" s="78">
        <f>L3</f>
        <v>2.3135690952132277</v>
      </c>
    </row>
    <row r="13" spans="2:12" x14ac:dyDescent="0.2">
      <c r="B13" s="84">
        <v>0.2</v>
      </c>
      <c r="C13">
        <v>3.49</v>
      </c>
      <c r="D13">
        <v>2.56</v>
      </c>
    </row>
    <row r="14" spans="2:12" x14ac:dyDescent="0.2">
      <c r="B14" s="84">
        <v>0.25</v>
      </c>
      <c r="C14">
        <v>3.3</v>
      </c>
      <c r="D14">
        <v>2.8</v>
      </c>
    </row>
  </sheetData>
  <mergeCells count="2">
    <mergeCell ref="C1:F1"/>
    <mergeCell ref="I1:L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83"/>
  <sheetViews>
    <sheetView showGridLines="0" topLeftCell="A68" zoomScale="70" zoomScaleNormal="70" workbookViewId="0">
      <pane xSplit="7" topLeftCell="H1" activePane="topRight" state="frozen"/>
      <selection pane="topRight" activeCell="F82" sqref="F82"/>
    </sheetView>
  </sheetViews>
  <sheetFormatPr baseColWidth="10" defaultColWidth="11.1640625" defaultRowHeight="15" customHeight="1" outlineLevelRow="1" x14ac:dyDescent="0.2"/>
  <cols>
    <col min="1" max="1" width="2.1640625" customWidth="1"/>
    <col min="2" max="2" width="4.6640625" customWidth="1"/>
    <col min="3" max="3" width="47.6640625" customWidth="1"/>
    <col min="4" max="4" width="14" customWidth="1"/>
    <col min="5" max="5" width="2" customWidth="1"/>
    <col min="6" max="6" width="20.83203125" customWidth="1"/>
    <col min="7" max="7" width="11.33203125" bestFit="1" customWidth="1"/>
    <col min="8" max="8" width="13.5" customWidth="1"/>
    <col min="9" max="22" width="12.5" customWidth="1"/>
    <col min="23" max="27" width="12" customWidth="1"/>
  </cols>
  <sheetData>
    <row r="1" spans="1:27" ht="15.75" customHeight="1" x14ac:dyDescent="0.2">
      <c r="A1" s="1"/>
      <c r="B1" s="33" t="s">
        <v>38</v>
      </c>
      <c r="C1" s="33"/>
      <c r="D1" s="33"/>
      <c r="E1" s="33"/>
      <c r="F1" s="33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1.5" customHeight="1" x14ac:dyDescent="0.2">
      <c r="A3" s="31"/>
      <c r="B3" s="20"/>
      <c r="C3" s="86" t="s">
        <v>39</v>
      </c>
      <c r="D3" s="87"/>
      <c r="E3" s="87"/>
      <c r="F3" s="87"/>
      <c r="G3" s="87"/>
      <c r="H3" s="32"/>
      <c r="I3" s="32"/>
      <c r="J3" s="32"/>
      <c r="K3" s="32"/>
      <c r="L3" s="32"/>
      <c r="M3" s="32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s="41" customFormat="1" ht="25" customHeight="1" x14ac:dyDescent="0.2">
      <c r="A6" s="39"/>
      <c r="B6" s="40" t="s">
        <v>29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</row>
    <row r="7" spans="1:27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61" customFormat="1" ht="15.75" customHeight="1" outlineLevel="1" x14ac:dyDescent="0.2">
      <c r="A8" s="60"/>
      <c r="B8" s="62" t="s">
        <v>63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</row>
    <row r="9" spans="1:27" ht="15.75" customHeight="1" outlineLevel="1" x14ac:dyDescent="0.2">
      <c r="A9" s="1"/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" outlineLevel="1" x14ac:dyDescent="0.2">
      <c r="C10" t="s">
        <v>54</v>
      </c>
      <c r="D10" s="36">
        <v>66458.513999999675</v>
      </c>
      <c r="F10" t="s">
        <v>111</v>
      </c>
    </row>
    <row r="11" spans="1:27" ht="16" outlineLevel="1" x14ac:dyDescent="0.2">
      <c r="C11" t="s">
        <v>55</v>
      </c>
      <c r="D11" s="36">
        <v>63330.169000001297</v>
      </c>
      <c r="F11" t="s">
        <v>111</v>
      </c>
    </row>
    <row r="12" spans="1:27" ht="16" outlineLevel="1" x14ac:dyDescent="0.2">
      <c r="C12" s="55" t="s">
        <v>56</v>
      </c>
      <c r="D12" s="56">
        <v>180689.93499999747</v>
      </c>
      <c r="E12" s="43"/>
      <c r="F12" s="43" t="s">
        <v>111</v>
      </c>
    </row>
    <row r="13" spans="1:27" ht="16" outlineLevel="1" x14ac:dyDescent="0.2">
      <c r="C13" s="57" t="s">
        <v>57</v>
      </c>
      <c r="D13" s="58">
        <f>SUM(D10:D12)</f>
        <v>310478.61799999845</v>
      </c>
      <c r="E13" s="57"/>
      <c r="F13" s="57" t="s">
        <v>111</v>
      </c>
    </row>
    <row r="14" spans="1:27" ht="15.75" customHeight="1" outlineLevel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s="61" customFormat="1" ht="15.75" customHeight="1" outlineLevel="1" x14ac:dyDescent="0.2">
      <c r="A15" s="60"/>
      <c r="B15" s="62" t="s">
        <v>108</v>
      </c>
      <c r="C15" s="60"/>
      <c r="D15" s="60"/>
      <c r="E15" s="60"/>
      <c r="F15" s="60"/>
      <c r="G15" s="60" t="s">
        <v>72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spans="1:27" ht="15.75" customHeight="1" outlineLevel="1" x14ac:dyDescent="0.2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" outlineLevel="1" x14ac:dyDescent="0.2">
      <c r="C17" t="s">
        <v>58</v>
      </c>
      <c r="D17" s="59">
        <v>0.107</v>
      </c>
      <c r="G17" t="s">
        <v>73</v>
      </c>
    </row>
    <row r="18" spans="1:27" ht="16" outlineLevel="1" x14ac:dyDescent="0.2">
      <c r="C18" t="s">
        <v>59</v>
      </c>
      <c r="D18" s="59">
        <v>6.0499999999999998E-2</v>
      </c>
      <c r="G18" t="s">
        <v>73</v>
      </c>
    </row>
    <row r="19" spans="1:27" ht="16" outlineLevel="1" x14ac:dyDescent="0.2">
      <c r="C19" t="s">
        <v>60</v>
      </c>
      <c r="D19" s="59">
        <v>0.73529999999999995</v>
      </c>
      <c r="G19" t="s">
        <v>73</v>
      </c>
    </row>
    <row r="20" spans="1:27" ht="16" outlineLevel="1" x14ac:dyDescent="0.2">
      <c r="C20" t="s">
        <v>61</v>
      </c>
      <c r="D20" s="59">
        <v>0.26469999999999999</v>
      </c>
      <c r="G20" t="s">
        <v>73</v>
      </c>
    </row>
    <row r="21" spans="1:27" ht="16" outlineLevel="1" x14ac:dyDescent="0.2">
      <c r="C21" t="s">
        <v>62</v>
      </c>
      <c r="D21" s="35">
        <v>0.24</v>
      </c>
      <c r="G21" t="s">
        <v>73</v>
      </c>
    </row>
    <row r="22" spans="1:27" ht="16" outlineLevel="1" x14ac:dyDescent="0.2">
      <c r="C22" s="21" t="s">
        <v>36</v>
      </c>
      <c r="D22" s="38">
        <f>D19*D17+D20*D18*(1-D21)</f>
        <v>9.0848005999999995E-2</v>
      </c>
      <c r="E22" s="21"/>
      <c r="F22" s="21" t="s">
        <v>22</v>
      </c>
    </row>
    <row r="23" spans="1:27" ht="16" outlineLevel="1" x14ac:dyDescent="0.2">
      <c r="C23" s="21" t="s">
        <v>23</v>
      </c>
      <c r="D23" s="38">
        <f>D21</f>
        <v>0.24</v>
      </c>
      <c r="E23" s="21"/>
      <c r="F23" s="21"/>
    </row>
    <row r="24" spans="1:27" ht="15.75" customHeight="1" outlineLevel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61" customFormat="1" ht="15.75" customHeight="1" outlineLevel="1" x14ac:dyDescent="0.2">
      <c r="A25" s="60"/>
      <c r="B25" s="62" t="s">
        <v>109</v>
      </c>
      <c r="C25" s="60"/>
      <c r="D25" s="60"/>
      <c r="E25" s="60"/>
      <c r="F25" s="60"/>
      <c r="G25" s="60" t="s">
        <v>72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spans="1:27" ht="15.75" customHeight="1" outlineLevel="1" x14ac:dyDescent="0.2">
      <c r="A26" s="1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" outlineLevel="1" x14ac:dyDescent="0.2">
      <c r="C27" t="s">
        <v>58</v>
      </c>
      <c r="D27" s="59">
        <v>8.9399999999999993E-2</v>
      </c>
      <c r="G27" t="s">
        <v>73</v>
      </c>
    </row>
    <row r="28" spans="1:27" ht="16" outlineLevel="1" x14ac:dyDescent="0.2">
      <c r="C28" t="s">
        <v>59</v>
      </c>
      <c r="D28" s="59">
        <v>5.7500000000000002E-2</v>
      </c>
      <c r="G28" t="s">
        <v>73</v>
      </c>
    </row>
    <row r="29" spans="1:27" ht="16" outlineLevel="1" x14ac:dyDescent="0.2">
      <c r="C29" t="s">
        <v>60</v>
      </c>
      <c r="D29" s="59">
        <v>0.52649999999999997</v>
      </c>
      <c r="G29" t="s">
        <v>73</v>
      </c>
    </row>
    <row r="30" spans="1:27" ht="16" outlineLevel="1" x14ac:dyDescent="0.2">
      <c r="C30" t="s">
        <v>61</v>
      </c>
      <c r="D30" s="59">
        <v>0.47349999999999998</v>
      </c>
      <c r="G30" t="s">
        <v>73</v>
      </c>
    </row>
    <row r="31" spans="1:27" ht="16" outlineLevel="1" x14ac:dyDescent="0.2">
      <c r="C31" t="s">
        <v>62</v>
      </c>
      <c r="D31" s="35">
        <v>0.24</v>
      </c>
      <c r="G31" t="s">
        <v>73</v>
      </c>
    </row>
    <row r="32" spans="1:27" ht="16" outlineLevel="1" x14ac:dyDescent="0.2">
      <c r="C32" s="21" t="s">
        <v>36</v>
      </c>
      <c r="D32" s="38">
        <f>D29*D27+D30*D28*(1-D31)</f>
        <v>6.7761049999999989E-2</v>
      </c>
      <c r="E32" s="21"/>
      <c r="F32" s="21" t="s">
        <v>22</v>
      </c>
    </row>
    <row r="33" spans="1:27" ht="16" outlineLevel="1" x14ac:dyDescent="0.2">
      <c r="C33" s="21" t="s">
        <v>23</v>
      </c>
      <c r="D33" s="38">
        <f>D31</f>
        <v>0.24</v>
      </c>
      <c r="E33" s="21"/>
      <c r="F33" s="21"/>
    </row>
    <row r="34" spans="1:27" ht="15.75" customHeight="1" outlineLevel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61" customFormat="1" ht="15.75" customHeight="1" outlineLevel="1" x14ac:dyDescent="0.2">
      <c r="A35" s="60"/>
      <c r="B35" s="62" t="s">
        <v>64</v>
      </c>
      <c r="C35" s="60"/>
      <c r="D35" s="60"/>
      <c r="E35" s="60"/>
      <c r="F35" s="60"/>
      <c r="G35" s="60" t="s">
        <v>72</v>
      </c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spans="1:27" ht="15.75" customHeight="1" outlineLevel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outlineLevel="1" x14ac:dyDescent="0.2">
      <c r="A37" s="21"/>
      <c r="B37" s="21"/>
      <c r="C37" s="21" t="s">
        <v>28</v>
      </c>
      <c r="D37" s="34">
        <v>10</v>
      </c>
      <c r="E37" s="29"/>
      <c r="F37" s="29" t="s">
        <v>27</v>
      </c>
      <c r="G37" s="20"/>
      <c r="H37" s="21"/>
      <c r="I37" s="2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outlineLevel="1" x14ac:dyDescent="0.2">
      <c r="A38" s="21"/>
      <c r="B38" s="21"/>
      <c r="C38" s="21" t="s">
        <v>33</v>
      </c>
      <c r="D38" s="54">
        <f>D43*1000/D41</f>
        <v>72.332172677289734</v>
      </c>
      <c r="E38" s="29"/>
      <c r="F38" s="29" t="s">
        <v>30</v>
      </c>
      <c r="G38" s="20"/>
      <c r="H38" s="21"/>
      <c r="I38" s="2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outlineLevel="1" x14ac:dyDescent="0.2">
      <c r="A39" s="21"/>
      <c r="B39" s="21"/>
      <c r="C39" s="21" t="s">
        <v>34</v>
      </c>
      <c r="D39" s="54">
        <f>ROUND(D38*1.3,0)</f>
        <v>94</v>
      </c>
      <c r="E39" s="29"/>
      <c r="F39" s="29" t="s">
        <v>30</v>
      </c>
      <c r="G39" s="20"/>
      <c r="H39" s="21"/>
      <c r="I39" s="2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outlineLevel="1" x14ac:dyDescent="0.2">
      <c r="A40" s="21"/>
      <c r="B40" s="21"/>
      <c r="C40" s="21" t="s">
        <v>34</v>
      </c>
      <c r="D40" s="54">
        <f>ROUND(D39/10,0)*10</f>
        <v>90</v>
      </c>
      <c r="E40" s="29"/>
      <c r="F40" s="28" t="s">
        <v>30</v>
      </c>
      <c r="G40" s="20"/>
      <c r="H40" s="30"/>
      <c r="I40" s="3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outlineLevel="1" x14ac:dyDescent="0.2">
      <c r="A41" s="21"/>
      <c r="B41" s="21"/>
      <c r="C41" s="21" t="s">
        <v>26</v>
      </c>
      <c r="D41" s="36">
        <f>8760*0.7</f>
        <v>6132</v>
      </c>
      <c r="E41" s="29"/>
      <c r="F41" s="28" t="s">
        <v>25</v>
      </c>
      <c r="G41" s="20"/>
      <c r="H41" s="1"/>
      <c r="I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outlineLevel="1" x14ac:dyDescent="0.2">
      <c r="A42" s="21"/>
      <c r="B42" s="21"/>
      <c r="C42" s="21" t="s">
        <v>52</v>
      </c>
      <c r="D42" s="36">
        <f>D13</f>
        <v>310478.61799999845</v>
      </c>
      <c r="E42" s="29"/>
      <c r="F42" s="28" t="s">
        <v>53</v>
      </c>
      <c r="G42" s="20"/>
      <c r="H42" s="1"/>
      <c r="I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outlineLevel="1" x14ac:dyDescent="0.2">
      <c r="A43" s="21"/>
      <c r="B43" s="21"/>
      <c r="C43" s="21" t="s">
        <v>46</v>
      </c>
      <c r="D43" s="37">
        <f>(D42/(1-D66))/1000</f>
        <v>443.54088285714067</v>
      </c>
      <c r="E43" s="29"/>
      <c r="F43" s="28" t="s">
        <v>24</v>
      </c>
      <c r="G43" s="20"/>
      <c r="H43" s="1"/>
      <c r="J43" s="83"/>
      <c r="K43" s="82"/>
      <c r="M43" s="8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outlineLevel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61" customFormat="1" ht="15.75" customHeight="1" outlineLevel="1" x14ac:dyDescent="0.2">
      <c r="A45" s="60"/>
      <c r="B45" s="62" t="s">
        <v>74</v>
      </c>
      <c r="C45" s="60"/>
      <c r="D45" s="60"/>
      <c r="E45" s="60"/>
      <c r="F45" s="60"/>
      <c r="G45" s="60" t="s">
        <v>72</v>
      </c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spans="1:27" ht="15.75" customHeight="1" outlineLevel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outlineLevel="1" x14ac:dyDescent="0.2">
      <c r="A47" s="21"/>
      <c r="B47" s="21"/>
      <c r="C47" s="21" t="s">
        <v>67</v>
      </c>
      <c r="D47" s="37">
        <f>SUM(D48:D52)</f>
        <v>310</v>
      </c>
      <c r="E47" s="29"/>
      <c r="F47" s="28" t="s">
        <v>32</v>
      </c>
      <c r="G47" s="20"/>
      <c r="H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outlineLevel="1" x14ac:dyDescent="0.2">
      <c r="A48" s="21"/>
      <c r="B48" s="21"/>
      <c r="C48" s="63" t="s">
        <v>68</v>
      </c>
      <c r="D48" s="36">
        <v>90</v>
      </c>
      <c r="E48" s="29"/>
      <c r="F48" s="28" t="s">
        <v>32</v>
      </c>
      <c r="G48" s="65" t="s">
        <v>75</v>
      </c>
      <c r="H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outlineLevel="1" x14ac:dyDescent="0.2">
      <c r="A49" s="21"/>
      <c r="B49" s="21"/>
      <c r="C49" s="63" t="s">
        <v>69</v>
      </c>
      <c r="D49" s="36">
        <v>105</v>
      </c>
      <c r="E49" s="29"/>
      <c r="F49" s="28" t="s">
        <v>32</v>
      </c>
      <c r="G49" s="20"/>
      <c r="H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outlineLevel="1" x14ac:dyDescent="0.2">
      <c r="A50" s="21"/>
      <c r="B50" s="21"/>
      <c r="C50" s="63" t="s">
        <v>65</v>
      </c>
      <c r="D50" s="36">
        <v>45</v>
      </c>
      <c r="E50" s="29"/>
      <c r="F50" s="28" t="s">
        <v>32</v>
      </c>
      <c r="G50" s="20"/>
      <c r="H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outlineLevel="1" x14ac:dyDescent="0.2">
      <c r="A51" s="21"/>
      <c r="B51" s="21"/>
      <c r="C51" s="63" t="s">
        <v>70</v>
      </c>
      <c r="D51" s="36">
        <v>35</v>
      </c>
      <c r="E51" s="29"/>
      <c r="F51" s="28" t="s">
        <v>32</v>
      </c>
      <c r="G51" s="20"/>
      <c r="H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outlineLevel="1" x14ac:dyDescent="0.2">
      <c r="A52" s="21"/>
      <c r="B52" s="21"/>
      <c r="C52" s="63" t="s">
        <v>77</v>
      </c>
      <c r="D52" s="36">
        <v>35</v>
      </c>
      <c r="E52" s="29"/>
      <c r="F52" s="28" t="s">
        <v>32</v>
      </c>
      <c r="G52" s="20"/>
      <c r="H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outlineLevel="1" x14ac:dyDescent="0.2">
      <c r="A53" s="21"/>
      <c r="B53" s="21"/>
      <c r="C53" s="63" t="s">
        <v>93</v>
      </c>
      <c r="D53" s="35">
        <v>0.1</v>
      </c>
      <c r="E53" s="29"/>
      <c r="F53" s="28" t="s">
        <v>90</v>
      </c>
      <c r="G53" s="20"/>
      <c r="H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outlineLevel="1" x14ac:dyDescent="0.2">
      <c r="A54" s="21"/>
      <c r="B54" s="21"/>
      <c r="C54" s="66" t="s">
        <v>67</v>
      </c>
      <c r="D54" s="36">
        <f>(D47*D40/1000)*(1+D53)</f>
        <v>30.69</v>
      </c>
      <c r="E54" s="21"/>
      <c r="F54" s="27" t="s">
        <v>35</v>
      </c>
      <c r="G54" s="20"/>
      <c r="H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outlineLevel="1" x14ac:dyDescent="0.2">
      <c r="A55" s="21"/>
      <c r="B55" s="21"/>
      <c r="C55" s="21" t="s">
        <v>103</v>
      </c>
      <c r="D55" s="36">
        <v>10</v>
      </c>
      <c r="E55" s="21"/>
      <c r="F55" s="28" t="s">
        <v>37</v>
      </c>
      <c r="G55" s="20" t="s">
        <v>76</v>
      </c>
      <c r="H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outlineLevel="1" x14ac:dyDescent="0.2">
      <c r="A56" s="21"/>
      <c r="B56" s="21"/>
      <c r="C56" s="21" t="s">
        <v>94</v>
      </c>
      <c r="D56" s="36">
        <f>IF(OR(D84="FIC",D84="COMBO"),0,D55)</f>
        <v>0</v>
      </c>
      <c r="E56" s="29"/>
      <c r="F56" s="28" t="s">
        <v>37</v>
      </c>
      <c r="G56" s="20" t="s">
        <v>76</v>
      </c>
      <c r="H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outlineLevel="1" x14ac:dyDescent="0.2">
      <c r="A57" s="21"/>
      <c r="B57" s="21"/>
      <c r="C57" s="21" t="s">
        <v>66</v>
      </c>
      <c r="D57" s="36">
        <v>3.5</v>
      </c>
      <c r="E57" s="21"/>
      <c r="F57" s="21" t="s">
        <v>71</v>
      </c>
      <c r="G57" s="65" t="s">
        <v>75</v>
      </c>
      <c r="H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outlineLevel="1" x14ac:dyDescent="0.2">
      <c r="A58" s="21"/>
      <c r="B58" s="21"/>
      <c r="C58" s="21" t="s">
        <v>15</v>
      </c>
      <c r="D58" s="64">
        <v>2.5</v>
      </c>
      <c r="E58" s="21"/>
      <c r="F58" s="27" t="s">
        <v>40</v>
      </c>
      <c r="G58" s="65" t="s">
        <v>75</v>
      </c>
      <c r="H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outlineLevel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61" customFormat="1" ht="15.75" customHeight="1" outlineLevel="1" x14ac:dyDescent="0.2">
      <c r="A60" s="60"/>
      <c r="B60" s="62" t="s">
        <v>79</v>
      </c>
      <c r="C60" s="60"/>
      <c r="D60" s="60"/>
      <c r="E60" s="60"/>
      <c r="F60" s="60"/>
      <c r="G60" s="60" t="s">
        <v>72</v>
      </c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spans="1:27" ht="15.75" customHeight="1" outlineLevel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outlineLevel="1" x14ac:dyDescent="0.2">
      <c r="A62" s="1"/>
      <c r="B62" s="1"/>
      <c r="C62" s="21" t="s">
        <v>91</v>
      </c>
      <c r="D62" s="69">
        <f>0.0560958904038811*(1+D63)</f>
        <v>6.4510273964463252E-2</v>
      </c>
      <c r="E62" s="21"/>
      <c r="F62" s="27" t="s">
        <v>78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outlineLevel="1" x14ac:dyDescent="0.2">
      <c r="A63" s="1"/>
      <c r="B63" s="1"/>
      <c r="C63" s="21" t="s">
        <v>95</v>
      </c>
      <c r="D63" s="69">
        <f>IF(OR(D84="FIP",D84="COMBO"),D82,0)</f>
        <v>0.15</v>
      </c>
      <c r="E63" s="21"/>
      <c r="F63" s="2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outlineLevel="1" x14ac:dyDescent="0.2">
      <c r="A64" s="1"/>
      <c r="B64" s="1"/>
      <c r="C64" s="21" t="s">
        <v>88</v>
      </c>
      <c r="D64" s="69">
        <v>0.30399999999999999</v>
      </c>
      <c r="E64" s="21"/>
      <c r="F64" s="27" t="s">
        <v>78</v>
      </c>
      <c r="G64" s="1"/>
      <c r="H64" s="1">
        <v>3.8889321999999997E-2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8" ht="15.75" customHeight="1" outlineLevel="1" x14ac:dyDescent="0.2">
      <c r="A65" s="1"/>
      <c r="B65" s="1"/>
      <c r="C65" s="21" t="s">
        <v>84</v>
      </c>
      <c r="D65" s="35">
        <f>IF(OR(D84="FIC",D84="COMBO"), D83,0%)</f>
        <v>0.6</v>
      </c>
      <c r="E65" s="21"/>
      <c r="F65" s="2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8" ht="15.75" customHeight="1" outlineLevel="1" x14ac:dyDescent="0.2">
      <c r="A66" s="21"/>
      <c r="B66" s="21"/>
      <c r="C66" s="21" t="s">
        <v>41</v>
      </c>
      <c r="D66" s="35">
        <v>0.3</v>
      </c>
      <c r="E66" s="21"/>
      <c r="F66" s="27"/>
      <c r="G66" s="21"/>
      <c r="H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8" ht="15.75" customHeight="1" outlineLevel="1" x14ac:dyDescent="0.2">
      <c r="A67" s="21"/>
      <c r="B67" s="21"/>
      <c r="C67" s="21" t="s">
        <v>42</v>
      </c>
      <c r="D67" s="36">
        <f>D43*D66</f>
        <v>133.0622648571422</v>
      </c>
      <c r="E67" s="21"/>
      <c r="F67" s="27" t="s">
        <v>24</v>
      </c>
      <c r="G67" s="21"/>
      <c r="H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8" ht="15.75" customHeight="1" outlineLevel="1" x14ac:dyDescent="0.2">
      <c r="A68" s="21"/>
      <c r="B68" s="21"/>
      <c r="C68" s="21" t="s">
        <v>43</v>
      </c>
      <c r="D68" s="35">
        <v>0</v>
      </c>
      <c r="E68" s="21"/>
      <c r="F68" s="27"/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8" ht="15.75" customHeight="1" outlineLevel="1" x14ac:dyDescent="0.2">
      <c r="A69" s="21"/>
      <c r="B69" s="21"/>
      <c r="C69" s="21" t="s">
        <v>107</v>
      </c>
      <c r="D69" s="67">
        <v>0.35</v>
      </c>
      <c r="E69" s="21"/>
      <c r="F69" s="27"/>
      <c r="G69" s="2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8" ht="15.75" customHeight="1" x14ac:dyDescent="0.2">
      <c r="A70" s="21"/>
      <c r="B70" s="21"/>
      <c r="C70" s="21"/>
      <c r="D70" s="75"/>
      <c r="E70" s="21"/>
      <c r="F70" s="27"/>
      <c r="G70" s="2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8" ht="15.75" customHeight="1" x14ac:dyDescent="0.2">
      <c r="A71" s="21"/>
      <c r="B71" s="21"/>
      <c r="G71" s="2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8" s="71" customFormat="1" ht="22" customHeight="1" x14ac:dyDescent="0.2">
      <c r="A72" s="70"/>
      <c r="B72" s="73" t="s">
        <v>83</v>
      </c>
      <c r="G72" s="70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spans="1:28" ht="16" x14ac:dyDescent="0.2">
      <c r="A73" s="21"/>
      <c r="B73" s="74"/>
      <c r="G73" s="2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8" ht="16" x14ac:dyDescent="0.2">
      <c r="A74" s="21"/>
      <c r="B74" s="74"/>
      <c r="G74" s="21"/>
      <c r="H74" s="18">
        <v>2022</v>
      </c>
      <c r="I74" s="18">
        <v>2023</v>
      </c>
      <c r="J74" s="18">
        <v>2024</v>
      </c>
      <c r="K74" s="18">
        <v>2025</v>
      </c>
      <c r="L74" s="18">
        <v>2026</v>
      </c>
      <c r="M74" s="18">
        <v>2027</v>
      </c>
      <c r="N74" s="18">
        <v>2028</v>
      </c>
      <c r="O74" s="18">
        <v>2029</v>
      </c>
      <c r="P74" s="18">
        <v>2030</v>
      </c>
      <c r="Q74" s="18">
        <v>2031</v>
      </c>
      <c r="R74" s="18">
        <v>2032</v>
      </c>
      <c r="T74" s="1"/>
      <c r="U74" s="1"/>
      <c r="V74" s="1"/>
      <c r="W74" s="1"/>
      <c r="X74" s="1"/>
      <c r="Y74" s="1"/>
      <c r="Z74" s="1"/>
      <c r="AA74" s="1"/>
      <c r="AB74" s="1"/>
    </row>
    <row r="75" spans="1:28" ht="16" x14ac:dyDescent="0.2">
      <c r="A75" s="21"/>
      <c r="B75" s="74"/>
      <c r="C75" t="s">
        <v>89</v>
      </c>
      <c r="D75" s="68">
        <f>I75</f>
        <v>116.125</v>
      </c>
      <c r="F75" t="s">
        <v>40</v>
      </c>
      <c r="G75" s="21" t="s">
        <v>87</v>
      </c>
      <c r="H75" s="76">
        <v>281.375</v>
      </c>
      <c r="I75" s="76">
        <v>116.125</v>
      </c>
      <c r="J75" s="76">
        <v>82</v>
      </c>
      <c r="K75" s="76">
        <v>84.875</v>
      </c>
      <c r="L75" s="76">
        <f>K75*(L77/K77)</f>
        <v>77.911571207430342</v>
      </c>
      <c r="M75" s="76">
        <f>L75*(M77/L77)</f>
        <v>71.355437306501557</v>
      </c>
      <c r="N75" s="76">
        <f>M75</f>
        <v>71.355437306501557</v>
      </c>
      <c r="O75" s="76">
        <f t="shared" ref="O75:R75" si="0">N75</f>
        <v>71.355437306501557</v>
      </c>
      <c r="P75" s="76">
        <f t="shared" si="0"/>
        <v>71.355437306501557</v>
      </c>
      <c r="Q75" s="76">
        <f t="shared" si="0"/>
        <v>71.355437306501557</v>
      </c>
      <c r="R75" s="76">
        <f t="shared" si="0"/>
        <v>71.355437306501557</v>
      </c>
      <c r="T75" s="1"/>
      <c r="U75" s="1"/>
      <c r="V75" s="1"/>
      <c r="W75" s="1"/>
      <c r="X75" s="1"/>
      <c r="Y75" s="1"/>
      <c r="Z75" s="1"/>
      <c r="AA75" s="1"/>
      <c r="AB75" s="1"/>
    </row>
    <row r="76" spans="1:28" ht="16" x14ac:dyDescent="0.2">
      <c r="A76" s="21"/>
      <c r="B76" s="74"/>
      <c r="C76" t="s">
        <v>83</v>
      </c>
      <c r="D76" s="68">
        <f>H76</f>
        <v>304</v>
      </c>
      <c r="F76" t="s">
        <v>40</v>
      </c>
      <c r="G76" s="21"/>
      <c r="H76" s="76">
        <f>D64*1000</f>
        <v>304</v>
      </c>
      <c r="I76" s="76">
        <f>H76*I75/H75</f>
        <v>125.46246112838739</v>
      </c>
      <c r="J76" s="76">
        <f t="shared" ref="J76:R76" si="1">I76*J75/I75</f>
        <v>88.593513993780547</v>
      </c>
      <c r="K76" s="76">
        <f t="shared" si="1"/>
        <v>91.699689027099069</v>
      </c>
      <c r="L76" s="76">
        <f t="shared" si="1"/>
        <v>84.176339927352544</v>
      </c>
      <c r="M76" s="76">
        <f t="shared" si="1"/>
        <v>77.093035774949698</v>
      </c>
      <c r="N76" s="76">
        <f t="shared" si="1"/>
        <v>77.093035774949698</v>
      </c>
      <c r="O76" s="76">
        <f t="shared" si="1"/>
        <v>77.093035774949698</v>
      </c>
      <c r="P76" s="76">
        <f t="shared" si="1"/>
        <v>77.093035774949698</v>
      </c>
      <c r="Q76" s="76">
        <f t="shared" si="1"/>
        <v>77.093035774949698</v>
      </c>
      <c r="R76" s="76">
        <f t="shared" si="1"/>
        <v>77.093035774949698</v>
      </c>
      <c r="T76" s="1"/>
      <c r="U76" s="1"/>
      <c r="V76" s="1"/>
      <c r="W76" s="1"/>
      <c r="X76" s="1"/>
      <c r="Y76" s="1"/>
      <c r="Z76" s="1"/>
      <c r="AA76" s="1"/>
      <c r="AB76" s="1"/>
    </row>
    <row r="77" spans="1:28" ht="16" x14ac:dyDescent="0.2">
      <c r="A77" s="21"/>
      <c r="B77" s="74"/>
      <c r="C77" t="s">
        <v>85</v>
      </c>
      <c r="D77" s="68">
        <f>I77</f>
        <v>37.670999999999999</v>
      </c>
      <c r="F77" t="s">
        <v>40</v>
      </c>
      <c r="G77" s="21" t="s">
        <v>86</v>
      </c>
      <c r="H77" s="76">
        <v>138.07499999999999</v>
      </c>
      <c r="I77" s="76">
        <v>37.670999999999999</v>
      </c>
      <c r="J77" s="76">
        <v>29.66</v>
      </c>
      <c r="K77" s="76">
        <v>32.299999999999997</v>
      </c>
      <c r="L77" s="76">
        <v>29.65</v>
      </c>
      <c r="M77" s="76">
        <v>27.155000000000001</v>
      </c>
      <c r="N77" s="76">
        <f>M77</f>
        <v>27.155000000000001</v>
      </c>
      <c r="O77" s="76">
        <f t="shared" ref="O77:R77" si="2">N77</f>
        <v>27.155000000000001</v>
      </c>
      <c r="P77" s="76">
        <f t="shared" si="2"/>
        <v>27.155000000000001</v>
      </c>
      <c r="Q77" s="76">
        <f t="shared" si="2"/>
        <v>27.155000000000001</v>
      </c>
      <c r="R77" s="76">
        <f t="shared" si="2"/>
        <v>27.155000000000001</v>
      </c>
      <c r="T77" s="1"/>
      <c r="U77" s="1"/>
      <c r="V77" s="1"/>
      <c r="W77" s="1"/>
      <c r="X77" s="1"/>
      <c r="Y77" s="1"/>
      <c r="Z77" s="1"/>
      <c r="AA77" s="1"/>
      <c r="AB77" s="1"/>
    </row>
    <row r="78" spans="1:28" ht="16" x14ac:dyDescent="0.2">
      <c r="A78" s="21"/>
      <c r="B78" s="74"/>
      <c r="C78" t="s">
        <v>80</v>
      </c>
      <c r="D78" s="77">
        <f>H78</f>
        <v>64.510273964463252</v>
      </c>
      <c r="F78" t="s">
        <v>40</v>
      </c>
      <c r="G78" s="21"/>
      <c r="H78" s="76">
        <f>D62*1000</f>
        <v>64.510273964463252</v>
      </c>
      <c r="I78" s="78">
        <f>H78</f>
        <v>64.510273964463252</v>
      </c>
      <c r="J78" s="76">
        <f>I78*J77/I77</f>
        <v>50.791715796925487</v>
      </c>
      <c r="K78" s="76">
        <f t="shared" ref="K78:R78" si="3">J78*K77/J77</f>
        <v>55.312623743786013</v>
      </c>
      <c r="L78" s="76">
        <f t="shared" si="3"/>
        <v>50.774591145611623</v>
      </c>
      <c r="M78" s="76">
        <f t="shared" si="3"/>
        <v>46.501990642802149</v>
      </c>
      <c r="N78" s="76">
        <f t="shared" si="3"/>
        <v>46.501990642802149</v>
      </c>
      <c r="O78" s="76">
        <f t="shared" si="3"/>
        <v>46.501990642802149</v>
      </c>
      <c r="P78" s="76">
        <f t="shared" si="3"/>
        <v>46.501990642802149</v>
      </c>
      <c r="Q78" s="76">
        <f t="shared" si="3"/>
        <v>46.501990642802149</v>
      </c>
      <c r="R78" s="76">
        <f t="shared" si="3"/>
        <v>46.501990642802149</v>
      </c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2">
      <c r="A79" s="21"/>
      <c r="B79" s="21"/>
      <c r="G79" s="2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8" s="71" customFormat="1" ht="22" customHeight="1" x14ac:dyDescent="0.2">
      <c r="A80" s="70"/>
      <c r="B80" s="73" t="s">
        <v>81</v>
      </c>
      <c r="G80" s="70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</row>
    <row r="81" spans="1:27" ht="16" x14ac:dyDescent="0.2">
      <c r="A81" s="21"/>
      <c r="B81" s="74"/>
      <c r="G81" s="2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" x14ac:dyDescent="0.2">
      <c r="A82" s="21"/>
      <c r="B82" s="74"/>
      <c r="C82" t="s">
        <v>96</v>
      </c>
      <c r="D82" s="35">
        <v>0.15</v>
      </c>
      <c r="G82" s="2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" x14ac:dyDescent="0.2">
      <c r="A83" s="21"/>
      <c r="B83" s="74"/>
      <c r="C83" t="s">
        <v>97</v>
      </c>
      <c r="D83" s="35">
        <v>0.6</v>
      </c>
      <c r="G83" s="2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" x14ac:dyDescent="0.2">
      <c r="A84" s="21"/>
      <c r="B84" s="74"/>
      <c r="C84" t="s">
        <v>82</v>
      </c>
      <c r="D84" s="36" t="s">
        <v>110</v>
      </c>
      <c r="G84" s="2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21"/>
      <c r="B85" s="21"/>
      <c r="C85" s="19"/>
      <c r="D85" s="21"/>
      <c r="E85" s="21"/>
      <c r="F85" s="21"/>
      <c r="G85" s="2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22"/>
      <c r="B86" s="26" t="s">
        <v>98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spans="1:27" ht="9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21"/>
      <c r="B88" s="21"/>
      <c r="C88" s="20"/>
      <c r="D88" s="19"/>
      <c r="E88" s="19"/>
      <c r="F88" s="88" t="s">
        <v>17</v>
      </c>
      <c r="G88" s="89"/>
      <c r="H88" s="18">
        <v>0</v>
      </c>
      <c r="I88" s="18">
        <v>1</v>
      </c>
      <c r="J88" s="18">
        <v>2</v>
      </c>
      <c r="K88" s="18">
        <v>3</v>
      </c>
      <c r="L88" s="18">
        <v>4</v>
      </c>
      <c r="M88" s="18">
        <v>5</v>
      </c>
      <c r="N88" s="18">
        <v>6</v>
      </c>
      <c r="O88" s="18">
        <v>7</v>
      </c>
      <c r="P88" s="18">
        <v>8</v>
      </c>
      <c r="Q88" s="18">
        <v>9</v>
      </c>
      <c r="R88" s="18">
        <v>10</v>
      </c>
      <c r="S88" s="18"/>
      <c r="T88" s="18"/>
      <c r="U88" s="18"/>
      <c r="V88" s="18"/>
      <c r="W88" s="18"/>
      <c r="X88" s="18"/>
      <c r="Y88" s="18"/>
      <c r="Z88" s="18"/>
      <c r="AA88" s="18"/>
    </row>
    <row r="89" spans="1:27" ht="9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1"/>
      <c r="B90" s="6" t="s">
        <v>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1"/>
      <c r="C91" s="1" t="s">
        <v>31</v>
      </c>
      <c r="D91" s="1" t="s">
        <v>40</v>
      </c>
      <c r="E91" s="1"/>
      <c r="F91" s="1"/>
      <c r="G91" s="1"/>
      <c r="H91" s="44">
        <f>IF(OR($D$84="FIC",$D$84="COMBO"),H78*(1-$D$69),H78)</f>
        <v>41.931678076901115</v>
      </c>
      <c r="I91" s="44">
        <f t="shared" ref="I91:R91" si="4">IF(OR($D$84="FIC",$D$84="COMBO"),I78*(1-$D$69),I78)</f>
        <v>41.931678076901115</v>
      </c>
      <c r="J91" s="44">
        <f t="shared" si="4"/>
        <v>33.01461526800157</v>
      </c>
      <c r="K91" s="44">
        <f t="shared" si="4"/>
        <v>35.953205433460909</v>
      </c>
      <c r="L91" s="44">
        <f t="shared" si="4"/>
        <v>33.003484244647559</v>
      </c>
      <c r="M91" s="44">
        <f t="shared" si="4"/>
        <v>30.226293917821398</v>
      </c>
      <c r="N91" s="44">
        <f t="shared" si="4"/>
        <v>30.226293917821398</v>
      </c>
      <c r="O91" s="44">
        <f t="shared" si="4"/>
        <v>30.226293917821398</v>
      </c>
      <c r="P91" s="44">
        <f t="shared" si="4"/>
        <v>30.226293917821398</v>
      </c>
      <c r="Q91" s="44">
        <f t="shared" si="4"/>
        <v>30.226293917821398</v>
      </c>
      <c r="R91" s="44">
        <f t="shared" si="4"/>
        <v>30.226293917821398</v>
      </c>
      <c r="S91" s="23"/>
      <c r="T91" s="23"/>
      <c r="U91" s="23"/>
      <c r="V91" s="23"/>
      <c r="W91" s="23"/>
      <c r="X91" s="23"/>
      <c r="Y91" s="23"/>
      <c r="Z91" s="23"/>
      <c r="AA91" s="23"/>
    </row>
    <row r="92" spans="1:27" ht="15.75" customHeight="1" x14ac:dyDescent="0.2">
      <c r="A92" s="1"/>
      <c r="B92" s="1"/>
      <c r="C92" s="1" t="s">
        <v>92</v>
      </c>
      <c r="D92" s="1" t="s">
        <v>40</v>
      </c>
      <c r="E92" s="1"/>
      <c r="F92" s="1"/>
      <c r="G92" s="1"/>
      <c r="H92" s="44">
        <f>H91*(1+$D$68)</f>
        <v>41.931678076901115</v>
      </c>
      <c r="I92" s="44">
        <f t="shared" ref="I92:R92" si="5">I91*(1+$D$68)</f>
        <v>41.931678076901115</v>
      </c>
      <c r="J92" s="44">
        <f t="shared" si="5"/>
        <v>33.01461526800157</v>
      </c>
      <c r="K92" s="44">
        <f t="shared" si="5"/>
        <v>35.953205433460909</v>
      </c>
      <c r="L92" s="44">
        <f t="shared" si="5"/>
        <v>33.003484244647559</v>
      </c>
      <c r="M92" s="44">
        <f t="shared" si="5"/>
        <v>30.226293917821398</v>
      </c>
      <c r="N92" s="44">
        <f t="shared" si="5"/>
        <v>30.226293917821398</v>
      </c>
      <c r="O92" s="44">
        <f t="shared" si="5"/>
        <v>30.226293917821398</v>
      </c>
      <c r="P92" s="44">
        <f t="shared" si="5"/>
        <v>30.226293917821398</v>
      </c>
      <c r="Q92" s="44">
        <f t="shared" si="5"/>
        <v>30.226293917821398</v>
      </c>
      <c r="R92" s="44">
        <f t="shared" si="5"/>
        <v>30.226293917821398</v>
      </c>
      <c r="S92" s="23"/>
      <c r="T92" s="23"/>
      <c r="U92" s="23"/>
      <c r="V92" s="23"/>
      <c r="W92" s="23"/>
      <c r="X92" s="23"/>
      <c r="Y92" s="23"/>
      <c r="Z92" s="23"/>
      <c r="AA92" s="23"/>
    </row>
    <row r="93" spans="1:27" ht="15.75" customHeight="1" x14ac:dyDescent="0.2">
      <c r="A93" s="1"/>
      <c r="B93" s="1"/>
      <c r="C93" s="1" t="s">
        <v>44</v>
      </c>
      <c r="D93" s="1" t="s">
        <v>18</v>
      </c>
      <c r="E93" s="1"/>
      <c r="F93" s="1"/>
      <c r="G93" s="1"/>
      <c r="H93" s="44"/>
      <c r="I93" s="44">
        <f>$D$67</f>
        <v>133.0622648571422</v>
      </c>
      <c r="J93" s="44">
        <f t="shared" ref="J93:R93" si="6">$D$67</f>
        <v>133.0622648571422</v>
      </c>
      <c r="K93" s="44">
        <f t="shared" si="6"/>
        <v>133.0622648571422</v>
      </c>
      <c r="L93" s="44">
        <f t="shared" si="6"/>
        <v>133.0622648571422</v>
      </c>
      <c r="M93" s="44">
        <f t="shared" si="6"/>
        <v>133.0622648571422</v>
      </c>
      <c r="N93" s="44">
        <f t="shared" si="6"/>
        <v>133.0622648571422</v>
      </c>
      <c r="O93" s="44">
        <f t="shared" si="6"/>
        <v>133.0622648571422</v>
      </c>
      <c r="P93" s="44">
        <f t="shared" si="6"/>
        <v>133.0622648571422</v>
      </c>
      <c r="Q93" s="44">
        <f t="shared" si="6"/>
        <v>133.0622648571422</v>
      </c>
      <c r="R93" s="44">
        <f t="shared" si="6"/>
        <v>133.0622648571422</v>
      </c>
      <c r="S93" s="23"/>
      <c r="T93" s="23"/>
      <c r="U93" s="23"/>
      <c r="V93" s="23"/>
      <c r="W93" s="23"/>
      <c r="X93" s="23"/>
      <c r="Y93" s="23"/>
      <c r="Z93" s="23"/>
      <c r="AA93" s="23"/>
    </row>
    <row r="94" spans="1:27" ht="15.75" customHeight="1" x14ac:dyDescent="0.2">
      <c r="A94" s="1"/>
      <c r="B94" s="1"/>
      <c r="C94" s="42" t="s">
        <v>45</v>
      </c>
      <c r="D94" s="42" t="s">
        <v>18</v>
      </c>
      <c r="E94" s="43"/>
      <c r="F94" s="43"/>
      <c r="G94" s="43"/>
      <c r="H94" s="45"/>
      <c r="I94" s="45">
        <f>$D$43-I93</f>
        <v>310.47861799999851</v>
      </c>
      <c r="J94" s="45">
        <f t="shared" ref="J94:R94" si="7">$D$43-J93</f>
        <v>310.47861799999851</v>
      </c>
      <c r="K94" s="45">
        <f t="shared" si="7"/>
        <v>310.47861799999851</v>
      </c>
      <c r="L94" s="45">
        <f t="shared" si="7"/>
        <v>310.47861799999851</v>
      </c>
      <c r="M94" s="45">
        <f t="shared" si="7"/>
        <v>310.47861799999851</v>
      </c>
      <c r="N94" s="45">
        <f t="shared" si="7"/>
        <v>310.47861799999851</v>
      </c>
      <c r="O94" s="45">
        <f t="shared" si="7"/>
        <v>310.47861799999851</v>
      </c>
      <c r="P94" s="45">
        <f t="shared" si="7"/>
        <v>310.47861799999851</v>
      </c>
      <c r="Q94" s="45">
        <f t="shared" si="7"/>
        <v>310.47861799999851</v>
      </c>
      <c r="R94" s="45">
        <f t="shared" si="7"/>
        <v>310.47861799999851</v>
      </c>
      <c r="S94" s="23"/>
      <c r="T94" s="23"/>
      <c r="U94" s="23"/>
      <c r="V94" s="23"/>
      <c r="W94" s="23"/>
      <c r="X94" s="23"/>
      <c r="Y94" s="23"/>
      <c r="Z94" s="23"/>
      <c r="AA94" s="23"/>
    </row>
    <row r="95" spans="1:27" ht="15.75" customHeight="1" x14ac:dyDescent="0.2">
      <c r="A95" s="9"/>
      <c r="B95" s="9"/>
      <c r="C95" s="9" t="s">
        <v>21</v>
      </c>
      <c r="D95" s="24" t="s">
        <v>35</v>
      </c>
      <c r="E95" s="9"/>
      <c r="F95" s="9"/>
      <c r="G95" s="9"/>
      <c r="H95" s="46">
        <f>(H94*H91+H93*H92)/1000</f>
        <v>0</v>
      </c>
      <c r="I95" s="46">
        <f>(I94*I91+I93*I92)/1000</f>
        <v>18.598413513910131</v>
      </c>
      <c r="J95" s="46">
        <f t="shared" ref="J95:R95" si="8">(J94*J91+J93*J92)/1000</f>
        <v>14.643331603158252</v>
      </c>
      <c r="K95" s="46">
        <f t="shared" si="8"/>
        <v>15.946716479501399</v>
      </c>
      <c r="L95" s="46">
        <f t="shared" si="8"/>
        <v>14.638394539232712</v>
      </c>
      <c r="M95" s="46">
        <f t="shared" si="8"/>
        <v>13.406597089809926</v>
      </c>
      <c r="N95" s="46">
        <f t="shared" si="8"/>
        <v>13.406597089809926</v>
      </c>
      <c r="O95" s="46">
        <f t="shared" si="8"/>
        <v>13.406597089809926</v>
      </c>
      <c r="P95" s="46">
        <f t="shared" si="8"/>
        <v>13.406597089809926</v>
      </c>
      <c r="Q95" s="46">
        <f t="shared" si="8"/>
        <v>13.406597089809926</v>
      </c>
      <c r="R95" s="46">
        <f t="shared" si="8"/>
        <v>13.406597089809926</v>
      </c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1"/>
      <c r="B97" s="6" t="s">
        <v>20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1"/>
      <c r="B98" s="1"/>
      <c r="C98" s="1" t="s">
        <v>19</v>
      </c>
      <c r="D98" s="1" t="s">
        <v>35</v>
      </c>
      <c r="E98" s="1"/>
      <c r="F98" s="1"/>
      <c r="G98" s="1"/>
      <c r="H98" s="44">
        <f t="shared" ref="H98:R98" si="9">-($D$58*(H93+H94)/1000)-($D$57*$D$39/1000)</f>
        <v>-0.32900000000000001</v>
      </c>
      <c r="I98" s="44">
        <f t="shared" si="9"/>
        <v>-1.4378522071428517</v>
      </c>
      <c r="J98" s="44">
        <f t="shared" si="9"/>
        <v>-1.4378522071428517</v>
      </c>
      <c r="K98" s="44">
        <f t="shared" si="9"/>
        <v>-1.4378522071428517</v>
      </c>
      <c r="L98" s="44">
        <f t="shared" si="9"/>
        <v>-1.4378522071428517</v>
      </c>
      <c r="M98" s="44">
        <f t="shared" si="9"/>
        <v>-1.4378522071428517</v>
      </c>
      <c r="N98" s="44">
        <f t="shared" si="9"/>
        <v>-1.4378522071428517</v>
      </c>
      <c r="O98" s="44">
        <f t="shared" si="9"/>
        <v>-1.4378522071428517</v>
      </c>
      <c r="P98" s="44">
        <f t="shared" si="9"/>
        <v>-1.4378522071428517</v>
      </c>
      <c r="Q98" s="44">
        <f t="shared" si="9"/>
        <v>-1.4378522071428517</v>
      </c>
      <c r="R98" s="44">
        <f t="shared" si="9"/>
        <v>-1.4378522071428517</v>
      </c>
      <c r="S98" s="23"/>
      <c r="T98" s="23"/>
      <c r="U98" s="23"/>
      <c r="V98" s="23"/>
      <c r="W98" s="23"/>
      <c r="X98" s="23"/>
      <c r="Y98" s="23"/>
      <c r="Z98" s="23"/>
      <c r="AA98" s="23"/>
    </row>
    <row r="99" spans="1:27" ht="15.75" customHeight="1" x14ac:dyDescent="0.2">
      <c r="A99" s="1"/>
      <c r="B99" s="1"/>
      <c r="C99" s="42" t="s">
        <v>47</v>
      </c>
      <c r="D99" s="42" t="s">
        <v>35</v>
      </c>
      <c r="E99" s="42"/>
      <c r="F99" s="42"/>
      <c r="G99" s="42"/>
      <c r="H99" s="45">
        <f>-$D$56</f>
        <v>0</v>
      </c>
      <c r="I99" s="45">
        <f t="shared" ref="I99:R99" si="10">-$D$56</f>
        <v>0</v>
      </c>
      <c r="J99" s="45">
        <f t="shared" si="10"/>
        <v>0</v>
      </c>
      <c r="K99" s="45">
        <f t="shared" si="10"/>
        <v>0</v>
      </c>
      <c r="L99" s="45">
        <f t="shared" si="10"/>
        <v>0</v>
      </c>
      <c r="M99" s="45">
        <f t="shared" si="10"/>
        <v>0</v>
      </c>
      <c r="N99" s="45">
        <f t="shared" si="10"/>
        <v>0</v>
      </c>
      <c r="O99" s="45">
        <f t="shared" si="10"/>
        <v>0</v>
      </c>
      <c r="P99" s="45">
        <f t="shared" si="10"/>
        <v>0</v>
      </c>
      <c r="Q99" s="45">
        <f t="shared" si="10"/>
        <v>0</v>
      </c>
      <c r="R99" s="45">
        <f t="shared" si="10"/>
        <v>0</v>
      </c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15.75" customHeight="1" x14ac:dyDescent="0.2">
      <c r="A100" s="9"/>
      <c r="B100" s="9"/>
      <c r="C100" s="9" t="s">
        <v>15</v>
      </c>
      <c r="D100" s="9" t="s">
        <v>35</v>
      </c>
      <c r="E100" s="9"/>
      <c r="F100" s="9"/>
      <c r="G100" s="9"/>
      <c r="H100" s="46">
        <f>SUM(H98:H99)</f>
        <v>-0.32900000000000001</v>
      </c>
      <c r="I100" s="46">
        <f>SUM(I98:I99)</f>
        <v>-1.4378522071428517</v>
      </c>
      <c r="J100" s="46">
        <f t="shared" ref="J100:Q100" si="11">SUM(J98:J99)</f>
        <v>-1.4378522071428517</v>
      </c>
      <c r="K100" s="46">
        <f t="shared" si="11"/>
        <v>-1.4378522071428517</v>
      </c>
      <c r="L100" s="46">
        <f t="shared" si="11"/>
        <v>-1.4378522071428517</v>
      </c>
      <c r="M100" s="46">
        <f t="shared" si="11"/>
        <v>-1.4378522071428517</v>
      </c>
      <c r="N100" s="46">
        <f t="shared" si="11"/>
        <v>-1.4378522071428517</v>
      </c>
      <c r="O100" s="46">
        <f t="shared" si="11"/>
        <v>-1.4378522071428517</v>
      </c>
      <c r="P100" s="46">
        <f t="shared" si="11"/>
        <v>-1.4378522071428517</v>
      </c>
      <c r="Q100" s="46">
        <f t="shared" si="11"/>
        <v>-1.4378522071428517</v>
      </c>
      <c r="R100" s="46">
        <f t="shared" ref="R100" si="12">SUM(R98:R99)</f>
        <v>-1.4378522071428517</v>
      </c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1"/>
      <c r="B103" s="6" t="s">
        <v>50</v>
      </c>
      <c r="C103" s="1"/>
      <c r="D103" s="1"/>
      <c r="E103" s="1"/>
      <c r="F103" s="88" t="s">
        <v>17</v>
      </c>
      <c r="G103" s="90"/>
      <c r="H103" s="18">
        <v>0</v>
      </c>
      <c r="I103" s="18">
        <v>1</v>
      </c>
      <c r="J103" s="18">
        <v>2</v>
      </c>
      <c r="K103" s="18">
        <v>3</v>
      </c>
      <c r="L103" s="18">
        <v>4</v>
      </c>
      <c r="M103" s="18">
        <v>5</v>
      </c>
      <c r="N103" s="18">
        <v>6</v>
      </c>
      <c r="O103" s="18">
        <v>7</v>
      </c>
      <c r="P103" s="18">
        <v>8</v>
      </c>
      <c r="Q103" s="18">
        <v>9</v>
      </c>
      <c r="R103" s="18">
        <v>10</v>
      </c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1"/>
      <c r="B104" s="1"/>
      <c r="C104" s="1" t="s">
        <v>16</v>
      </c>
      <c r="D104" s="1" t="s">
        <v>35</v>
      </c>
      <c r="E104" s="1"/>
      <c r="F104" s="1"/>
      <c r="G104" s="1"/>
      <c r="H104" s="44">
        <f>H95</f>
        <v>0</v>
      </c>
      <c r="I104" s="44">
        <f t="shared" ref="I104:Q104" si="13">I95</f>
        <v>18.598413513910131</v>
      </c>
      <c r="J104" s="44">
        <f t="shared" si="13"/>
        <v>14.643331603158252</v>
      </c>
      <c r="K104" s="44">
        <f t="shared" si="13"/>
        <v>15.946716479501399</v>
      </c>
      <c r="L104" s="44">
        <f t="shared" si="13"/>
        <v>14.638394539232712</v>
      </c>
      <c r="M104" s="44">
        <f t="shared" si="13"/>
        <v>13.406597089809926</v>
      </c>
      <c r="N104" s="44">
        <f t="shared" si="13"/>
        <v>13.406597089809926</v>
      </c>
      <c r="O104" s="44">
        <f t="shared" si="13"/>
        <v>13.406597089809926</v>
      </c>
      <c r="P104" s="44">
        <f t="shared" si="13"/>
        <v>13.406597089809926</v>
      </c>
      <c r="Q104" s="44">
        <f t="shared" si="13"/>
        <v>13.406597089809926</v>
      </c>
      <c r="R104" s="44">
        <f t="shared" ref="R104" si="14">R95</f>
        <v>13.406597089809926</v>
      </c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 x14ac:dyDescent="0.2">
      <c r="A105" s="1"/>
      <c r="B105" s="1"/>
      <c r="C105" s="1" t="s">
        <v>15</v>
      </c>
      <c r="D105" s="17" t="s">
        <v>35</v>
      </c>
      <c r="E105" s="1"/>
      <c r="F105" s="1"/>
      <c r="G105" s="1"/>
      <c r="H105" s="44">
        <f t="shared" ref="H105" si="15">H100</f>
        <v>-0.32900000000000001</v>
      </c>
      <c r="I105" s="44">
        <f t="shared" ref="I105:Q105" si="16">I100</f>
        <v>-1.4378522071428517</v>
      </c>
      <c r="J105" s="44">
        <f t="shared" si="16"/>
        <v>-1.4378522071428517</v>
      </c>
      <c r="K105" s="44">
        <f t="shared" si="16"/>
        <v>-1.4378522071428517</v>
      </c>
      <c r="L105" s="44">
        <f t="shared" si="16"/>
        <v>-1.4378522071428517</v>
      </c>
      <c r="M105" s="44">
        <f t="shared" si="16"/>
        <v>-1.4378522071428517</v>
      </c>
      <c r="N105" s="44">
        <f t="shared" si="16"/>
        <v>-1.4378522071428517</v>
      </c>
      <c r="O105" s="44">
        <f t="shared" si="16"/>
        <v>-1.4378522071428517</v>
      </c>
      <c r="P105" s="44">
        <f t="shared" si="16"/>
        <v>-1.4378522071428517</v>
      </c>
      <c r="Q105" s="44">
        <f t="shared" si="16"/>
        <v>-1.4378522071428517</v>
      </c>
      <c r="R105" s="44">
        <f t="shared" ref="R105" si="17">R100</f>
        <v>-1.4378522071428517</v>
      </c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 x14ac:dyDescent="0.2">
      <c r="A106" s="1"/>
      <c r="B106" s="1"/>
      <c r="C106" s="13" t="s">
        <v>14</v>
      </c>
      <c r="D106" s="13" t="s">
        <v>35</v>
      </c>
      <c r="E106" s="13"/>
      <c r="F106" s="13"/>
      <c r="G106" s="13"/>
      <c r="H106" s="45">
        <f>-D54</f>
        <v>-30.69</v>
      </c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2"/>
      <c r="T106" s="42"/>
      <c r="U106" s="42"/>
      <c r="V106" s="13"/>
      <c r="W106" s="13"/>
      <c r="X106" s="13"/>
      <c r="Y106" s="13"/>
      <c r="Z106" s="13"/>
      <c r="AA106" s="13"/>
    </row>
    <row r="107" spans="1:27" ht="15.75" customHeight="1" x14ac:dyDescent="0.2">
      <c r="A107" s="9"/>
      <c r="B107" s="9"/>
      <c r="C107" s="9" t="s">
        <v>13</v>
      </c>
      <c r="D107" s="9" t="s">
        <v>35</v>
      </c>
      <c r="E107" s="9"/>
      <c r="F107" s="9"/>
      <c r="G107" s="53"/>
      <c r="H107" s="48">
        <f>SUM(H104:H106)</f>
        <v>-31.019000000000002</v>
      </c>
      <c r="I107" s="48">
        <f t="shared" ref="I107:Q107" si="18">SUM(I104:I105)</f>
        <v>17.160561306767278</v>
      </c>
      <c r="J107" s="48">
        <f t="shared" si="18"/>
        <v>13.2054793960154</v>
      </c>
      <c r="K107" s="48">
        <f t="shared" si="18"/>
        <v>14.508864272358547</v>
      </c>
      <c r="L107" s="48">
        <f t="shared" si="18"/>
        <v>13.20054233208986</v>
      </c>
      <c r="M107" s="48">
        <f t="shared" si="18"/>
        <v>11.968744882667075</v>
      </c>
      <c r="N107" s="48">
        <f t="shared" si="18"/>
        <v>11.968744882667075</v>
      </c>
      <c r="O107" s="48">
        <f t="shared" si="18"/>
        <v>11.968744882667075</v>
      </c>
      <c r="P107" s="48">
        <f t="shared" si="18"/>
        <v>11.968744882667075</v>
      </c>
      <c r="Q107" s="48">
        <f t="shared" si="18"/>
        <v>11.968744882667075</v>
      </c>
      <c r="R107" s="48">
        <f t="shared" ref="R107" si="19">SUM(R104:R105)</f>
        <v>11.968744882667075</v>
      </c>
      <c r="S107" s="47"/>
      <c r="T107" s="47"/>
      <c r="U107" s="15"/>
      <c r="V107" s="15"/>
      <c r="W107" s="15"/>
      <c r="X107" s="15"/>
      <c r="Y107" s="15"/>
      <c r="Z107" s="15"/>
      <c r="AA107" s="15"/>
    </row>
    <row r="108" spans="1:27" ht="15.75" customHeight="1" x14ac:dyDescent="0.2">
      <c r="A108" s="9"/>
      <c r="B108" s="9"/>
      <c r="C108" s="4" t="s">
        <v>12</v>
      </c>
      <c r="D108" s="4" t="s">
        <v>35</v>
      </c>
      <c r="E108" s="4"/>
      <c r="F108" s="4"/>
      <c r="G108" s="53"/>
      <c r="H108" s="48">
        <f>H107</f>
        <v>-31.019000000000002</v>
      </c>
      <c r="I108" s="48">
        <f t="shared" ref="I108:R108" si="20">I107</f>
        <v>17.160561306767278</v>
      </c>
      <c r="J108" s="48">
        <f t="shared" si="20"/>
        <v>13.2054793960154</v>
      </c>
      <c r="K108" s="48">
        <f t="shared" si="20"/>
        <v>14.508864272358547</v>
      </c>
      <c r="L108" s="48">
        <f t="shared" si="20"/>
        <v>13.20054233208986</v>
      </c>
      <c r="M108" s="48">
        <f t="shared" si="20"/>
        <v>11.968744882667075</v>
      </c>
      <c r="N108" s="48">
        <f t="shared" si="20"/>
        <v>11.968744882667075</v>
      </c>
      <c r="O108" s="48">
        <f t="shared" si="20"/>
        <v>11.968744882667075</v>
      </c>
      <c r="P108" s="48">
        <f t="shared" si="20"/>
        <v>11.968744882667075</v>
      </c>
      <c r="Q108" s="48">
        <f t="shared" si="20"/>
        <v>11.968744882667075</v>
      </c>
      <c r="R108" s="48">
        <f t="shared" si="20"/>
        <v>11.968744882667075</v>
      </c>
      <c r="S108" s="25"/>
      <c r="T108" s="25"/>
      <c r="U108" s="14"/>
      <c r="V108" s="14"/>
      <c r="W108" s="14"/>
      <c r="X108" s="14"/>
      <c r="Y108" s="14"/>
      <c r="Z108" s="14"/>
      <c r="AA108" s="14"/>
    </row>
    <row r="109" spans="1:27" ht="15.75" customHeight="1" x14ac:dyDescent="0.2">
      <c r="A109" s="11"/>
      <c r="B109" s="11"/>
      <c r="C109" s="11" t="s">
        <v>11</v>
      </c>
      <c r="D109" s="11" t="s">
        <v>35</v>
      </c>
      <c r="E109" s="11"/>
      <c r="F109" s="11"/>
      <c r="G109" s="11"/>
      <c r="H109" s="44">
        <f>-$D$54/$D$37</f>
        <v>-3.069</v>
      </c>
      <c r="I109" s="44">
        <f t="shared" ref="I109:R109" si="21">-$D$54/$D$37</f>
        <v>-3.069</v>
      </c>
      <c r="J109" s="44">
        <f t="shared" si="21"/>
        <v>-3.069</v>
      </c>
      <c r="K109" s="44">
        <f t="shared" si="21"/>
        <v>-3.069</v>
      </c>
      <c r="L109" s="44">
        <f t="shared" si="21"/>
        <v>-3.069</v>
      </c>
      <c r="M109" s="44">
        <f t="shared" si="21"/>
        <v>-3.069</v>
      </c>
      <c r="N109" s="44">
        <f t="shared" si="21"/>
        <v>-3.069</v>
      </c>
      <c r="O109" s="44">
        <f t="shared" si="21"/>
        <v>-3.069</v>
      </c>
      <c r="P109" s="44">
        <f t="shared" si="21"/>
        <v>-3.069</v>
      </c>
      <c r="Q109" s="44">
        <f t="shared" si="21"/>
        <v>-3.069</v>
      </c>
      <c r="R109" s="44">
        <f t="shared" si="21"/>
        <v>-3.069</v>
      </c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2">
      <c r="A110" s="1"/>
      <c r="B110" s="1"/>
      <c r="C110" s="1" t="s">
        <v>10</v>
      </c>
      <c r="D110" s="1" t="s">
        <v>35</v>
      </c>
      <c r="E110" s="1"/>
      <c r="F110" s="1"/>
      <c r="G110" s="1"/>
      <c r="H110" s="44">
        <f t="shared" ref="H110" si="22">SUM(H108:H109)</f>
        <v>-34.088000000000001</v>
      </c>
      <c r="I110" s="44">
        <f t="shared" ref="I110:Q110" si="23">SUM(I108:I109)</f>
        <v>14.091561306767279</v>
      </c>
      <c r="J110" s="44">
        <f t="shared" si="23"/>
        <v>10.1364793960154</v>
      </c>
      <c r="K110" s="44">
        <f t="shared" si="23"/>
        <v>11.439864272358548</v>
      </c>
      <c r="L110" s="44">
        <f t="shared" si="23"/>
        <v>10.131542332089861</v>
      </c>
      <c r="M110" s="44">
        <f t="shared" si="23"/>
        <v>8.8997448826670755</v>
      </c>
      <c r="N110" s="44">
        <f t="shared" si="23"/>
        <v>8.8997448826670755</v>
      </c>
      <c r="O110" s="44">
        <f t="shared" si="23"/>
        <v>8.8997448826670755</v>
      </c>
      <c r="P110" s="44">
        <f t="shared" si="23"/>
        <v>8.8997448826670755</v>
      </c>
      <c r="Q110" s="44">
        <f t="shared" si="23"/>
        <v>8.8997448826670755</v>
      </c>
      <c r="R110" s="44">
        <f t="shared" ref="R110" si="24">SUM(R108:R109)</f>
        <v>8.8997448826670755</v>
      </c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 x14ac:dyDescent="0.2">
      <c r="A111" s="1"/>
      <c r="B111" s="1"/>
      <c r="C111" s="13" t="s">
        <v>9</v>
      </c>
      <c r="D111" s="13" t="s">
        <v>35</v>
      </c>
      <c r="E111" s="13"/>
      <c r="F111" s="13"/>
      <c r="G111" s="42"/>
      <c r="H111" s="45"/>
      <c r="I111" s="45">
        <f t="shared" ref="I111:R111" si="25">-I110*$D$23</f>
        <v>-3.3819747136241469</v>
      </c>
      <c r="J111" s="45">
        <f t="shared" si="25"/>
        <v>-2.4327550550436956</v>
      </c>
      <c r="K111" s="45">
        <f t="shared" si="25"/>
        <v>-2.7455674253660516</v>
      </c>
      <c r="L111" s="45">
        <f t="shared" si="25"/>
        <v>-2.4315701597015664</v>
      </c>
      <c r="M111" s="45">
        <f t="shared" si="25"/>
        <v>-2.1359387718400979</v>
      </c>
      <c r="N111" s="45">
        <f t="shared" si="25"/>
        <v>-2.1359387718400979</v>
      </c>
      <c r="O111" s="45">
        <f t="shared" si="25"/>
        <v>-2.1359387718400979</v>
      </c>
      <c r="P111" s="45">
        <f t="shared" si="25"/>
        <v>-2.1359387718400979</v>
      </c>
      <c r="Q111" s="45">
        <f t="shared" si="25"/>
        <v>-2.1359387718400979</v>
      </c>
      <c r="R111" s="45">
        <f t="shared" si="25"/>
        <v>-2.1359387718400979</v>
      </c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5.75" customHeight="1" x14ac:dyDescent="0.2">
      <c r="A112" s="1"/>
      <c r="B112" s="1"/>
      <c r="C112" s="9" t="s">
        <v>8</v>
      </c>
      <c r="D112" s="9" t="s">
        <v>35</v>
      </c>
      <c r="E112" s="9"/>
      <c r="F112" s="1"/>
      <c r="G112" s="1"/>
      <c r="H112" s="46">
        <f>H110</f>
        <v>-34.088000000000001</v>
      </c>
      <c r="I112" s="46">
        <f t="shared" ref="I112:Q112" si="26">SUM(I108,I111)</f>
        <v>13.778586593143132</v>
      </c>
      <c r="J112" s="46">
        <f t="shared" si="26"/>
        <v>10.772724340971704</v>
      </c>
      <c r="K112" s="46">
        <f t="shared" si="26"/>
        <v>11.763296846992496</v>
      </c>
      <c r="L112" s="46">
        <f t="shared" si="26"/>
        <v>10.768972172388294</v>
      </c>
      <c r="M112" s="46">
        <f t="shared" si="26"/>
        <v>9.8328061108269758</v>
      </c>
      <c r="N112" s="46">
        <f t="shared" si="26"/>
        <v>9.8328061108269758</v>
      </c>
      <c r="O112" s="46">
        <f t="shared" si="26"/>
        <v>9.8328061108269758</v>
      </c>
      <c r="P112" s="46">
        <f t="shared" si="26"/>
        <v>9.8328061108269758</v>
      </c>
      <c r="Q112" s="46">
        <f t="shared" si="26"/>
        <v>9.8328061108269758</v>
      </c>
      <c r="R112" s="46">
        <f t="shared" ref="R112" si="27">SUM(R108,R111)</f>
        <v>9.8328061108269758</v>
      </c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 x14ac:dyDescent="0.2">
      <c r="A113" s="1"/>
      <c r="B113" s="1"/>
      <c r="C113" s="1" t="s">
        <v>7</v>
      </c>
      <c r="D113" s="1" t="s">
        <v>35</v>
      </c>
      <c r="E113" s="1"/>
      <c r="F113" s="1"/>
      <c r="G113" s="1"/>
      <c r="H113" s="44">
        <f t="shared" ref="H113:R113" si="28">H112/(1+$D$22)^H88</f>
        <v>-34.088000000000001</v>
      </c>
      <c r="I113" s="44">
        <f t="shared" si="28"/>
        <v>12.631078314629224</v>
      </c>
      <c r="J113" s="44">
        <f t="shared" si="28"/>
        <v>9.0530946884804173</v>
      </c>
      <c r="K113" s="44">
        <f t="shared" si="28"/>
        <v>9.0622560803584982</v>
      </c>
      <c r="L113" s="44">
        <f t="shared" si="28"/>
        <v>7.6053163966111974</v>
      </c>
      <c r="M113" s="44">
        <f t="shared" si="28"/>
        <v>6.3658480067075729</v>
      </c>
      <c r="N113" s="44">
        <f t="shared" si="28"/>
        <v>5.8356874392155893</v>
      </c>
      <c r="O113" s="44">
        <f t="shared" si="28"/>
        <v>5.3496797052545455</v>
      </c>
      <c r="P113" s="44">
        <f t="shared" si="28"/>
        <v>4.9041476684466199</v>
      </c>
      <c r="Q113" s="44">
        <f t="shared" si="28"/>
        <v>4.4957204316937807</v>
      </c>
      <c r="R113" s="44">
        <f t="shared" si="28"/>
        <v>4.1213078329574175</v>
      </c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2">
      <c r="A114" s="1"/>
      <c r="B114" s="1"/>
      <c r="C114" s="1" t="s">
        <v>51</v>
      </c>
      <c r="D114" s="1" t="s">
        <v>35</v>
      </c>
      <c r="E114" s="1"/>
      <c r="F114" s="1"/>
      <c r="G114" s="1"/>
      <c r="H114" s="44">
        <f>H113</f>
        <v>-34.088000000000001</v>
      </c>
      <c r="I114" s="44">
        <f>H114+I113</f>
        <v>-21.456921685370776</v>
      </c>
      <c r="J114" s="44">
        <f t="shared" ref="J114:R114" si="29">I114+J113</f>
        <v>-12.403826996890359</v>
      </c>
      <c r="K114" s="44">
        <f t="shared" si="29"/>
        <v>-3.341570916531861</v>
      </c>
      <c r="L114" s="44">
        <f t="shared" si="29"/>
        <v>4.2637454800793364</v>
      </c>
      <c r="M114" s="44">
        <f t="shared" si="29"/>
        <v>10.629593486786909</v>
      </c>
      <c r="N114" s="44">
        <f t="shared" si="29"/>
        <v>16.465280926002499</v>
      </c>
      <c r="O114" s="44">
        <f t="shared" si="29"/>
        <v>21.814960631257044</v>
      </c>
      <c r="P114" s="44">
        <f t="shared" si="29"/>
        <v>26.719108299703663</v>
      </c>
      <c r="Q114" s="44">
        <f t="shared" si="29"/>
        <v>31.214828731397443</v>
      </c>
      <c r="R114" s="44">
        <f t="shared" si="29"/>
        <v>35.33613656435486</v>
      </c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2">
      <c r="A115" s="1"/>
      <c r="B115" s="1"/>
      <c r="C115" s="1"/>
      <c r="D115" s="1"/>
      <c r="E115" s="1"/>
      <c r="F115" s="1"/>
      <c r="G115" s="1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 x14ac:dyDescent="0.2">
      <c r="A116" s="1"/>
      <c r="B116" s="1"/>
      <c r="C116" s="1"/>
      <c r="D116" s="1"/>
      <c r="E116" s="1"/>
      <c r="F116" s="1"/>
      <c r="G116" s="1"/>
      <c r="H116" s="44">
        <f>IF(H114&lt;0,(13-6)/12,0)</f>
        <v>0.58333333333333337</v>
      </c>
      <c r="I116" s="44">
        <f>IF(COUNTIF($H116:H116,"=0")=COUNTA($H116:H116),IF(I114&lt;0,(13-6)/12,0),IF(I114&lt;0,1,IF(I114=0,IF(H114&gt;=0,0,1),IF(H114&lt;0,-H114/I113,0))))</f>
        <v>1</v>
      </c>
      <c r="J116" s="44">
        <f>IF(COUNTIF($H116:I116,"=0")=COUNTA($H116:I116),IF(J114&lt;0,(13-6)/12,0),IF(J114&lt;0,1,IF(J114=0,IF(I114&gt;=0,0,1),IF(I114&lt;0,-I114/J113,0))))</f>
        <v>1</v>
      </c>
      <c r="K116" s="44">
        <f>IF(COUNTIF($H116:J116,"=0")=COUNTA($H116:J116),IF(K114&lt;0,(13-6)/12,0),IF(K114&lt;0,1,IF(K114=0,IF(J114&gt;=0,0,1),IF(J114&lt;0,-J114/K113,0))))</f>
        <v>1</v>
      </c>
      <c r="L116" s="44">
        <f>IF(COUNTIF($H116:K116,"=0")=COUNTA($H116:K116),IF(L114&lt;0,(13-6)/12,0),IF(L114&lt;0,1,IF(L114=0,IF(K114&gt;=0,0,1),IF(K114&lt;0,-K114/L113,0))))</f>
        <v>0.43937303095250707</v>
      </c>
      <c r="M116" s="44">
        <f>IF(COUNTIF($H116:L116,"=0")=COUNTA($H116:L116),IF(M114&lt;0,(13-6)/12,0),IF(M114&lt;0,1,IF(M114=0,IF(L114&gt;=0,0,1),IF(L114&lt;0,-L114/M113,0))))</f>
        <v>0</v>
      </c>
      <c r="N116" s="44">
        <f>IF(COUNTIF($H116:M116,"=0")=COUNTA($H116:M116),IF(N114&lt;0,(13-6)/12,0),IF(N114&lt;0,1,IF(N114=0,IF(M114&gt;=0,0,1),IF(M114&lt;0,-M114/N113,0))))</f>
        <v>0</v>
      </c>
      <c r="O116" s="44">
        <f>IF(COUNTIF($H116:N116,"=0")=COUNTA($H116:N116),IF(O114&lt;0,(13-6)/12,0),IF(O114&lt;0,1,IF(O114=0,IF(N114&gt;=0,0,1),IF(N114&lt;0,-N114/O113,0))))</f>
        <v>0</v>
      </c>
      <c r="P116" s="44">
        <f>IF(COUNTIF($H116:O116,"=0")=COUNTA($H116:O116),IF(P114&lt;0,(13-6)/12,0),IF(P114&lt;0,1,IF(P114=0,IF(O114&gt;=0,0,1),IF(O114&lt;0,-O114/P113,0))))</f>
        <v>0</v>
      </c>
      <c r="Q116" s="44">
        <f>IF(COUNTIF($H116:P116,"=0")=COUNTA($H116:P116),IF(Q114&lt;0,(13-6)/12,0),IF(Q114&lt;0,1,IF(Q114=0,IF(P114&gt;=0,0,1),IF(P114&lt;0,-P114/Q113,0))))</f>
        <v>0</v>
      </c>
      <c r="R116" s="44">
        <f>IF(COUNTIF($H116:Q116,"=0")=COUNTA($H116:Q116),IF(R114&lt;0,(13-6)/12,0),IF(R114&lt;0,1,IF(R114=0,IF(Q114&gt;=0,0,1),IF(Q114&lt;0,-Q114/R113,0))))</f>
        <v>0</v>
      </c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2">
      <c r="A117" s="1"/>
      <c r="B117" s="1"/>
      <c r="C117" s="1"/>
      <c r="D117" s="1" t="s">
        <v>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1"/>
      <c r="B118" s="6" t="s">
        <v>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1"/>
      <c r="B119" s="1"/>
      <c r="C119" s="5" t="s">
        <v>4</v>
      </c>
      <c r="D119" s="4" t="s">
        <v>35</v>
      </c>
      <c r="E119" s="3"/>
      <c r="F119" s="81">
        <f>NPV(D22,I112:R112)+H112</f>
        <v>35.336136564354867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1"/>
      <c r="B121" s="9"/>
      <c r="C121" s="5" t="s">
        <v>3</v>
      </c>
      <c r="D121" s="4" t="s">
        <v>35</v>
      </c>
      <c r="E121" s="3"/>
      <c r="F121" s="80">
        <f>SUM(H113:R113)</f>
        <v>35.33613656435486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1"/>
      <c r="C122" s="1"/>
      <c r="D122" s="1"/>
      <c r="E122" s="1"/>
      <c r="F122" s="7">
        <f>NPV(F125,I112:R112)+H112</f>
        <v>33.749134790898303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6" t="s">
        <v>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1"/>
      <c r="C125" s="5" t="s">
        <v>1</v>
      </c>
      <c r="D125" s="4" t="s">
        <v>0</v>
      </c>
      <c r="E125" s="3"/>
      <c r="F125" s="2">
        <v>9.6473474225974631E-2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6" t="s">
        <v>48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49" t="s">
        <v>49</v>
      </c>
      <c r="D129" s="50" t="s">
        <v>27</v>
      </c>
      <c r="E129" s="51"/>
      <c r="F129" s="52">
        <f>IF(SUM(H116:R116)=0,0,SUM(H116:R116))</f>
        <v>4.0227063642858409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22"/>
      <c r="B133" s="26" t="s">
        <v>99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21"/>
      <c r="B135" s="21"/>
      <c r="C135" s="20"/>
      <c r="D135" s="19"/>
      <c r="E135" s="19"/>
      <c r="F135" s="88" t="s">
        <v>17</v>
      </c>
      <c r="G135" s="90"/>
      <c r="H135" s="18">
        <v>0</v>
      </c>
      <c r="I135" s="18">
        <v>1</v>
      </c>
      <c r="J135" s="18">
        <v>2</v>
      </c>
      <c r="K135" s="18">
        <v>3</v>
      </c>
      <c r="L135" s="18">
        <v>4</v>
      </c>
      <c r="M135" s="18">
        <v>5</v>
      </c>
      <c r="N135" s="18">
        <v>6</v>
      </c>
      <c r="O135" s="18">
        <v>7</v>
      </c>
      <c r="P135" s="18">
        <v>8</v>
      </c>
      <c r="Q135" s="18">
        <v>9</v>
      </c>
      <c r="R135" s="18">
        <v>10</v>
      </c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9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6" t="s">
        <v>100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1"/>
      <c r="C138" s="1" t="s">
        <v>31</v>
      </c>
      <c r="D138" s="1" t="s">
        <v>40</v>
      </c>
      <c r="E138" s="1"/>
      <c r="F138" s="1"/>
      <c r="G138" s="1"/>
      <c r="H138" s="44">
        <f>H91*(1-$D$63)</f>
        <v>35.641926365365947</v>
      </c>
      <c r="I138" s="44">
        <f t="shared" ref="I138:R138" si="30">I91*(1-$D$63)</f>
        <v>35.641926365365947</v>
      </c>
      <c r="J138" s="44">
        <f t="shared" si="30"/>
        <v>28.062422977801333</v>
      </c>
      <c r="K138" s="44">
        <f t="shared" si="30"/>
        <v>30.560224618441772</v>
      </c>
      <c r="L138" s="44">
        <f t="shared" si="30"/>
        <v>28.052961607950426</v>
      </c>
      <c r="M138" s="44">
        <f t="shared" si="30"/>
        <v>25.692349830148189</v>
      </c>
      <c r="N138" s="44">
        <f t="shared" si="30"/>
        <v>25.692349830148189</v>
      </c>
      <c r="O138" s="44">
        <f t="shared" si="30"/>
        <v>25.692349830148189</v>
      </c>
      <c r="P138" s="44">
        <f t="shared" si="30"/>
        <v>25.692349830148189</v>
      </c>
      <c r="Q138" s="44">
        <f t="shared" si="30"/>
        <v>25.692349830148189</v>
      </c>
      <c r="R138" s="44">
        <f t="shared" si="30"/>
        <v>25.692349830148189</v>
      </c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 ht="15.75" customHeight="1" x14ac:dyDescent="0.2">
      <c r="A139" s="1"/>
      <c r="B139" s="1"/>
      <c r="C139" s="1" t="s">
        <v>101</v>
      </c>
      <c r="D139" s="1" t="s">
        <v>18</v>
      </c>
      <c r="E139" s="1"/>
      <c r="F139" s="1"/>
      <c r="G139" s="1"/>
      <c r="H139" s="44">
        <f>IF(OR($D$84="BASE",$D$84="FIP"),0,H94+H93)</f>
        <v>0</v>
      </c>
      <c r="I139" s="44">
        <f>IF(OR($D$84="BASE",$D$84="FIP"),0,I94+I93)</f>
        <v>443.54088285714067</v>
      </c>
      <c r="J139" s="44">
        <f t="shared" ref="J139:R139" si="31">IF(OR($D$84="BASE",$D$84="FIP"),0,J94+J93)</f>
        <v>443.54088285714067</v>
      </c>
      <c r="K139" s="44">
        <f t="shared" si="31"/>
        <v>443.54088285714067</v>
      </c>
      <c r="L139" s="44">
        <f t="shared" si="31"/>
        <v>443.54088285714067</v>
      </c>
      <c r="M139" s="44">
        <f t="shared" si="31"/>
        <v>443.54088285714067</v>
      </c>
      <c r="N139" s="44">
        <f t="shared" si="31"/>
        <v>443.54088285714067</v>
      </c>
      <c r="O139" s="44">
        <f t="shared" si="31"/>
        <v>443.54088285714067</v>
      </c>
      <c r="P139" s="44">
        <f t="shared" si="31"/>
        <v>443.54088285714067</v>
      </c>
      <c r="Q139" s="44">
        <f t="shared" si="31"/>
        <v>443.54088285714067</v>
      </c>
      <c r="R139" s="44">
        <f t="shared" si="31"/>
        <v>443.54088285714067</v>
      </c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 ht="15.75" customHeight="1" x14ac:dyDescent="0.2">
      <c r="A140" s="1"/>
      <c r="B140" s="1"/>
      <c r="C140" s="1" t="s">
        <v>104</v>
      </c>
      <c r="D140" s="79" t="s">
        <v>35</v>
      </c>
      <c r="E140" s="1"/>
      <c r="F140" s="1"/>
      <c r="G140" s="1"/>
      <c r="H140" s="44">
        <f>-H138*H139/1000</f>
        <v>0</v>
      </c>
      <c r="I140" s="44">
        <f t="shared" ref="I140:R140" si="32">-I138*I139/1000</f>
        <v>-15.808651486823612</v>
      </c>
      <c r="J140" s="44">
        <f t="shared" si="32"/>
        <v>-12.446831862684514</v>
      </c>
      <c r="K140" s="44">
        <f t="shared" si="32"/>
        <v>-13.554709007576188</v>
      </c>
      <c r="L140" s="44">
        <f t="shared" si="32"/>
        <v>-12.442635358347804</v>
      </c>
      <c r="M140" s="44">
        <f t="shared" si="32"/>
        <v>-11.395607526338436</v>
      </c>
      <c r="N140" s="44">
        <f t="shared" si="32"/>
        <v>-11.395607526338436</v>
      </c>
      <c r="O140" s="44">
        <f t="shared" si="32"/>
        <v>-11.395607526338436</v>
      </c>
      <c r="P140" s="44">
        <f t="shared" si="32"/>
        <v>-11.395607526338436</v>
      </c>
      <c r="Q140" s="44">
        <f t="shared" si="32"/>
        <v>-11.395607526338436</v>
      </c>
      <c r="R140" s="44">
        <f t="shared" si="32"/>
        <v>-11.395607526338436</v>
      </c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 ht="15.75" customHeight="1" x14ac:dyDescent="0.2">
      <c r="A141" s="1"/>
      <c r="B141" s="1"/>
      <c r="C141" s="1" t="s">
        <v>15</v>
      </c>
      <c r="D141" s="79" t="s">
        <v>35</v>
      </c>
      <c r="E141" s="1"/>
      <c r="F141" s="1"/>
      <c r="G141" s="1"/>
      <c r="H141" s="44">
        <f>-($D$58*H139/1000)</f>
        <v>0</v>
      </c>
      <c r="I141" s="44">
        <f t="shared" ref="I141:R141" si="33">-($D$58*I139/1000)</f>
        <v>-1.1088522071428517</v>
      </c>
      <c r="J141" s="44">
        <f t="shared" si="33"/>
        <v>-1.1088522071428517</v>
      </c>
      <c r="K141" s="44">
        <f t="shared" si="33"/>
        <v>-1.1088522071428517</v>
      </c>
      <c r="L141" s="44">
        <f t="shared" si="33"/>
        <v>-1.1088522071428517</v>
      </c>
      <c r="M141" s="44">
        <f t="shared" si="33"/>
        <v>-1.1088522071428517</v>
      </c>
      <c r="N141" s="44">
        <f t="shared" si="33"/>
        <v>-1.1088522071428517</v>
      </c>
      <c r="O141" s="44">
        <f t="shared" si="33"/>
        <v>-1.1088522071428517</v>
      </c>
      <c r="P141" s="44">
        <f t="shared" si="33"/>
        <v>-1.1088522071428517</v>
      </c>
      <c r="Q141" s="44">
        <f t="shared" si="33"/>
        <v>-1.1088522071428517</v>
      </c>
      <c r="R141" s="44">
        <f t="shared" si="33"/>
        <v>-1.1088522071428517</v>
      </c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 ht="15.75" customHeight="1" x14ac:dyDescent="0.2">
      <c r="A142" s="1"/>
      <c r="B142" s="1"/>
      <c r="C142" s="42" t="s">
        <v>47</v>
      </c>
      <c r="D142" s="42" t="s">
        <v>35</v>
      </c>
      <c r="E142" s="43"/>
      <c r="F142" s="43"/>
      <c r="G142" s="43"/>
      <c r="H142" s="45">
        <f t="shared" ref="H142:R142" si="34">IF(H135=0,0,IF(OR($D$84="FIC",$D$84="COMBO"),-$D$55,0))</f>
        <v>0</v>
      </c>
      <c r="I142" s="45">
        <f t="shared" si="34"/>
        <v>-10</v>
      </c>
      <c r="J142" s="45">
        <f t="shared" si="34"/>
        <v>-10</v>
      </c>
      <c r="K142" s="45">
        <f t="shared" si="34"/>
        <v>-10</v>
      </c>
      <c r="L142" s="45">
        <f t="shared" si="34"/>
        <v>-10</v>
      </c>
      <c r="M142" s="45">
        <f t="shared" si="34"/>
        <v>-10</v>
      </c>
      <c r="N142" s="45">
        <f t="shared" si="34"/>
        <v>-10</v>
      </c>
      <c r="O142" s="45">
        <f t="shared" si="34"/>
        <v>-10</v>
      </c>
      <c r="P142" s="45">
        <f t="shared" si="34"/>
        <v>-10</v>
      </c>
      <c r="Q142" s="45">
        <f t="shared" si="34"/>
        <v>-10</v>
      </c>
      <c r="R142" s="45">
        <f t="shared" si="34"/>
        <v>-10</v>
      </c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 ht="15.75" customHeight="1" x14ac:dyDescent="0.2">
      <c r="A143" s="9"/>
      <c r="B143" s="9"/>
      <c r="C143" s="9" t="s">
        <v>15</v>
      </c>
      <c r="D143" s="24" t="s">
        <v>35</v>
      </c>
      <c r="E143" s="9"/>
      <c r="F143" s="9"/>
      <c r="G143" s="9"/>
      <c r="H143" s="46">
        <f>H140+H141+H142</f>
        <v>0</v>
      </c>
      <c r="I143" s="46">
        <f t="shared" ref="I143:R143" si="35">I140+I141+I142</f>
        <v>-26.917503693966463</v>
      </c>
      <c r="J143" s="46">
        <f t="shared" si="35"/>
        <v>-23.555684069827365</v>
      </c>
      <c r="K143" s="46">
        <f t="shared" si="35"/>
        <v>-24.663561214719039</v>
      </c>
      <c r="L143" s="46">
        <f t="shared" si="35"/>
        <v>-23.551487565490653</v>
      </c>
      <c r="M143" s="46">
        <f t="shared" si="35"/>
        <v>-22.504459733481287</v>
      </c>
      <c r="N143" s="46">
        <f t="shared" si="35"/>
        <v>-22.504459733481287</v>
      </c>
      <c r="O143" s="46">
        <f t="shared" si="35"/>
        <v>-22.504459733481287</v>
      </c>
      <c r="P143" s="46">
        <f t="shared" si="35"/>
        <v>-22.504459733481287</v>
      </c>
      <c r="Q143" s="46">
        <f t="shared" si="35"/>
        <v>-22.504459733481287</v>
      </c>
      <c r="R143" s="46">
        <f t="shared" si="35"/>
        <v>-22.504459733481287</v>
      </c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6" t="s">
        <v>105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1"/>
      <c r="C146" s="1" t="s">
        <v>31</v>
      </c>
      <c r="D146" s="1" t="s">
        <v>40</v>
      </c>
      <c r="E146" s="1"/>
      <c r="F146" s="1"/>
      <c r="G146" s="1"/>
      <c r="H146" s="44">
        <f>H78</f>
        <v>64.510273964463252</v>
      </c>
      <c r="I146" s="44">
        <f t="shared" ref="I146:R146" si="36">I78</f>
        <v>64.510273964463252</v>
      </c>
      <c r="J146" s="44">
        <f t="shared" si="36"/>
        <v>50.791715796925487</v>
      </c>
      <c r="K146" s="44">
        <f t="shared" si="36"/>
        <v>55.312623743786013</v>
      </c>
      <c r="L146" s="44">
        <f t="shared" si="36"/>
        <v>50.774591145611623</v>
      </c>
      <c r="M146" s="44">
        <f t="shared" si="36"/>
        <v>46.501990642802149</v>
      </c>
      <c r="N146" s="44">
        <f t="shared" si="36"/>
        <v>46.501990642802149</v>
      </c>
      <c r="O146" s="44">
        <f t="shared" si="36"/>
        <v>46.501990642802149</v>
      </c>
      <c r="P146" s="44">
        <f t="shared" si="36"/>
        <v>46.501990642802149</v>
      </c>
      <c r="Q146" s="44">
        <f t="shared" si="36"/>
        <v>46.501990642802149</v>
      </c>
      <c r="R146" s="44">
        <f t="shared" si="36"/>
        <v>46.501990642802149</v>
      </c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 ht="15.75" customHeight="1" x14ac:dyDescent="0.2">
      <c r="A147" s="1"/>
      <c r="B147" s="1"/>
      <c r="C147" s="1" t="s">
        <v>102</v>
      </c>
      <c r="D147" s="1" t="s">
        <v>18</v>
      </c>
      <c r="E147" s="1"/>
      <c r="F147" s="1"/>
      <c r="G147" s="1"/>
      <c r="H147" s="44">
        <f>H139</f>
        <v>0</v>
      </c>
      <c r="I147" s="44">
        <f t="shared" ref="I147:R147" si="37">I139</f>
        <v>443.54088285714067</v>
      </c>
      <c r="J147" s="44">
        <f t="shared" si="37"/>
        <v>443.54088285714067</v>
      </c>
      <c r="K147" s="44">
        <f t="shared" si="37"/>
        <v>443.54088285714067</v>
      </c>
      <c r="L147" s="44">
        <f t="shared" si="37"/>
        <v>443.54088285714067</v>
      </c>
      <c r="M147" s="44">
        <f t="shared" si="37"/>
        <v>443.54088285714067</v>
      </c>
      <c r="N147" s="44">
        <f t="shared" si="37"/>
        <v>443.54088285714067</v>
      </c>
      <c r="O147" s="44">
        <f t="shared" si="37"/>
        <v>443.54088285714067</v>
      </c>
      <c r="P147" s="44">
        <f t="shared" si="37"/>
        <v>443.54088285714067</v>
      </c>
      <c r="Q147" s="44">
        <f t="shared" si="37"/>
        <v>443.54088285714067</v>
      </c>
      <c r="R147" s="44">
        <f t="shared" si="37"/>
        <v>443.54088285714067</v>
      </c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 ht="15.75" customHeight="1" x14ac:dyDescent="0.2">
      <c r="A148" s="1"/>
      <c r="B148" s="1"/>
      <c r="C148" s="1" t="s">
        <v>106</v>
      </c>
      <c r="D148" s="1" t="s">
        <v>35</v>
      </c>
      <c r="E148" s="1"/>
      <c r="F148" s="1"/>
      <c r="G148" s="1"/>
      <c r="H148" s="44">
        <f>H146*H147/1000</f>
        <v>0</v>
      </c>
      <c r="I148" s="44">
        <f t="shared" ref="I148:R148" si="38">I146*I147/1000</f>
        <v>28.612943867554048</v>
      </c>
      <c r="J148" s="44">
        <f t="shared" si="38"/>
        <v>22.52820246639731</v>
      </c>
      <c r="K148" s="44">
        <f t="shared" si="38"/>
        <v>24.53340996846369</v>
      </c>
      <c r="L148" s="44">
        <f t="shared" si="38"/>
        <v>22.520606983434938</v>
      </c>
      <c r="M148" s="44">
        <f t="shared" si="38"/>
        <v>20.62553398432296</v>
      </c>
      <c r="N148" s="44">
        <f t="shared" si="38"/>
        <v>20.62553398432296</v>
      </c>
      <c r="O148" s="44">
        <f t="shared" si="38"/>
        <v>20.62553398432296</v>
      </c>
      <c r="P148" s="44">
        <f t="shared" si="38"/>
        <v>20.62553398432296</v>
      </c>
      <c r="Q148" s="44">
        <f t="shared" si="38"/>
        <v>20.62553398432296</v>
      </c>
      <c r="R148" s="44">
        <f t="shared" si="38"/>
        <v>20.62553398432296</v>
      </c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 ht="15.75" customHeight="1" x14ac:dyDescent="0.2">
      <c r="A149" s="1"/>
      <c r="B149" s="1"/>
      <c r="C149" s="42" t="s">
        <v>47</v>
      </c>
      <c r="D149" s="42" t="s">
        <v>35</v>
      </c>
      <c r="E149" s="42"/>
      <c r="F149" s="42"/>
      <c r="G149" s="42"/>
      <c r="H149" s="45">
        <f t="shared" ref="H149:R149" si="39">IF(H135=0,0,IF(OR($D$84="FIC",$D$84="COMBO"),+$D$55*$D$65,0))</f>
        <v>0</v>
      </c>
      <c r="I149" s="45">
        <f t="shared" si="39"/>
        <v>6</v>
      </c>
      <c r="J149" s="45">
        <f t="shared" si="39"/>
        <v>6</v>
      </c>
      <c r="K149" s="45">
        <f t="shared" si="39"/>
        <v>6</v>
      </c>
      <c r="L149" s="45">
        <f t="shared" si="39"/>
        <v>6</v>
      </c>
      <c r="M149" s="45">
        <f t="shared" si="39"/>
        <v>6</v>
      </c>
      <c r="N149" s="45">
        <f t="shared" si="39"/>
        <v>6</v>
      </c>
      <c r="O149" s="45">
        <f t="shared" si="39"/>
        <v>6</v>
      </c>
      <c r="P149" s="45">
        <f t="shared" si="39"/>
        <v>6</v>
      </c>
      <c r="Q149" s="45">
        <f t="shared" si="39"/>
        <v>6</v>
      </c>
      <c r="R149" s="45">
        <f t="shared" si="39"/>
        <v>6</v>
      </c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ht="15.75" customHeight="1" x14ac:dyDescent="0.2">
      <c r="A150" s="9"/>
      <c r="B150" s="9"/>
      <c r="C150" s="9" t="s">
        <v>21</v>
      </c>
      <c r="D150" s="9" t="s">
        <v>35</v>
      </c>
      <c r="E150" s="9"/>
      <c r="F150" s="9"/>
      <c r="G150" s="9"/>
      <c r="H150" s="46">
        <f>H148+H149</f>
        <v>0</v>
      </c>
      <c r="I150" s="46">
        <f>I148+I149</f>
        <v>34.612943867554051</v>
      </c>
      <c r="J150" s="46">
        <f t="shared" ref="J150:R150" si="40">J148+J149</f>
        <v>28.52820246639731</v>
      </c>
      <c r="K150" s="46">
        <f t="shared" si="40"/>
        <v>30.53340996846369</v>
      </c>
      <c r="L150" s="46">
        <f t="shared" si="40"/>
        <v>28.520606983434938</v>
      </c>
      <c r="M150" s="46">
        <f t="shared" si="40"/>
        <v>26.62553398432296</v>
      </c>
      <c r="N150" s="46">
        <f t="shared" si="40"/>
        <v>26.62553398432296</v>
      </c>
      <c r="O150" s="46">
        <f t="shared" si="40"/>
        <v>26.62553398432296</v>
      </c>
      <c r="P150" s="46">
        <f t="shared" si="40"/>
        <v>26.62553398432296</v>
      </c>
      <c r="Q150" s="46">
        <f t="shared" si="40"/>
        <v>26.62553398432296</v>
      </c>
      <c r="R150" s="46">
        <f t="shared" si="40"/>
        <v>26.62553398432296</v>
      </c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6" t="s">
        <v>50</v>
      </c>
      <c r="C153" s="1"/>
      <c r="D153" s="1"/>
      <c r="E153" s="1"/>
      <c r="F153" s="88" t="s">
        <v>17</v>
      </c>
      <c r="G153" s="90"/>
      <c r="H153" s="18">
        <v>0</v>
      </c>
      <c r="I153" s="18">
        <v>1</v>
      </c>
      <c r="J153" s="18">
        <v>2</v>
      </c>
      <c r="K153" s="18">
        <v>3</v>
      </c>
      <c r="L153" s="18">
        <v>4</v>
      </c>
      <c r="M153" s="18">
        <v>5</v>
      </c>
      <c r="N153" s="18">
        <v>6</v>
      </c>
      <c r="O153" s="18">
        <v>7</v>
      </c>
      <c r="P153" s="18">
        <v>8</v>
      </c>
      <c r="Q153" s="18">
        <v>9</v>
      </c>
      <c r="R153" s="18">
        <v>10</v>
      </c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1"/>
      <c r="C154" s="1" t="s">
        <v>16</v>
      </c>
      <c r="D154" s="1" t="s">
        <v>35</v>
      </c>
      <c r="E154" s="1"/>
      <c r="F154" s="1"/>
      <c r="G154" s="1"/>
      <c r="H154" s="44">
        <f>H143</f>
        <v>0</v>
      </c>
      <c r="I154" s="44">
        <f t="shared" ref="I154:R154" si="41">I143</f>
        <v>-26.917503693966463</v>
      </c>
      <c r="J154" s="44">
        <f t="shared" si="41"/>
        <v>-23.555684069827365</v>
      </c>
      <c r="K154" s="44">
        <f t="shared" si="41"/>
        <v>-24.663561214719039</v>
      </c>
      <c r="L154" s="44">
        <f t="shared" si="41"/>
        <v>-23.551487565490653</v>
      </c>
      <c r="M154" s="44">
        <f t="shared" si="41"/>
        <v>-22.504459733481287</v>
      </c>
      <c r="N154" s="44">
        <f t="shared" si="41"/>
        <v>-22.504459733481287</v>
      </c>
      <c r="O154" s="44">
        <f t="shared" si="41"/>
        <v>-22.504459733481287</v>
      </c>
      <c r="P154" s="44">
        <f t="shared" si="41"/>
        <v>-22.504459733481287</v>
      </c>
      <c r="Q154" s="44">
        <f t="shared" si="41"/>
        <v>-22.504459733481287</v>
      </c>
      <c r="R154" s="44">
        <f t="shared" si="41"/>
        <v>-22.504459733481287</v>
      </c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 x14ac:dyDescent="0.2">
      <c r="A155" s="1"/>
      <c r="B155" s="1"/>
      <c r="C155" s="1" t="s">
        <v>15</v>
      </c>
      <c r="D155" s="17" t="s">
        <v>35</v>
      </c>
      <c r="E155" s="1"/>
      <c r="F155" s="1"/>
      <c r="G155" s="1"/>
      <c r="H155" s="44">
        <f t="shared" ref="H155:R155" si="42">H150</f>
        <v>0</v>
      </c>
      <c r="I155" s="44">
        <f t="shared" si="42"/>
        <v>34.612943867554051</v>
      </c>
      <c r="J155" s="44">
        <f t="shared" si="42"/>
        <v>28.52820246639731</v>
      </c>
      <c r="K155" s="44">
        <f t="shared" si="42"/>
        <v>30.53340996846369</v>
      </c>
      <c r="L155" s="44">
        <f t="shared" si="42"/>
        <v>28.520606983434938</v>
      </c>
      <c r="M155" s="44">
        <f t="shared" si="42"/>
        <v>26.62553398432296</v>
      </c>
      <c r="N155" s="44">
        <f t="shared" si="42"/>
        <v>26.62553398432296</v>
      </c>
      <c r="O155" s="44">
        <f t="shared" si="42"/>
        <v>26.62553398432296</v>
      </c>
      <c r="P155" s="44">
        <f t="shared" si="42"/>
        <v>26.62553398432296</v>
      </c>
      <c r="Q155" s="44">
        <f t="shared" si="42"/>
        <v>26.62553398432296</v>
      </c>
      <c r="R155" s="44">
        <f t="shared" si="42"/>
        <v>26.62553398432296</v>
      </c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 x14ac:dyDescent="0.2">
      <c r="A156" s="1"/>
      <c r="B156" s="1"/>
      <c r="C156" s="13" t="s">
        <v>14</v>
      </c>
      <c r="D156" s="13" t="s">
        <v>35</v>
      </c>
      <c r="E156" s="13"/>
      <c r="F156" s="13"/>
      <c r="G156" s="13"/>
      <c r="H156" s="45">
        <f>-D103</f>
        <v>0</v>
      </c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2"/>
      <c r="T156" s="42"/>
      <c r="U156" s="42"/>
      <c r="V156" s="13"/>
      <c r="W156" s="13"/>
      <c r="X156" s="13"/>
      <c r="Y156" s="13"/>
      <c r="Z156" s="13"/>
      <c r="AA156" s="13"/>
    </row>
    <row r="157" spans="1:27" ht="15.75" customHeight="1" x14ac:dyDescent="0.2">
      <c r="A157" s="9"/>
      <c r="B157" s="9"/>
      <c r="C157" s="9" t="s">
        <v>13</v>
      </c>
      <c r="D157" s="9" t="s">
        <v>35</v>
      </c>
      <c r="E157" s="9"/>
      <c r="F157" s="9"/>
      <c r="G157" s="53"/>
      <c r="H157" s="48">
        <f>SUM(H154:H156)</f>
        <v>0</v>
      </c>
      <c r="I157" s="48">
        <f>SUM(I154:I155)</f>
        <v>7.6954401735875884</v>
      </c>
      <c r="J157" s="48">
        <f t="shared" ref="J157:R157" si="43">SUM(J154:J155)</f>
        <v>4.9725183965699458</v>
      </c>
      <c r="K157" s="48">
        <f t="shared" si="43"/>
        <v>5.8698487537446518</v>
      </c>
      <c r="L157" s="48">
        <f t="shared" si="43"/>
        <v>4.9691194179442846</v>
      </c>
      <c r="M157" s="48">
        <f t="shared" si="43"/>
        <v>4.1210742508416729</v>
      </c>
      <c r="N157" s="48">
        <f t="shared" si="43"/>
        <v>4.1210742508416729</v>
      </c>
      <c r="O157" s="48">
        <f t="shared" si="43"/>
        <v>4.1210742508416729</v>
      </c>
      <c r="P157" s="48">
        <f t="shared" si="43"/>
        <v>4.1210742508416729</v>
      </c>
      <c r="Q157" s="48">
        <f t="shared" si="43"/>
        <v>4.1210742508416729</v>
      </c>
      <c r="R157" s="48">
        <f t="shared" si="43"/>
        <v>4.1210742508416729</v>
      </c>
      <c r="S157" s="47"/>
      <c r="T157" s="47"/>
      <c r="U157" s="15"/>
      <c r="V157" s="15"/>
      <c r="W157" s="15"/>
      <c r="X157" s="15"/>
      <c r="Y157" s="15"/>
      <c r="Z157" s="15"/>
      <c r="AA157" s="15"/>
    </row>
    <row r="158" spans="1:27" ht="15.75" customHeight="1" x14ac:dyDescent="0.2">
      <c r="A158" s="9"/>
      <c r="B158" s="9"/>
      <c r="C158" s="4" t="s">
        <v>12</v>
      </c>
      <c r="D158" s="4" t="s">
        <v>35</v>
      </c>
      <c r="E158" s="4"/>
      <c r="F158" s="4"/>
      <c r="G158" s="53"/>
      <c r="H158" s="48">
        <f>H157</f>
        <v>0</v>
      </c>
      <c r="I158" s="48">
        <f t="shared" ref="I158:R158" si="44">I157</f>
        <v>7.6954401735875884</v>
      </c>
      <c r="J158" s="48">
        <f t="shared" si="44"/>
        <v>4.9725183965699458</v>
      </c>
      <c r="K158" s="48">
        <f t="shared" si="44"/>
        <v>5.8698487537446518</v>
      </c>
      <c r="L158" s="48">
        <f t="shared" si="44"/>
        <v>4.9691194179442846</v>
      </c>
      <c r="M158" s="48">
        <f t="shared" si="44"/>
        <v>4.1210742508416729</v>
      </c>
      <c r="N158" s="48">
        <f t="shared" si="44"/>
        <v>4.1210742508416729</v>
      </c>
      <c r="O158" s="48">
        <f t="shared" si="44"/>
        <v>4.1210742508416729</v>
      </c>
      <c r="P158" s="48">
        <f t="shared" si="44"/>
        <v>4.1210742508416729</v>
      </c>
      <c r="Q158" s="48">
        <f t="shared" si="44"/>
        <v>4.1210742508416729</v>
      </c>
      <c r="R158" s="48">
        <f t="shared" si="44"/>
        <v>4.1210742508416729</v>
      </c>
      <c r="S158" s="25"/>
      <c r="T158" s="25"/>
      <c r="U158" s="14"/>
      <c r="V158" s="14"/>
      <c r="W158" s="14"/>
      <c r="X158" s="14"/>
      <c r="Y158" s="14"/>
      <c r="Z158" s="14"/>
      <c r="AA158" s="14"/>
    </row>
    <row r="159" spans="1:27" ht="15.75" customHeight="1" x14ac:dyDescent="0.2">
      <c r="A159" s="11"/>
      <c r="B159" s="11"/>
      <c r="C159" s="11" t="s">
        <v>11</v>
      </c>
      <c r="D159" s="11" t="s">
        <v>35</v>
      </c>
      <c r="E159" s="11"/>
      <c r="F159" s="11"/>
      <c r="G159" s="11"/>
      <c r="H159" s="44">
        <f>0</f>
        <v>0</v>
      </c>
      <c r="I159" s="44">
        <f>0</f>
        <v>0</v>
      </c>
      <c r="J159" s="44">
        <f>0</f>
        <v>0</v>
      </c>
      <c r="K159" s="44">
        <f>0</f>
        <v>0</v>
      </c>
      <c r="L159" s="44">
        <f>0</f>
        <v>0</v>
      </c>
      <c r="M159" s="44">
        <f>0</f>
        <v>0</v>
      </c>
      <c r="N159" s="44">
        <f>0</f>
        <v>0</v>
      </c>
      <c r="O159" s="44">
        <f>0</f>
        <v>0</v>
      </c>
      <c r="P159" s="44">
        <f>0</f>
        <v>0</v>
      </c>
      <c r="Q159" s="44">
        <f>0</f>
        <v>0</v>
      </c>
      <c r="R159" s="44">
        <f>0</f>
        <v>0</v>
      </c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 x14ac:dyDescent="0.2">
      <c r="A160" s="1"/>
      <c r="B160" s="1"/>
      <c r="C160" s="1" t="s">
        <v>10</v>
      </c>
      <c r="D160" s="1" t="s">
        <v>35</v>
      </c>
      <c r="E160" s="1"/>
      <c r="F160" s="1"/>
      <c r="G160" s="1"/>
      <c r="H160" s="44">
        <f t="shared" ref="H160:R160" si="45">SUM(H158:H159)</f>
        <v>0</v>
      </c>
      <c r="I160" s="44">
        <f t="shared" si="45"/>
        <v>7.6954401735875884</v>
      </c>
      <c r="J160" s="44">
        <f t="shared" si="45"/>
        <v>4.9725183965699458</v>
      </c>
      <c r="K160" s="44">
        <f t="shared" si="45"/>
        <v>5.8698487537446518</v>
      </c>
      <c r="L160" s="44">
        <f t="shared" si="45"/>
        <v>4.9691194179442846</v>
      </c>
      <c r="M160" s="44">
        <f t="shared" si="45"/>
        <v>4.1210742508416729</v>
      </c>
      <c r="N160" s="44">
        <f t="shared" si="45"/>
        <v>4.1210742508416729</v>
      </c>
      <c r="O160" s="44">
        <f t="shared" si="45"/>
        <v>4.1210742508416729</v>
      </c>
      <c r="P160" s="44">
        <f t="shared" si="45"/>
        <v>4.1210742508416729</v>
      </c>
      <c r="Q160" s="44">
        <f t="shared" si="45"/>
        <v>4.1210742508416729</v>
      </c>
      <c r="R160" s="44">
        <f t="shared" si="45"/>
        <v>4.1210742508416729</v>
      </c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2">
      <c r="A161" s="1"/>
      <c r="B161" s="1"/>
      <c r="C161" s="13" t="s">
        <v>9</v>
      </c>
      <c r="D161" s="13" t="s">
        <v>35</v>
      </c>
      <c r="E161" s="13"/>
      <c r="F161" s="13"/>
      <c r="G161" s="42"/>
      <c r="H161" s="45"/>
      <c r="I161" s="45">
        <f t="shared" ref="I161:R161" si="46">-I160*$D$23</f>
        <v>-1.8469056416610212</v>
      </c>
      <c r="J161" s="45">
        <f t="shared" si="46"/>
        <v>-1.1934044151767869</v>
      </c>
      <c r="K161" s="45">
        <f t="shared" si="46"/>
        <v>-1.4087637008987164</v>
      </c>
      <c r="L161" s="45">
        <f t="shared" si="46"/>
        <v>-1.1925886603066282</v>
      </c>
      <c r="M161" s="45">
        <f t="shared" si="46"/>
        <v>-0.9890578202020015</v>
      </c>
      <c r="N161" s="45">
        <f t="shared" si="46"/>
        <v>-0.9890578202020015</v>
      </c>
      <c r="O161" s="45">
        <f t="shared" si="46"/>
        <v>-0.9890578202020015</v>
      </c>
      <c r="P161" s="45">
        <f t="shared" si="46"/>
        <v>-0.9890578202020015</v>
      </c>
      <c r="Q161" s="45">
        <f t="shared" si="46"/>
        <v>-0.9890578202020015</v>
      </c>
      <c r="R161" s="45">
        <f t="shared" si="46"/>
        <v>-0.9890578202020015</v>
      </c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customHeight="1" x14ac:dyDescent="0.2">
      <c r="A162" s="1"/>
      <c r="B162" s="1"/>
      <c r="C162" s="9" t="s">
        <v>8</v>
      </c>
      <c r="D162" s="9" t="s">
        <v>35</v>
      </c>
      <c r="E162" s="9"/>
      <c r="F162" s="1"/>
      <c r="G162" s="1"/>
      <c r="H162" s="46">
        <f>H160</f>
        <v>0</v>
      </c>
      <c r="I162" s="46">
        <f t="shared" ref="I162:R162" si="47">SUM(I158,I161)</f>
        <v>5.8485345319265676</v>
      </c>
      <c r="J162" s="46">
        <f t="shared" si="47"/>
        <v>3.7791139813931589</v>
      </c>
      <c r="K162" s="46">
        <f t="shared" si="47"/>
        <v>4.4610850528459354</v>
      </c>
      <c r="L162" s="46">
        <f t="shared" si="47"/>
        <v>3.7765307576376563</v>
      </c>
      <c r="M162" s="46">
        <f t="shared" si="47"/>
        <v>3.1320164306396716</v>
      </c>
      <c r="N162" s="46">
        <f t="shared" si="47"/>
        <v>3.1320164306396716</v>
      </c>
      <c r="O162" s="46">
        <f t="shared" si="47"/>
        <v>3.1320164306396716</v>
      </c>
      <c r="P162" s="46">
        <f t="shared" si="47"/>
        <v>3.1320164306396716</v>
      </c>
      <c r="Q162" s="46">
        <f t="shared" si="47"/>
        <v>3.1320164306396716</v>
      </c>
      <c r="R162" s="46">
        <f t="shared" si="47"/>
        <v>3.1320164306396716</v>
      </c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 x14ac:dyDescent="0.2">
      <c r="A163" s="1"/>
      <c r="B163" s="1"/>
      <c r="C163" s="1" t="s">
        <v>7</v>
      </c>
      <c r="D163" s="1" t="s">
        <v>35</v>
      </c>
      <c r="E163" s="1"/>
      <c r="F163" s="1"/>
      <c r="G163" s="1"/>
      <c r="H163" s="44">
        <f t="shared" ref="H163:R163" si="48">H162/(1+$D$22)^H135</f>
        <v>0</v>
      </c>
      <c r="I163" s="44">
        <f t="shared" si="48"/>
        <v>5.3614568663625235</v>
      </c>
      <c r="J163" s="44">
        <f t="shared" si="48"/>
        <v>3.1758611498107348</v>
      </c>
      <c r="K163" s="44">
        <f t="shared" si="48"/>
        <v>3.4367486998753694</v>
      </c>
      <c r="L163" s="44">
        <f t="shared" si="48"/>
        <v>2.6670800921011577</v>
      </c>
      <c r="M163" s="44">
        <f t="shared" si="48"/>
        <v>2.0276958914108056</v>
      </c>
      <c r="N163" s="44">
        <f t="shared" si="48"/>
        <v>1.8588253177874952</v>
      </c>
      <c r="O163" s="44">
        <f t="shared" si="48"/>
        <v>1.7040186236426917</v>
      </c>
      <c r="P163" s="44">
        <f t="shared" si="48"/>
        <v>1.5621045409351846</v>
      </c>
      <c r="Q163" s="44">
        <f t="shared" si="48"/>
        <v>1.4320093471713093</v>
      </c>
      <c r="R163" s="44">
        <f t="shared" si="48"/>
        <v>1.3127487416164458</v>
      </c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 x14ac:dyDescent="0.2">
      <c r="A164" s="1"/>
      <c r="B164" s="1"/>
      <c r="C164" s="1" t="s">
        <v>51</v>
      </c>
      <c r="D164" s="1" t="s">
        <v>35</v>
      </c>
      <c r="E164" s="1"/>
      <c r="F164" s="1"/>
      <c r="G164" s="1"/>
      <c r="H164" s="44">
        <f>H163</f>
        <v>0</v>
      </c>
      <c r="I164" s="44">
        <f>H164+I163</f>
        <v>5.3614568663625235</v>
      </c>
      <c r="J164" s="44">
        <f t="shared" ref="J164" si="49">I164+J163</f>
        <v>8.5373180161732591</v>
      </c>
      <c r="K164" s="44">
        <f t="shared" ref="K164" si="50">J164+K163</f>
        <v>11.974066716048629</v>
      </c>
      <c r="L164" s="44">
        <f t="shared" ref="L164" si="51">K164+L163</f>
        <v>14.641146808149786</v>
      </c>
      <c r="M164" s="44">
        <f t="shared" ref="M164" si="52">L164+M163</f>
        <v>16.668842699560592</v>
      </c>
      <c r="N164" s="44">
        <f t="shared" ref="N164" si="53">M164+N163</f>
        <v>18.527668017348088</v>
      </c>
      <c r="O164" s="44">
        <f t="shared" ref="O164" si="54">N164+O163</f>
        <v>20.23168664099078</v>
      </c>
      <c r="P164" s="44">
        <f t="shared" ref="P164" si="55">O164+P163</f>
        <v>21.793791181925965</v>
      </c>
      <c r="Q164" s="44">
        <f t="shared" ref="Q164" si="56">P164+Q163</f>
        <v>23.225800529097274</v>
      </c>
      <c r="R164" s="44">
        <f t="shared" ref="R164" si="57">Q164+R163</f>
        <v>24.53854927071372</v>
      </c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 x14ac:dyDescent="0.2">
      <c r="A165" s="1"/>
      <c r="B165" s="1"/>
      <c r="C165" s="1"/>
      <c r="D165" s="1"/>
      <c r="E165" s="1"/>
      <c r="F165" s="1"/>
      <c r="G165" s="1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2">
      <c r="A166" s="1"/>
      <c r="B166" s="1"/>
      <c r="C166" s="1"/>
      <c r="D166" s="1"/>
      <c r="E166" s="1"/>
      <c r="F166" s="1"/>
      <c r="G166" s="1"/>
      <c r="H166" s="44">
        <f>IF(H164&lt;0,(13-6)/12,0)</f>
        <v>0</v>
      </c>
      <c r="I166" s="44">
        <f>IF(COUNTIF($H166:H166,"=0")=COUNTA($H166:H166),IF(I164&lt;0,(13-6)/12,0),IF(I164&lt;0,1,IF(I164=0,IF(H164&gt;=0,0,1),IF(H164&lt;0,-H164/I163,0))))</f>
        <v>0</v>
      </c>
      <c r="J166" s="44">
        <f>IF(COUNTIF($H166:I166,"=0")=COUNTA($H166:I166),IF(J164&lt;0,(13-6)/12,0),IF(J164&lt;0,1,IF(J164=0,IF(I164&gt;=0,0,1),IF(I164&lt;0,-I164/J163,0))))</f>
        <v>0</v>
      </c>
      <c r="K166" s="44">
        <f>IF(COUNTIF($H166:J166,"=0")=COUNTA($H166:J166),IF(K164&lt;0,(13-6)/12,0),IF(K164&lt;0,1,IF(K164=0,IF(J164&gt;=0,0,1),IF(J164&lt;0,-J164/K163,0))))</f>
        <v>0</v>
      </c>
      <c r="L166" s="44">
        <f>IF(COUNTIF($H166:K166,"=0")=COUNTA($H166:K166),IF(L164&lt;0,(13-6)/12,0),IF(L164&lt;0,1,IF(L164=0,IF(K164&gt;=0,0,1),IF(K164&lt;0,-K164/L163,0))))</f>
        <v>0</v>
      </c>
      <c r="M166" s="44">
        <f>IF(COUNTIF($H166:L166,"=0")=COUNTA($H166:L166),IF(M164&lt;0,(13-6)/12,0),IF(M164&lt;0,1,IF(M164=0,IF(L164&gt;=0,0,1),IF(L164&lt;0,-L164/M163,0))))</f>
        <v>0</v>
      </c>
      <c r="N166" s="44">
        <f>IF(COUNTIF($H166:M166,"=0")=COUNTA($H166:M166),IF(N164&lt;0,(13-6)/12,0),IF(N164&lt;0,1,IF(N164=0,IF(M164&gt;=0,0,1),IF(M164&lt;0,-M164/N163,0))))</f>
        <v>0</v>
      </c>
      <c r="O166" s="44">
        <f>IF(COUNTIF($H166:N166,"=0")=COUNTA($H166:N166),IF(O164&lt;0,(13-6)/12,0),IF(O164&lt;0,1,IF(O164=0,IF(N164&gt;=0,0,1),IF(N164&lt;0,-N164/O163,0))))</f>
        <v>0</v>
      </c>
      <c r="P166" s="44">
        <f>IF(COUNTIF($H166:O166,"=0")=COUNTA($H166:O166),IF(P164&lt;0,(13-6)/12,0),IF(P164&lt;0,1,IF(P164=0,IF(O164&gt;=0,0,1),IF(O164&lt;0,-O164/P163,0))))</f>
        <v>0</v>
      </c>
      <c r="Q166" s="44">
        <f>IF(COUNTIF($H166:P166,"=0")=COUNTA($H166:P166),IF(Q164&lt;0,(13-6)/12,0),IF(Q164&lt;0,1,IF(Q164=0,IF(P164&gt;=0,0,1),IF(P164&lt;0,-P164/Q163,0))))</f>
        <v>0</v>
      </c>
      <c r="R166" s="44">
        <f>IF(COUNTIF($H166:Q166,"=0")=COUNTA($H166:Q166),IF(R164&lt;0,(13-6)/12,0),IF(R164&lt;0,1,IF(R164=0,IF(Q164&gt;=0,0,1),IF(Q164&lt;0,-Q164/R163,0))))</f>
        <v>0</v>
      </c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2">
      <c r="A167" s="1"/>
      <c r="B167" s="1"/>
      <c r="C167" s="1"/>
      <c r="D167" s="1" t="s">
        <v>6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6" t="s">
        <v>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1"/>
      <c r="C169" s="5" t="s">
        <v>4</v>
      </c>
      <c r="D169" s="4" t="s">
        <v>35</v>
      </c>
      <c r="E169" s="3"/>
      <c r="F169" s="10">
        <f>NPV(D81,I162:R162)+H162</f>
        <v>36.657362907641357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9"/>
      <c r="C171" s="5" t="s">
        <v>3</v>
      </c>
      <c r="D171" s="4" t="s">
        <v>35</v>
      </c>
      <c r="E171" s="3"/>
      <c r="F171" s="8">
        <f>SUM(H163:R163)</f>
        <v>24.53854927071372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1"/>
      <c r="C172" s="1"/>
      <c r="D172" s="1"/>
      <c r="E172" s="1"/>
      <c r="F172" s="7">
        <f>NPV(F175,I162:R162)+H162</f>
        <v>12.907618335534067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6" t="s">
        <v>2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5" t="s">
        <v>1</v>
      </c>
      <c r="D175" s="4" t="s">
        <v>0</v>
      </c>
      <c r="E175" s="3"/>
      <c r="F175" s="2">
        <v>0.30256107521085068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6" t="s">
        <v>112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49" t="s">
        <v>113</v>
      </c>
      <c r="D179" s="50" t="s">
        <v>35</v>
      </c>
      <c r="E179" s="51"/>
      <c r="F179" s="52">
        <f>AVERAGE(I163:R163)</f>
        <v>2.4538549270713719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1"/>
      <c r="C180" s="49" t="s">
        <v>114</v>
      </c>
      <c r="D180" s="50" t="s">
        <v>40</v>
      </c>
      <c r="E180" s="51"/>
      <c r="F180" s="52">
        <f>F179*1000/I147</f>
        <v>5.5324210730349517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.7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.7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.7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.7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5.7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5.7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5.7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5.75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5.75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5.75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5.75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5.75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5.75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5.75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5.75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5.75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5.75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5.75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5.75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5.75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5.75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5.75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5.75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5.75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5.75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5.75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5.75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5.75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5.75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5.75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5.75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5.75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5.75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5.75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5.75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5.75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5.75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5.75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5.75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5.75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5.75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5.75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5.75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5.75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5.75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5.75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5.75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5.75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5.75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5.75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5.75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5.75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5.75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5.75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5.75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5.75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5.75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5.75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5.75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5.75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5.75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5.75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5.75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5.75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5.75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5.75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5.75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5.75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5.75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5.75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5.75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5.75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5.75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5.75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5.75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</sheetData>
  <dataConsolidate/>
  <mergeCells count="5">
    <mergeCell ref="F153:G153"/>
    <mergeCell ref="C3:G3"/>
    <mergeCell ref="F88:G88"/>
    <mergeCell ref="F103:G103"/>
    <mergeCell ref="F135:G135"/>
  </mergeCells>
  <dataValidations count="3">
    <dataValidation type="list" allowBlank="1" showInputMessage="1" showErrorMessage="1" sqref="D84" xr:uid="{00000000-0002-0000-0000-000000000000}">
      <formula1>"BASE,FIP,FIC,COMBO"</formula1>
    </dataValidation>
    <dataValidation type="list" allowBlank="1" showInputMessage="1" showErrorMessage="1" sqref="D82" xr:uid="{00000000-0002-0000-0000-000001000000}">
      <formula1>"0.05,0.1,0.15,0.2,0.25"</formula1>
    </dataValidation>
    <dataValidation type="list" allowBlank="1" showInputMessage="1" showErrorMessage="1" sqref="D83" xr:uid="{00000000-0002-0000-0000-000002000000}">
      <formula1>"0.5,0.55,0.6,0.65,0.7"</formula1>
    </dataValidation>
  </dataValidations>
  <hyperlinks>
    <hyperlink ref="G48" r:id="rId1" xr:uid="{00000000-0004-0000-0000-000000000000}"/>
    <hyperlink ref="G58" r:id="rId2" xr:uid="{00000000-0004-0000-0000-000001000000}"/>
    <hyperlink ref="G57" r:id="rId3" xr:uid="{00000000-0004-0000-0000-000002000000}"/>
  </hyperlink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A2468-53C8-4973-8BEE-953EA8733E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Financial Model BASE</vt:lpstr>
      <vt:lpstr>Financial Model FIP</vt:lpstr>
      <vt:lpstr>Financial Model FIC</vt:lpstr>
      <vt:lpstr>Financial Model COMBO</vt:lpstr>
      <vt:lpstr>Sensitivity</vt:lpstr>
      <vt:lpstr>Financial Model Scalability</vt:lpstr>
      <vt:lpstr>SUMMARY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Luigi Bottecchia</cp:lastModifiedBy>
  <dcterms:created xsi:type="dcterms:W3CDTF">2022-12-17T09:56:30Z</dcterms:created>
  <dcterms:modified xsi:type="dcterms:W3CDTF">2024-10-14T08:28:34Z</dcterms:modified>
</cp:coreProperties>
</file>