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vane.gomes\OneDrive - DP World\Desktop\backup geovane\portfolio\planilhas\"/>
    </mc:Choice>
  </mc:AlternateContent>
  <xr:revisionPtr revIDLastSave="0" documentId="13_ncr:1_{861DD61B-BE0A-47FB-9252-8B8F17155624}" xr6:coauthVersionLast="47" xr6:coauthVersionMax="47" xr10:uidLastSave="{00000000-0000-0000-0000-000000000000}"/>
  <bookViews>
    <workbookView xWindow="-120" yWindow="-120" windowWidth="29040" windowHeight="15840" xr2:uid="{6286A36F-B55E-4639-8F57-40BB521BA4C3}"/>
  </bookViews>
  <sheets>
    <sheet name="Fuel Allocation" sheetId="1" r:id="rId1"/>
  </sheets>
  <definedNames>
    <definedName name="AllocationFuel1">'Fuel Allocation'!$D$22:$D$26</definedName>
    <definedName name="AllocationFuel2">'Fuel Allocation'!$E$22:$E$26</definedName>
    <definedName name="AllocationFuel3">'Fuel Allocation'!$F$22:$F$26</definedName>
    <definedName name="DemandFuel1">'Fuel Allocation'!$D$5</definedName>
    <definedName name="DemandFuel2">'Fuel Allocation'!$D$6</definedName>
    <definedName name="DemandFuel3">'Fuel Allocation'!$D$7</definedName>
    <definedName name="FuelAllocation">'Fuel Allocation'!$D$22:$F$26</definedName>
    <definedName name="FuelDemand">'Fuel Allocation'!$D$5:$D$7</definedName>
    <definedName name="FuelShortage">'Fuel Allocation'!$D$16:$D$18</definedName>
    <definedName name="Lack">'Fuel Allocation'!$N$16:$N$18</definedName>
    <definedName name="MaxShortage">'Fuel Allocation'!$F$5:$F$7</definedName>
    <definedName name="QtdFuelPerTank">'Fuel Allocation'!$N$20:$N$24</definedName>
    <definedName name="QtdTanksFuelIsAllocated">'Fuel Allocation'!$D$27:$F$27</definedName>
    <definedName name="ShortageCost">'Fuel Allocation'!$I$16</definedName>
    <definedName name="ShortageCosts">'Fuel Allocation'!$E$5:$E$7</definedName>
    <definedName name="solver_adj" localSheetId="0" hidden="1">'Fuel Allocation'!$D$16:$D$18,'Fuel Allocation'!$D$22:$F$26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0" localSheetId="0" hidden="1">'Fuel Allocation'!$N$26:$N$28</definedName>
    <definedName name="solver_lhs1" localSheetId="0" hidden="1">'Fuel Allocation'!$N$20:$N$24</definedName>
    <definedName name="solver_lhs10" localSheetId="0" hidden="1">'Fuel Allocation'!$D$22:$F$26</definedName>
    <definedName name="solver_lhs11" localSheetId="0" hidden="1">'Fuel Allocation'!$D$22:$F$26</definedName>
    <definedName name="solver_lhs12" localSheetId="0" hidden="1">'Fuel Allocation'!$D$22:$F$26</definedName>
    <definedName name="solver_lhs2" localSheetId="0" hidden="1">'Fuel Allocation'!$D$22:$F$26</definedName>
    <definedName name="solver_lhs3" localSheetId="0" hidden="1">'Fuel Allocation'!$N$16:$N$18</definedName>
    <definedName name="solver_lhs4" localSheetId="0" hidden="1">'Fuel Allocation'!$D$16:$D$18</definedName>
    <definedName name="solver_lhs5" localSheetId="0" hidden="1">'Fuel Allocation'!$N$26:$N$28</definedName>
    <definedName name="solver_lhs6" localSheetId="0" hidden="1">'Fuel Allocation'!$D$22:$F$26</definedName>
    <definedName name="solver_lhs7" localSheetId="0" hidden="1">'Fuel Allocation'!$D$22:$F$26</definedName>
    <definedName name="solver_lhs8" localSheetId="0" hidden="1">'Fuel Allocation'!$D$22:$F$26</definedName>
    <definedName name="solver_lhs9" localSheetId="0" hidden="1">'Fuel Allocation'!$D$22:$F$26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'Fuel Allocation'!$I$16</definedName>
    <definedName name="solver_pre" localSheetId="0" hidden="1">0.000001</definedName>
    <definedName name="solver_rbv" localSheetId="0" hidden="1">1</definedName>
    <definedName name="solver_rel0" localSheetId="0" hidden="1">1</definedName>
    <definedName name="solver_rel1" localSheetId="0" hidden="1">1</definedName>
    <definedName name="solver_rel10" localSheetId="0" hidden="1">5</definedName>
    <definedName name="solver_rel11" localSheetId="0" hidden="1">5</definedName>
    <definedName name="solver_rel12" localSheetId="0" hidden="1">5</definedName>
    <definedName name="solver_rel2" localSheetId="0" hidden="1">5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5</definedName>
    <definedName name="solver_rel7" localSheetId="0" hidden="1">5</definedName>
    <definedName name="solver_rel8" localSheetId="0" hidden="1">5</definedName>
    <definedName name="solver_rel9" localSheetId="0" hidden="1">5</definedName>
    <definedName name="solver_rhs0" localSheetId="0" hidden="1">'Fuel Allocation'!$P$26:$P$28</definedName>
    <definedName name="solver_rhs1" localSheetId="0" hidden="1">1</definedName>
    <definedName name="solver_rhs10" localSheetId="0" hidden="1">"binário"</definedName>
    <definedName name="solver_rhs11" localSheetId="0" hidden="1">"binário"</definedName>
    <definedName name="solver_rhs12" localSheetId="0" hidden="1">"binário"</definedName>
    <definedName name="solver_rhs2" localSheetId="0" hidden="1">"binário"</definedName>
    <definedName name="solver_rhs3" localSheetId="0" hidden="1">FuelShortage</definedName>
    <definedName name="solver_rhs4" localSheetId="0" hidden="1">MaxShortage</definedName>
    <definedName name="solver_rhs5" localSheetId="0" hidden="1">'Fuel Allocation'!$P$26:$P$28</definedName>
    <definedName name="solver_rhs6" localSheetId="0" hidden="1">"binário"</definedName>
    <definedName name="solver_rhs7" localSheetId="0" hidden="1">"binário"</definedName>
    <definedName name="solver_rhs8" localSheetId="0" hidden="1">"binário"</definedName>
    <definedName name="solver_rhs9" localSheetId="0" hidden="1">"binário"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ank1">'Fuel Allocation'!$D$22:$F$22</definedName>
    <definedName name="Tank2">'Fuel Allocation'!$D$23:$F$23</definedName>
    <definedName name="Tank3">'Fuel Allocation'!$D$24:$F$24</definedName>
    <definedName name="Tank4">'Fuel Allocation'!$D$25:$F$25</definedName>
    <definedName name="Tank5">'Fuel Allocation'!$D$26:$F$26</definedName>
    <definedName name="TankCapacities">'Fuel Allocation'!$I$5:$I$9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 a="1"/>
  <c r="N6" i="1" s="1"/>
  <c r="U16" i="1" a="1"/>
  <c r="U16" i="1" s="1"/>
  <c r="N18" i="1" l="1"/>
  <c r="N17" i="1"/>
  <c r="N16" i="1"/>
  <c r="F27" i="1"/>
  <c r="E27" i="1"/>
  <c r="D27" i="1"/>
  <c r="N26" i="1" a="1"/>
  <c r="N26" i="1" s="1"/>
  <c r="P16" i="1" a="1"/>
  <c r="P16" i="1" s="1"/>
  <c r="N24" i="1"/>
  <c r="Q24" i="1" s="1"/>
  <c r="N23" i="1"/>
  <c r="Q23" i="1" s="1"/>
  <c r="N22" i="1"/>
  <c r="Q22" i="1" s="1"/>
  <c r="N21" i="1"/>
  <c r="N20" i="1"/>
  <c r="N11" i="1" l="1"/>
  <c r="F8" i="1"/>
  <c r="D8" i="1"/>
  <c r="I10" i="1"/>
  <c r="P26" i="1" a="1"/>
  <c r="P26" i="1" s="1"/>
  <c r="Q26" i="1" s="1"/>
  <c r="Q21" i="1"/>
  <c r="Q20" i="1"/>
  <c r="Q18" i="1"/>
  <c r="Q17" i="1"/>
  <c r="Q16" i="1"/>
  <c r="I16" i="1"/>
  <c r="O11" i="1" l="1"/>
  <c r="P11" i="1"/>
  <c r="Q27" i="1"/>
  <c r="Q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<sst xmlns="http://schemas.openxmlformats.org/spreadsheetml/2006/main" count="57" uniqueCount="40">
  <si>
    <t>Design Variables</t>
  </si>
  <si>
    <t>x1=</t>
  </si>
  <si>
    <t>x2=</t>
  </si>
  <si>
    <t>x3=</t>
  </si>
  <si>
    <t>Fuel Type</t>
  </si>
  <si>
    <t>Objective Function</t>
  </si>
  <si>
    <t>f =</t>
  </si>
  <si>
    <t>Constraints</t>
  </si>
  <si>
    <t>Problem Data</t>
  </si>
  <si>
    <t>i</t>
  </si>
  <si>
    <t>Premium</t>
  </si>
  <si>
    <t>Super</t>
  </si>
  <si>
    <t>Regular</t>
  </si>
  <si>
    <t>Demand</t>
  </si>
  <si>
    <t>Shortage Cost</t>
  </si>
  <si>
    <t>Max Shortage Allowable</t>
  </si>
  <si>
    <t>j</t>
  </si>
  <si>
    <t>Tank Capacities</t>
  </si>
  <si>
    <t>V</t>
  </si>
  <si>
    <r>
      <t>Fuel Type (</t>
    </r>
    <r>
      <rPr>
        <b/>
        <i/>
        <sz val="11"/>
        <color theme="3"/>
        <rFont val="Aptos Narrow"/>
        <family val="2"/>
        <scheme val="minor"/>
      </rPr>
      <t>i</t>
    </r>
    <r>
      <rPr>
        <b/>
        <sz val="11"/>
        <color theme="3"/>
        <rFont val="Aptos Narrow"/>
        <family val="2"/>
        <scheme val="minor"/>
      </rPr>
      <t>)</t>
    </r>
  </si>
  <si>
    <r>
      <t># Tank (</t>
    </r>
    <r>
      <rPr>
        <b/>
        <i/>
        <sz val="11"/>
        <color theme="3"/>
        <rFont val="Aptos Narrow"/>
        <family val="2"/>
        <scheme val="minor"/>
      </rPr>
      <t>j</t>
    </r>
    <r>
      <rPr>
        <b/>
        <sz val="11"/>
        <color theme="3"/>
        <rFont val="Aptos Narrow"/>
        <family val="2"/>
        <scheme val="minor"/>
      </rPr>
      <t>)</t>
    </r>
  </si>
  <si>
    <t>g1 =</t>
  </si>
  <si>
    <t>≤</t>
  </si>
  <si>
    <t>g2 =</t>
  </si>
  <si>
    <t>g3 =</t>
  </si>
  <si>
    <t>g4 =</t>
  </si>
  <si>
    <t>g5 =</t>
  </si>
  <si>
    <t>g6 =</t>
  </si>
  <si>
    <t>g7 =</t>
  </si>
  <si>
    <t>g8 =</t>
  </si>
  <si>
    <t>Pass?</t>
  </si>
  <si>
    <t>Fuel data</t>
  </si>
  <si>
    <t>Total</t>
  </si>
  <si>
    <t># Fuel types for each tank</t>
  </si>
  <si>
    <t>Max shortage allowable</t>
  </si>
  <si>
    <t>g9 =</t>
  </si>
  <si>
    <t>g10 =</t>
  </si>
  <si>
    <t>g11 =</t>
  </si>
  <si>
    <r>
      <rPr>
        <b/>
        <sz val="11"/>
        <color theme="1"/>
        <rFont val="Aptos Narrow"/>
        <family val="2"/>
      </rPr>
      <t>∑</t>
    </r>
    <r>
      <rPr>
        <b/>
        <sz val="11"/>
        <color theme="1"/>
        <rFont val="Aptos Narrow"/>
        <family val="2"/>
        <scheme val="minor"/>
      </rPr>
      <t xml:space="preserve"> Tanks fuel </t>
    </r>
    <r>
      <rPr>
        <b/>
        <i/>
        <sz val="11"/>
        <color theme="1"/>
        <rFont val="Aptos Narrow"/>
        <family val="2"/>
        <scheme val="minor"/>
      </rPr>
      <t>i</t>
    </r>
    <r>
      <rPr>
        <b/>
        <sz val="11"/>
        <color theme="1"/>
        <rFont val="Aptos Narrow"/>
        <family val="2"/>
        <scheme val="minor"/>
      </rPr>
      <t xml:space="preserve"> is alloc.</t>
    </r>
  </si>
  <si>
    <t>Fuel Type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</si>
</sst>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  <font>
      <b/>
      <i/>
      <sz val="11"/>
      <color theme="3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25">
    <xf numFmtId="0" fontId="0" fillId="0" borderId="0" xfId="0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0" xfId="2" applyAlignment="1">
      <alignment vertical="center"/>
    </xf>
    <xf numFmtId="0" fontId="2" fillId="0" borderId="0" xfId="2" applyAlignment="1">
      <alignment horizontal="center" vertical="center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right" vertical="center"/>
    </xf>
    <xf numFmtId="0" fontId="2" fillId="0" borderId="3" xfId="2" applyBorder="1" applyAlignment="1">
      <alignment horizontal="right" vertical="center"/>
    </xf>
    <xf numFmtId="0" fontId="6" fillId="0" borderId="2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0" borderId="0" xfId="2" applyAlignment="1">
      <alignment horizontal="left" vertical="center"/>
    </xf>
    <xf numFmtId="0" fontId="3" fillId="0" borderId="1" xfId="3" applyAlignment="1">
      <alignment vertical="center"/>
    </xf>
    <xf numFmtId="0" fontId="3" fillId="0" borderId="1" xfId="3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3" fillId="0" borderId="1" xfId="3" applyAlignment="1">
      <alignment horizontal="left" vertical="center"/>
    </xf>
    <xf numFmtId="0" fontId="2" fillId="0" borderId="0" xfId="2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2" applyAlignment="1">
      <alignment horizontal="left" vertical="center"/>
    </xf>
  </cellXfs>
  <cellStyles count="4">
    <cellStyle name="Normal" xfId="0" builtinId="0"/>
    <cellStyle name="Título" xfId="1" builtinId="15"/>
    <cellStyle name="Título 4" xfId="2" builtinId="19"/>
    <cellStyle name="Total" xfId="3" builtinId="25"/>
  </cellStyles>
  <dxfs count="2">
    <dxf>
      <font>
        <color rgb="FFFF0000"/>
      </font>
    </dxf>
    <dxf>
      <font>
        <color rgb="FF00B050"/>
      </font>
    </dxf>
  </dxfs>
  <tableStyles count="0" defaultTableStyle="TableStyleMedium2" defaultPivotStyle="PivotStyleLight16"/>
  <colors>
    <mruColors>
      <color rgb="FFB8860B"/>
      <color rgb="FF32CD32"/>
      <color rgb="FFC0C0C0"/>
      <color rgb="FFFFD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Optmized Fuel Allocation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'Fuel Allocation'!$N$5</c:f>
              <c:strCache>
                <c:ptCount val="1"/>
                <c:pt idx="0">
                  <c:v>Premium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1">
                  <a:alpha val="0"/>
                </a:schemeClr>
              </a:solidFill>
            </a:ln>
            <a:effectLst/>
          </c:spPr>
          <c:invertIfNegative val="0"/>
          <c:dLbls>
            <c:numFmt formatCode="#;\-#.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'Fuel Allocation'!$N$6:$N$10</c:f>
              <c:numCache>
                <c:formatCode>General</c:formatCode>
                <c:ptCount val="5"/>
                <c:pt idx="0">
                  <c:v>0</c:v>
                </c:pt>
                <c:pt idx="1">
                  <c:v>2800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6B-4B82-B008-ACFEC679FC6D}"/>
            </c:ext>
          </c:extLst>
        </c:ser>
        <c:ser>
          <c:idx val="2"/>
          <c:order val="1"/>
          <c:tx>
            <c:strRef>
              <c:f>'Fuel Allocation'!$O$5</c:f>
              <c:strCache>
                <c:ptCount val="1"/>
                <c:pt idx="0">
                  <c:v>Super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;\-#.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'Fuel Allocation'!$O$6:$O$10</c:f>
              <c:numCache>
                <c:formatCode>General</c:formatCode>
                <c:ptCount val="5"/>
                <c:pt idx="0">
                  <c:v>2700</c:v>
                </c:pt>
                <c:pt idx="1">
                  <c:v>0</c:v>
                </c:pt>
                <c:pt idx="2">
                  <c:v>1100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6B-4B82-B008-ACFEC679FC6D}"/>
            </c:ext>
          </c:extLst>
        </c:ser>
        <c:ser>
          <c:idx val="3"/>
          <c:order val="2"/>
          <c:tx>
            <c:strRef>
              <c:f>'Fuel Allocation'!$P$5</c:f>
              <c:strCache>
                <c:ptCount val="1"/>
                <c:pt idx="0">
                  <c:v>Regular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;\-#.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'Fuel Allocation'!$P$6:$P$10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1650</c:v>
                </c:pt>
                <c:pt idx="4">
                  <c:v>3250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6B-4B82-B008-ACFEC679FC6D}"/>
            </c:ext>
          </c:extLst>
        </c:ser>
        <c:ser>
          <c:idx val="0"/>
          <c:order val="3"/>
          <c:tx>
            <c:strRef>
              <c:f>'Fuel Allocation'!$H$3</c:f>
              <c:strCache>
                <c:ptCount val="1"/>
                <c:pt idx="0">
                  <c:v>Tank Capacities</c:v>
                </c:pt>
              </c:strCache>
            </c:strRef>
          </c:tx>
          <c:spPr>
            <a:noFill/>
            <a:ln w="19050"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val>
            <c:numRef>
              <c:f>'Fuel Allocation'!$I$5:$I$9</c:f>
              <c:numCache>
                <c:formatCode>General</c:formatCode>
                <c:ptCount val="5"/>
                <c:pt idx="0">
                  <c:v>2700</c:v>
                </c:pt>
                <c:pt idx="1">
                  <c:v>2800</c:v>
                </c:pt>
                <c:pt idx="2">
                  <c:v>1100</c:v>
                </c:pt>
                <c:pt idx="3">
                  <c:v>1800</c:v>
                </c:pt>
                <c:pt idx="4">
                  <c:v>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6B-4B82-B008-ACFEC679FC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617325807"/>
        <c:axId val="1617321967"/>
      </c:barChart>
      <c:catAx>
        <c:axId val="161732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# Tank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7321967"/>
        <c:crosses val="autoZero"/>
        <c:auto val="1"/>
        <c:lblAlgn val="ctr"/>
        <c:lblOffset val="100"/>
        <c:noMultiLvlLbl val="0"/>
      </c:catAx>
      <c:valAx>
        <c:axId val="1617321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Gal.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1732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371475</xdr:colOff>
      <xdr:row>0</xdr:row>
      <xdr:rowOff>147636</xdr:rowOff>
    </xdr:from>
    <xdr:to>
      <xdr:col>23</xdr:col>
      <xdr:colOff>476250</xdr:colOff>
      <xdr:row>11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974DD7C-223C-136A-04AE-CAC01CB42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CECC-746A-4D5A-A552-5E33982E0536}">
  <dimension ref="A2:X28"/>
  <sheetViews>
    <sheetView showGridLines="0" tabSelected="1" workbookViewId="0">
      <selection activeCell="K4" sqref="K4"/>
    </sheetView>
  </sheetViews>
  <sheetFormatPr defaultColWidth="9.7109375" defaultRowHeight="15.75" x14ac:dyDescent="0.25"/>
  <cols>
    <col min="1" max="2" width="9.7109375" style="6"/>
    <col min="3" max="3" width="9.7109375" style="1"/>
    <col min="4" max="11" width="9.7109375" style="6"/>
    <col min="12" max="12" width="9.7109375" style="6" customWidth="1"/>
    <col min="13" max="16" width="9.7109375" style="6"/>
    <col min="17" max="17" width="9.7109375" style="6" customWidth="1"/>
    <col min="18" max="16384" width="9.7109375" style="6"/>
  </cols>
  <sheetData>
    <row r="2" spans="1:24" ht="24" x14ac:dyDescent="0.25">
      <c r="B2" s="23" t="s">
        <v>8</v>
      </c>
      <c r="C2" s="23"/>
      <c r="D2" s="23"/>
      <c r="E2" s="23"/>
      <c r="F2" s="23"/>
      <c r="G2" s="23"/>
      <c r="H2" s="23"/>
      <c r="I2" s="23"/>
    </row>
    <row r="3" spans="1:24" x14ac:dyDescent="0.25">
      <c r="B3" s="24" t="s">
        <v>31</v>
      </c>
      <c r="C3" s="24"/>
      <c r="H3" s="7" t="s">
        <v>17</v>
      </c>
      <c r="I3" s="7"/>
      <c r="M3" s="7"/>
    </row>
    <row r="4" spans="1:24" ht="45" x14ac:dyDescent="0.25">
      <c r="B4" s="13" t="s">
        <v>9</v>
      </c>
      <c r="C4" s="9" t="s">
        <v>4</v>
      </c>
      <c r="D4" s="9" t="s">
        <v>13</v>
      </c>
      <c r="E4" s="9" t="s">
        <v>14</v>
      </c>
      <c r="F4" s="9" t="s">
        <v>15</v>
      </c>
      <c r="G4" s="5"/>
      <c r="H4" s="14" t="s">
        <v>16</v>
      </c>
      <c r="I4" s="10" t="s">
        <v>18</v>
      </c>
      <c r="N4" s="24" t="s">
        <v>39</v>
      </c>
      <c r="O4" s="24"/>
      <c r="P4" s="24"/>
    </row>
    <row r="5" spans="1:24" x14ac:dyDescent="0.25">
      <c r="B5" s="2">
        <v>1</v>
      </c>
      <c r="C5" s="2" t="s">
        <v>10</v>
      </c>
      <c r="D5" s="2">
        <v>2900</v>
      </c>
      <c r="E5" s="2">
        <v>10</v>
      </c>
      <c r="F5" s="2">
        <v>750</v>
      </c>
      <c r="H5" s="2">
        <v>1</v>
      </c>
      <c r="I5" s="2">
        <v>2700</v>
      </c>
      <c r="N5" s="10" t="s">
        <v>10</v>
      </c>
      <c r="O5" s="10" t="s">
        <v>11</v>
      </c>
      <c r="P5" s="10" t="s">
        <v>12</v>
      </c>
    </row>
    <row r="6" spans="1:24" x14ac:dyDescent="0.25">
      <c r="B6" s="2">
        <v>2</v>
      </c>
      <c r="C6" s="2" t="s">
        <v>11</v>
      </c>
      <c r="D6" s="2">
        <v>4000</v>
      </c>
      <c r="E6" s="2">
        <v>8</v>
      </c>
      <c r="F6" s="2">
        <v>500</v>
      </c>
      <c r="H6" s="2">
        <v>2</v>
      </c>
      <c r="I6" s="2">
        <v>2800</v>
      </c>
      <c r="L6" s="22" t="s">
        <v>20</v>
      </c>
      <c r="M6" s="12">
        <v>1</v>
      </c>
      <c r="N6" s="2" cm="1">
        <f t="array" ref="N6:P10">FuelAllocation*TankCapacities+IF(TRANSPOSE(Lack)&lt;0,TRANSPOSE(Lack)/QtdTanksFuelIsAllocated,0)*FuelAllocation</f>
        <v>0</v>
      </c>
      <c r="O6" s="2">
        <v>2700</v>
      </c>
      <c r="P6" s="2">
        <v>0</v>
      </c>
    </row>
    <row r="7" spans="1:24" x14ac:dyDescent="0.25">
      <c r="B7" s="2">
        <v>3</v>
      </c>
      <c r="C7" s="2" t="s">
        <v>12</v>
      </c>
      <c r="D7" s="2">
        <v>4900</v>
      </c>
      <c r="E7" s="2">
        <v>6</v>
      </c>
      <c r="F7" s="2">
        <v>900</v>
      </c>
      <c r="H7" s="2">
        <v>3</v>
      </c>
      <c r="I7" s="2">
        <v>1100</v>
      </c>
      <c r="L7" s="22"/>
      <c r="M7" s="12">
        <v>2</v>
      </c>
      <c r="N7" s="2">
        <v>2800</v>
      </c>
      <c r="O7" s="2">
        <v>0</v>
      </c>
      <c r="P7" s="2">
        <v>0</v>
      </c>
    </row>
    <row r="8" spans="1:24" ht="16.5" thickBot="1" x14ac:dyDescent="0.3">
      <c r="B8" s="18"/>
      <c r="C8" s="18" t="s">
        <v>32</v>
      </c>
      <c r="D8" s="18">
        <f>SUM(FuelDemand)</f>
        <v>11800</v>
      </c>
      <c r="E8" s="18"/>
      <c r="F8" s="18">
        <f>SUM(MaxShortage)</f>
        <v>2150</v>
      </c>
      <c r="H8" s="2">
        <v>4</v>
      </c>
      <c r="I8" s="2">
        <v>1800</v>
      </c>
      <c r="L8" s="22"/>
      <c r="M8" s="12">
        <v>3</v>
      </c>
      <c r="N8" s="2">
        <v>0</v>
      </c>
      <c r="O8" s="2">
        <v>1100</v>
      </c>
      <c r="P8" s="2">
        <v>0</v>
      </c>
    </row>
    <row r="9" spans="1:24" ht="16.5" thickTop="1" x14ac:dyDescent="0.25">
      <c r="H9" s="2">
        <v>5</v>
      </c>
      <c r="I9" s="2">
        <v>3400</v>
      </c>
      <c r="L9" s="22"/>
      <c r="M9" s="12">
        <v>4</v>
      </c>
      <c r="N9" s="2">
        <v>0</v>
      </c>
      <c r="O9" s="2">
        <v>0</v>
      </c>
      <c r="P9" s="2">
        <v>1650</v>
      </c>
    </row>
    <row r="10" spans="1:24" ht="16.5" thickBot="1" x14ac:dyDescent="0.3">
      <c r="H10" s="18" t="s">
        <v>32</v>
      </c>
      <c r="I10" s="18">
        <f>SUM(I5:I9)</f>
        <v>11800</v>
      </c>
      <c r="L10" s="22"/>
      <c r="M10" s="12">
        <v>5</v>
      </c>
      <c r="N10" s="2">
        <v>0</v>
      </c>
      <c r="O10" s="2">
        <v>0</v>
      </c>
      <c r="P10" s="2">
        <v>3250</v>
      </c>
    </row>
    <row r="11" spans="1:24" ht="17.25" thickTop="1" thickBot="1" x14ac:dyDescent="0.3">
      <c r="M11" s="18" t="s">
        <v>32</v>
      </c>
      <c r="N11" s="18">
        <f>SUM(N6:N10)</f>
        <v>2800</v>
      </c>
      <c r="O11" s="18">
        <f t="shared" ref="O11:P11" si="0">SUM(O6:O10)</f>
        <v>3800</v>
      </c>
      <c r="P11" s="18">
        <f t="shared" si="0"/>
        <v>4900</v>
      </c>
    </row>
    <row r="12" spans="1:24" ht="17.25" thickTop="1" thickBot="1" x14ac:dyDescent="0.3">
      <c r="A12" s="19"/>
      <c r="B12" s="19"/>
      <c r="C12" s="20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spans="1:24" ht="16.5" thickTop="1" x14ac:dyDescent="0.25"/>
    <row r="14" spans="1:24" ht="24" x14ac:dyDescent="0.25">
      <c r="B14" s="23" t="s">
        <v>0</v>
      </c>
      <c r="C14" s="23"/>
      <c r="D14" s="23"/>
      <c r="E14" s="23"/>
      <c r="F14" s="23"/>
      <c r="H14" s="23" t="s">
        <v>5</v>
      </c>
      <c r="I14" s="23"/>
      <c r="J14" s="23"/>
      <c r="K14" s="15"/>
      <c r="L14" s="23" t="s">
        <v>7</v>
      </c>
      <c r="M14" s="23"/>
      <c r="N14" s="23"/>
      <c r="O14" s="23"/>
      <c r="P14" s="23"/>
      <c r="Q14" s="23"/>
    </row>
    <row r="15" spans="1:24" x14ac:dyDescent="0.25">
      <c r="M15" s="7" t="s">
        <v>17</v>
      </c>
      <c r="Q15" s="8" t="s">
        <v>30</v>
      </c>
    </row>
    <row r="16" spans="1:24" x14ac:dyDescent="0.25">
      <c r="C16" s="11" t="s">
        <v>1</v>
      </c>
      <c r="D16" s="6">
        <v>100.00000000000044</v>
      </c>
      <c r="H16" s="11" t="s">
        <v>6</v>
      </c>
      <c r="I16" s="3">
        <f>SUMPRODUCT(FuelShortage,ShortageCosts)</f>
        <v>2600.0000000000009</v>
      </c>
      <c r="M16" s="11" t="s">
        <v>21</v>
      </c>
      <c r="N16" s="2">
        <f>DemandFuel1-SUMPRODUCT(TankCapacities,AllocationFuel1)</f>
        <v>100</v>
      </c>
      <c r="O16" s="2" t="s">
        <v>22</v>
      </c>
      <c r="P16" s="2" cm="1">
        <f t="array" ref="P16:P18">FuelShortage</f>
        <v>100.00000000000044</v>
      </c>
      <c r="Q16" s="4" t="str">
        <f>IF(N16&lt;=P16,"✔","✘")</f>
        <v>✔</v>
      </c>
      <c r="U16" s="6" cm="1">
        <f t="array" ref="U16:W20">FuelAllocation*TankCapacities+IF(TRANSPOSE(Lack)&lt;0,TRANSPOSE(Lack)/QtdTanksFuelIsAllocated,0)*FuelAllocation</f>
        <v>0</v>
      </c>
      <c r="V16" s="6">
        <v>2700</v>
      </c>
      <c r="W16" s="6">
        <v>0</v>
      </c>
    </row>
    <row r="17" spans="2:23" x14ac:dyDescent="0.25">
      <c r="C17" s="11" t="s">
        <v>2</v>
      </c>
      <c r="D17" s="6">
        <v>199.99999999999955</v>
      </c>
      <c r="M17" s="11" t="s">
        <v>23</v>
      </c>
      <c r="N17" s="2">
        <f>DemandFuel2-SUMPRODUCT(TankCapacities,AllocationFuel2)</f>
        <v>200</v>
      </c>
      <c r="O17" s="2" t="s">
        <v>22</v>
      </c>
      <c r="P17" s="2">
        <v>199.99999999999955</v>
      </c>
      <c r="Q17" s="4" t="str">
        <f t="shared" ref="Q17:Q18" si="1">IF(N17&lt;=P17,"✔","✘")</f>
        <v>✔</v>
      </c>
      <c r="U17" s="6">
        <v>2800</v>
      </c>
      <c r="V17" s="6">
        <v>0</v>
      </c>
      <c r="W17" s="6">
        <v>0</v>
      </c>
    </row>
    <row r="18" spans="2:23" x14ac:dyDescent="0.25">
      <c r="C18" s="11" t="s">
        <v>3</v>
      </c>
      <c r="D18" s="6">
        <v>0</v>
      </c>
      <c r="M18" s="11" t="s">
        <v>24</v>
      </c>
      <c r="N18" s="2">
        <f>DemandFuel3-SUMPRODUCT(TankCapacities,AllocationFuel3)</f>
        <v>-300</v>
      </c>
      <c r="O18" s="2" t="s">
        <v>22</v>
      </c>
      <c r="P18" s="2">
        <v>0</v>
      </c>
      <c r="Q18" s="4" t="str">
        <f t="shared" si="1"/>
        <v>✔</v>
      </c>
      <c r="U18" s="6">
        <v>0</v>
      </c>
      <c r="V18" s="6">
        <v>1100</v>
      </c>
      <c r="W18" s="6">
        <v>0</v>
      </c>
    </row>
    <row r="19" spans="2:23" x14ac:dyDescent="0.25">
      <c r="M19" s="7" t="s">
        <v>33</v>
      </c>
      <c r="U19" s="6">
        <v>0</v>
      </c>
      <c r="V19" s="6">
        <v>0</v>
      </c>
      <c r="W19" s="6">
        <v>1650</v>
      </c>
    </row>
    <row r="20" spans="2:23" x14ac:dyDescent="0.25">
      <c r="D20" s="22" t="s">
        <v>19</v>
      </c>
      <c r="E20" s="22"/>
      <c r="F20" s="22"/>
      <c r="M20" s="11" t="s">
        <v>25</v>
      </c>
      <c r="N20" s="2">
        <f>SUM(Tank1)</f>
        <v>1</v>
      </c>
      <c r="O20" s="2" t="s">
        <v>22</v>
      </c>
      <c r="P20" s="2">
        <v>1</v>
      </c>
      <c r="Q20" s="4" t="str">
        <f>IF(N20&lt;=P20,"✔","✘")</f>
        <v>✔</v>
      </c>
      <c r="U20" s="6">
        <v>0</v>
      </c>
      <c r="V20" s="6">
        <v>0</v>
      </c>
      <c r="W20" s="6">
        <v>3250</v>
      </c>
    </row>
    <row r="21" spans="2:23" x14ac:dyDescent="0.25">
      <c r="D21" s="10">
        <v>1</v>
      </c>
      <c r="E21" s="10">
        <v>2</v>
      </c>
      <c r="F21" s="10">
        <v>3</v>
      </c>
      <c r="G21" s="3"/>
      <c r="M21" s="11" t="s">
        <v>26</v>
      </c>
      <c r="N21" s="2">
        <f>SUM(Tank2)</f>
        <v>1</v>
      </c>
      <c r="O21" s="2" t="s">
        <v>22</v>
      </c>
      <c r="P21" s="2">
        <v>1</v>
      </c>
      <c r="Q21" s="4" t="str">
        <f>IF(N21&lt;=P21,"✔","✘")</f>
        <v>✔</v>
      </c>
    </row>
    <row r="22" spans="2:23" x14ac:dyDescent="0.25">
      <c r="B22" s="22" t="s">
        <v>20</v>
      </c>
      <c r="C22" s="12">
        <v>1</v>
      </c>
      <c r="D22" s="2">
        <v>0</v>
      </c>
      <c r="E22" s="2">
        <v>1</v>
      </c>
      <c r="F22" s="2">
        <v>0</v>
      </c>
      <c r="G22" s="2"/>
      <c r="M22" s="11" t="s">
        <v>27</v>
      </c>
      <c r="N22" s="2">
        <f>SUM(Tank3)</f>
        <v>1</v>
      </c>
      <c r="O22" s="2" t="s">
        <v>22</v>
      </c>
      <c r="P22" s="2">
        <v>1</v>
      </c>
      <c r="Q22" s="4" t="str">
        <f t="shared" ref="Q22:Q24" si="2">IF(N22&lt;=P22,"✔","✘")</f>
        <v>✔</v>
      </c>
    </row>
    <row r="23" spans="2:23" x14ac:dyDescent="0.25">
      <c r="B23" s="22"/>
      <c r="C23" s="12">
        <v>2</v>
      </c>
      <c r="D23" s="2">
        <v>1</v>
      </c>
      <c r="E23" s="2">
        <v>0</v>
      </c>
      <c r="F23" s="2">
        <v>0</v>
      </c>
      <c r="G23" s="2"/>
      <c r="M23" s="11" t="s">
        <v>28</v>
      </c>
      <c r="N23" s="2">
        <f>SUM(Tank4)</f>
        <v>1</v>
      </c>
      <c r="O23" s="2" t="s">
        <v>22</v>
      </c>
      <c r="P23" s="2">
        <v>1</v>
      </c>
      <c r="Q23" s="4" t="str">
        <f t="shared" si="2"/>
        <v>✔</v>
      </c>
    </row>
    <row r="24" spans="2:23" x14ac:dyDescent="0.25">
      <c r="B24" s="22"/>
      <c r="C24" s="12">
        <v>3</v>
      </c>
      <c r="D24" s="2">
        <v>0</v>
      </c>
      <c r="E24" s="2">
        <v>1</v>
      </c>
      <c r="F24" s="2">
        <v>0</v>
      </c>
      <c r="G24" s="2"/>
      <c r="M24" s="11" t="s">
        <v>29</v>
      </c>
      <c r="N24" s="2">
        <f>SUM(Tank5)</f>
        <v>1</v>
      </c>
      <c r="O24" s="2" t="s">
        <v>22</v>
      </c>
      <c r="P24" s="2">
        <v>1</v>
      </c>
      <c r="Q24" s="4" t="str">
        <f t="shared" si="2"/>
        <v>✔</v>
      </c>
    </row>
    <row r="25" spans="2:23" x14ac:dyDescent="0.25">
      <c r="B25" s="22"/>
      <c r="C25" s="12">
        <v>4</v>
      </c>
      <c r="D25" s="2">
        <v>0</v>
      </c>
      <c r="E25" s="2">
        <v>0</v>
      </c>
      <c r="F25" s="2">
        <v>1</v>
      </c>
      <c r="G25" s="2"/>
      <c r="M25" s="16" t="s">
        <v>34</v>
      </c>
    </row>
    <row r="26" spans="2:23" x14ac:dyDescent="0.25">
      <c r="B26" s="22"/>
      <c r="C26" s="12">
        <v>5</v>
      </c>
      <c r="D26" s="2">
        <v>0</v>
      </c>
      <c r="E26" s="2">
        <v>0</v>
      </c>
      <c r="F26" s="2">
        <v>1</v>
      </c>
      <c r="G26" s="2"/>
      <c r="M26" s="11" t="s">
        <v>35</v>
      </c>
      <c r="N26" s="2" cm="1">
        <f t="array" ref="N26:N28">FuelShortage</f>
        <v>100.00000000000044</v>
      </c>
      <c r="O26" s="2" t="s">
        <v>22</v>
      </c>
      <c r="P26" s="2" cm="1">
        <f t="array" ref="P26:P28">MaxShortage</f>
        <v>750</v>
      </c>
      <c r="Q26" s="4" t="str">
        <f>IF(N26&lt;=P26,"✔","✘")</f>
        <v>✔</v>
      </c>
    </row>
    <row r="27" spans="2:23" ht="16.5" thickBot="1" x14ac:dyDescent="0.3">
      <c r="B27" s="21" t="s">
        <v>38</v>
      </c>
      <c r="C27" s="17"/>
      <c r="D27" s="18">
        <f>SUM(AllocationFuel1)</f>
        <v>1</v>
      </c>
      <c r="E27" s="18">
        <f>SUM(AllocationFuel2)</f>
        <v>2</v>
      </c>
      <c r="F27" s="18">
        <f>SUM(AllocationFuel3)</f>
        <v>2</v>
      </c>
      <c r="M27" s="11" t="s">
        <v>36</v>
      </c>
      <c r="N27" s="2">
        <v>199.99999999999955</v>
      </c>
      <c r="O27" s="2" t="s">
        <v>22</v>
      </c>
      <c r="P27" s="2">
        <v>500</v>
      </c>
      <c r="Q27" s="4" t="str">
        <f>IF(N27&lt;=P27,"✔","✘")</f>
        <v>✔</v>
      </c>
    </row>
    <row r="28" spans="2:23" ht="16.5" thickTop="1" x14ac:dyDescent="0.25">
      <c r="M28" s="11" t="s">
        <v>37</v>
      </c>
      <c r="N28" s="2">
        <v>0</v>
      </c>
      <c r="O28" s="2" t="s">
        <v>22</v>
      </c>
      <c r="P28" s="2">
        <v>900</v>
      </c>
      <c r="Q28" s="4" t="str">
        <f>IF(N28&lt;=P28,"✔","✘")</f>
        <v>✔</v>
      </c>
    </row>
  </sheetData>
  <mergeCells count="9">
    <mergeCell ref="B3:C3"/>
    <mergeCell ref="B2:I2"/>
    <mergeCell ref="H14:J14"/>
    <mergeCell ref="D20:F20"/>
    <mergeCell ref="B22:B26"/>
    <mergeCell ref="B14:F14"/>
    <mergeCell ref="L14:Q14"/>
    <mergeCell ref="N4:P4"/>
    <mergeCell ref="L6:L10"/>
  </mergeCells>
  <conditionalFormatting sqref="Q16:Q18 Q20:Q24 Q26:Q28">
    <cfRule type="containsText" dxfId="1" priority="1" operator="containsText" text="✔">
      <formula>NOT(ISERROR(SEARCH("✔",Q16)))</formula>
    </cfRule>
    <cfRule type="containsText" dxfId="0" priority="2" operator="containsText" text="✘">
      <formula>NOT(ISERROR(SEARCH("✘",Q16)))</formula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21</vt:i4>
      </vt:variant>
    </vt:vector>
  </HeadingPairs>
  <TitlesOfParts>
    <vt:vector size="22" baseType="lpstr">
      <vt:lpstr>Fuel Allocation</vt:lpstr>
      <vt:lpstr>AllocationFuel1</vt:lpstr>
      <vt:lpstr>AllocationFuel2</vt:lpstr>
      <vt:lpstr>AllocationFuel3</vt:lpstr>
      <vt:lpstr>DemandFuel1</vt:lpstr>
      <vt:lpstr>DemandFuel2</vt:lpstr>
      <vt:lpstr>DemandFuel3</vt:lpstr>
      <vt:lpstr>FuelAllocation</vt:lpstr>
      <vt:lpstr>FuelDemand</vt:lpstr>
      <vt:lpstr>FuelShortage</vt:lpstr>
      <vt:lpstr>Lack</vt:lpstr>
      <vt:lpstr>MaxShortage</vt:lpstr>
      <vt:lpstr>QtdFuelPerTank</vt:lpstr>
      <vt:lpstr>QtdTanksFuelIsAllocated</vt:lpstr>
      <vt:lpstr>ShortageCost</vt:lpstr>
      <vt:lpstr>ShortageCosts</vt:lpstr>
      <vt:lpstr>Tank1</vt:lpstr>
      <vt:lpstr>Tank2</vt:lpstr>
      <vt:lpstr>Tank3</vt:lpstr>
      <vt:lpstr>Tank4</vt:lpstr>
      <vt:lpstr>Tank5</vt:lpstr>
      <vt:lpstr>TankCapacities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Eduardo Costa de Oliveira</dc:creator>
  <cp:lastModifiedBy>Caique Eduardo Costa de Oliveira</cp:lastModifiedBy>
  <dcterms:created xsi:type="dcterms:W3CDTF">2024-05-31T10:20:46Z</dcterms:created>
  <dcterms:modified xsi:type="dcterms:W3CDTF">2024-06-10T05:08:55Z</dcterms:modified>
</cp:coreProperties>
</file>