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188" documentId="8_{802069D7-E302-4FB7-9EB9-B5F56FF2AE59}" xr6:coauthVersionLast="47" xr6:coauthVersionMax="47" xr10:uidLastSave="{B03339FC-48C0-4258-B46B-9A1804AC1BF8}"/>
  <bookViews>
    <workbookView xWindow="28680" yWindow="-120" windowWidth="29040" windowHeight="15840" tabRatio="885" firstSheet="8" activeTab="8" xr2:uid="{77D1B6D5-EFB9-44AB-9D7B-1B2C48DFB2AC}"/>
  </bookViews>
  <sheets>
    <sheet name="excel_functions" sheetId="5" r:id="rId1"/>
    <sheet name="pareto" sheetId="6" r:id="rId2"/>
    <sheet name="SQL" sheetId="21" r:id="rId3"/>
    <sheet name="kappa_peanut" sheetId="2" r:id="rId4"/>
    <sheet name="chisquare" sheetId="7" r:id="rId5"/>
    <sheet name="handfoot_regression" sheetId="12" r:id="rId6"/>
    <sheet name="quiz2binomialProb" sheetId="13" r:id="rId7"/>
    <sheet name="baseball_AR_forecast" sheetId="14" r:id="rId8"/>
    <sheet name="x-bar &amp; R continuous" sheetId="15" r:id="rId9"/>
    <sheet name="HW5 XmR" sheetId="17" r:id="rId10"/>
    <sheet name="HW6 _time_series_football" sheetId="19" r:id="rId11"/>
    <sheet name="final_scrap" sheetId="22" r:id="rId12"/>
  </sheets>
  <definedNames>
    <definedName name="_xlnm._FilterDatabase" localSheetId="11" hidden="1">final_scrap!$I$1:$J$13</definedName>
    <definedName name="_xlnm.Print_Area" localSheetId="4">chisquare!$A$1:$F$51</definedName>
    <definedName name="_xlnm.Print_Area" localSheetId="5">handfoot_regression!$A$1:$Q$74</definedName>
    <definedName name="_xlnm.Print_Area" localSheetId="10">'HW6 _time_series_football'!$A$1:$M$57</definedName>
    <definedName name="_xlnm.Print_Area" localSheetId="3">kappa_peanut!$B$2:$F$11</definedName>
    <definedName name="_xlnm.Print_Area" localSheetId="8">'x-bar &amp; R continuous'!$A$1:$I$30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2" l="1"/>
  <c r="G1" i="22"/>
  <c r="H6" i="19"/>
  <c r="G6" i="19"/>
  <c r="H5" i="19"/>
  <c r="G5" i="19"/>
  <c r="E33" i="19"/>
  <c r="I33" i="19"/>
  <c r="D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H7" i="19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G7" i="19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N6" i="17"/>
  <c r="M6" i="17"/>
  <c r="J6" i="17"/>
  <c r="I6" i="17"/>
  <c r="F6" i="17"/>
  <c r="E6" i="17"/>
  <c r="N5" i="17"/>
  <c r="M5" i="17"/>
  <c r="L5" i="17"/>
  <c r="K5" i="17"/>
  <c r="J5" i="17"/>
  <c r="I5" i="17"/>
  <c r="H5" i="17"/>
  <c r="G5" i="17"/>
  <c r="F5" i="17"/>
  <c r="E5" i="17"/>
  <c r="Q4" i="17" s="1"/>
  <c r="D5" i="17"/>
  <c r="Q3" i="17"/>
  <c r="L6" i="17" s="1"/>
  <c r="M26" i="15"/>
  <c r="G26" i="15"/>
  <c r="M25" i="15"/>
  <c r="G25" i="15"/>
  <c r="M24" i="15"/>
  <c r="G24" i="15"/>
  <c r="M23" i="15"/>
  <c r="G23" i="15"/>
  <c r="M22" i="15"/>
  <c r="G22" i="15"/>
  <c r="M21" i="15"/>
  <c r="G21" i="15"/>
  <c r="M20" i="15"/>
  <c r="G20" i="15"/>
  <c r="M19" i="15"/>
  <c r="G19" i="15"/>
  <c r="M18" i="15"/>
  <c r="G18" i="15"/>
  <c r="M17" i="15"/>
  <c r="G17" i="15"/>
  <c r="M16" i="15"/>
  <c r="G16" i="15"/>
  <c r="M15" i="15"/>
  <c r="G15" i="15"/>
  <c r="M14" i="15"/>
  <c r="G14" i="15"/>
  <c r="M13" i="15"/>
  <c r="G13" i="15"/>
  <c r="M12" i="15"/>
  <c r="G12" i="15"/>
  <c r="M11" i="15"/>
  <c r="G11" i="15"/>
  <c r="M10" i="15"/>
  <c r="G10" i="15"/>
  <c r="M9" i="15"/>
  <c r="G9" i="15"/>
  <c r="M8" i="15"/>
  <c r="G8" i="15"/>
  <c r="G27" i="15" s="1"/>
  <c r="M7" i="15"/>
  <c r="M27" i="15" s="1"/>
  <c r="G7" i="15"/>
  <c r="B125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B18" i="13"/>
  <c r="M8" i="13"/>
  <c r="I8" i="13"/>
  <c r="E8" i="13"/>
  <c r="P7" i="13"/>
  <c r="P8" i="13" s="1"/>
  <c r="O7" i="13"/>
  <c r="O8" i="13" s="1"/>
  <c r="N7" i="13"/>
  <c r="N8" i="13" s="1"/>
  <c r="M7" i="13"/>
  <c r="L7" i="13"/>
  <c r="L8" i="13" s="1"/>
  <c r="K7" i="13"/>
  <c r="K8" i="13" s="1"/>
  <c r="J7" i="13"/>
  <c r="J8" i="13" s="1"/>
  <c r="I7" i="13"/>
  <c r="H7" i="13"/>
  <c r="H8" i="13" s="1"/>
  <c r="G7" i="13"/>
  <c r="G8" i="13" s="1"/>
  <c r="F7" i="13"/>
  <c r="F8" i="13" s="1"/>
  <c r="E7" i="13"/>
  <c r="D7" i="13"/>
  <c r="D8" i="13" s="1"/>
  <c r="C7" i="13"/>
  <c r="C8" i="13" s="1"/>
  <c r="B7" i="13"/>
  <c r="B8" i="13" s="1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P2" i="13"/>
  <c r="P4" i="13" s="1"/>
  <c r="P5" i="13" s="1"/>
  <c r="P9" i="13" s="1"/>
  <c r="O2" i="13"/>
  <c r="O4" i="13" s="1"/>
  <c r="O5" i="13" s="1"/>
  <c r="O9" i="13" s="1"/>
  <c r="N2" i="13"/>
  <c r="N4" i="13" s="1"/>
  <c r="N5" i="13" s="1"/>
  <c r="N9" i="13" s="1"/>
  <c r="M2" i="13"/>
  <c r="M4" i="13" s="1"/>
  <c r="M5" i="13" s="1"/>
  <c r="M9" i="13" s="1"/>
  <c r="L2" i="13"/>
  <c r="L4" i="13" s="1"/>
  <c r="L5" i="13" s="1"/>
  <c r="L9" i="13" s="1"/>
  <c r="K2" i="13"/>
  <c r="K4" i="13" s="1"/>
  <c r="K5" i="13" s="1"/>
  <c r="K9" i="13" s="1"/>
  <c r="J2" i="13"/>
  <c r="J4" i="13" s="1"/>
  <c r="J5" i="13" s="1"/>
  <c r="J9" i="13" s="1"/>
  <c r="I2" i="13"/>
  <c r="I4" i="13" s="1"/>
  <c r="I5" i="13" s="1"/>
  <c r="I9" i="13" s="1"/>
  <c r="H2" i="13"/>
  <c r="H4" i="13" s="1"/>
  <c r="H5" i="13" s="1"/>
  <c r="H9" i="13" s="1"/>
  <c r="G2" i="13"/>
  <c r="G4" i="13" s="1"/>
  <c r="G5" i="13" s="1"/>
  <c r="G9" i="13" s="1"/>
  <c r="F2" i="13"/>
  <c r="F4" i="13" s="1"/>
  <c r="F5" i="13" s="1"/>
  <c r="F9" i="13" s="1"/>
  <c r="E2" i="13"/>
  <c r="E4" i="13" s="1"/>
  <c r="E5" i="13" s="1"/>
  <c r="E9" i="13" s="1"/>
  <c r="D2" i="13"/>
  <c r="D4" i="13" s="1"/>
  <c r="D5" i="13" s="1"/>
  <c r="D9" i="13" s="1"/>
  <c r="C2" i="13"/>
  <c r="C4" i="13" s="1"/>
  <c r="C5" i="13" s="1"/>
  <c r="C9" i="13" s="1"/>
  <c r="B2" i="13"/>
  <c r="B4" i="13" s="1"/>
  <c r="B5" i="13" s="1"/>
  <c r="B9" i="13" s="1"/>
  <c r="C44" i="12"/>
  <c r="B44" i="12"/>
  <c r="C43" i="12"/>
  <c r="B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E43" i="12" s="1"/>
  <c r="D12" i="12"/>
  <c r="E11" i="12"/>
  <c r="D11" i="12"/>
  <c r="D43" i="12" s="1"/>
  <c r="C52" i="12" s="1"/>
  <c r="C58" i="12" s="1"/>
  <c r="F14" i="7"/>
  <c r="F15" i="7"/>
  <c r="F16" i="7"/>
  <c r="B17" i="7"/>
  <c r="H26" i="7" s="1"/>
  <c r="C17" i="7"/>
  <c r="D17" i="7"/>
  <c r="E17" i="7"/>
  <c r="F17" i="7"/>
  <c r="C24" i="7" s="1"/>
  <c r="B23" i="7"/>
  <c r="B24" i="7"/>
  <c r="I24" i="7"/>
  <c r="B25" i="7"/>
  <c r="C25" i="7"/>
  <c r="D25" i="7" s="1"/>
  <c r="J25" i="7"/>
  <c r="B26" i="7"/>
  <c r="K26" i="7"/>
  <c r="B27" i="7"/>
  <c r="B28" i="7"/>
  <c r="B29" i="7"/>
  <c r="B30" i="7"/>
  <c r="D30" i="7" s="1"/>
  <c r="C30" i="7"/>
  <c r="B31" i="7"/>
  <c r="B32" i="7"/>
  <c r="B33" i="7"/>
  <c r="B34" i="7"/>
  <c r="D34" i="7" s="1"/>
  <c r="C34" i="7"/>
  <c r="C3" i="6"/>
  <c r="C4" i="6"/>
  <c r="C5" i="6" s="1"/>
  <c r="B9" i="6"/>
  <c r="D4" i="6" s="1"/>
  <c r="B12" i="5"/>
  <c r="B21" i="5"/>
  <c r="B30" i="5"/>
  <c r="B36" i="5"/>
  <c r="B44" i="5"/>
  <c r="B47" i="5"/>
  <c r="B53" i="5"/>
  <c r="B65" i="5"/>
  <c r="B66" i="5"/>
  <c r="B72" i="5"/>
  <c r="B79" i="5"/>
  <c r="N28" i="2"/>
  <c r="N32" i="2" s="1"/>
  <c r="M28" i="2"/>
  <c r="M32" i="2" s="1"/>
  <c r="N27" i="2"/>
  <c r="N31" i="2" s="1"/>
  <c r="M27" i="2"/>
  <c r="M31" i="2" s="1"/>
  <c r="N26" i="2"/>
  <c r="M26" i="2"/>
  <c r="O29" i="2"/>
  <c r="O33" i="2" s="1"/>
  <c r="M38" i="2" s="1"/>
  <c r="I39" i="2"/>
  <c r="H38" i="2"/>
  <c r="I28" i="2"/>
  <c r="H28" i="2"/>
  <c r="I27" i="2"/>
  <c r="I31" i="2" s="1"/>
  <c r="H27" i="2"/>
  <c r="H31" i="2" s="1"/>
  <c r="I26" i="2"/>
  <c r="H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L9" i="17" l="1"/>
  <c r="H9" i="17"/>
  <c r="D9" i="17"/>
  <c r="N9" i="17"/>
  <c r="J9" i="17"/>
  <c r="F9" i="17"/>
  <c r="M9" i="17"/>
  <c r="I9" i="17"/>
  <c r="W3" i="17"/>
  <c r="K9" i="17"/>
  <c r="G9" i="17"/>
  <c r="C9" i="17"/>
  <c r="E9" i="17"/>
  <c r="T4" i="17"/>
  <c r="C6" i="17"/>
  <c r="G6" i="17"/>
  <c r="K6" i="17"/>
  <c r="T3" i="17"/>
  <c r="D6" i="17"/>
  <c r="H6" i="17"/>
  <c r="N30" i="15"/>
  <c r="N26" i="15"/>
  <c r="N24" i="15"/>
  <c r="N22" i="15"/>
  <c r="N20" i="15"/>
  <c r="N18" i="15"/>
  <c r="N16" i="15"/>
  <c r="N14" i="15"/>
  <c r="N12" i="15"/>
  <c r="N10" i="15"/>
  <c r="N8" i="15"/>
  <c r="N29" i="15"/>
  <c r="N25" i="15"/>
  <c r="N23" i="15"/>
  <c r="N21" i="15"/>
  <c r="N19" i="15"/>
  <c r="N17" i="15"/>
  <c r="N15" i="15"/>
  <c r="N13" i="15"/>
  <c r="N11" i="15"/>
  <c r="N9" i="15"/>
  <c r="N7" i="15"/>
  <c r="H30" i="15"/>
  <c r="H7" i="15"/>
  <c r="H29" i="15"/>
  <c r="D24" i="7"/>
  <c r="D33" i="7"/>
  <c r="C31" i="7"/>
  <c r="D31" i="7" s="1"/>
  <c r="J26" i="7"/>
  <c r="C26" i="7"/>
  <c r="D26" i="7" s="1"/>
  <c r="I25" i="7"/>
  <c r="H24" i="7"/>
  <c r="H28" i="7" s="1"/>
  <c r="C32" i="7"/>
  <c r="D32" i="7" s="1"/>
  <c r="C27" i="7"/>
  <c r="D27" i="7" s="1"/>
  <c r="I26" i="7"/>
  <c r="H25" i="7"/>
  <c r="K24" i="7"/>
  <c r="C23" i="7"/>
  <c r="D23" i="7" s="1"/>
  <c r="D35" i="7" s="1"/>
  <c r="B45" i="7" s="1"/>
  <c r="B46" i="7" s="1"/>
  <c r="C33" i="7"/>
  <c r="C29" i="7"/>
  <c r="D29" i="7" s="1"/>
  <c r="C28" i="7"/>
  <c r="D28" i="7" s="1"/>
  <c r="K25" i="7"/>
  <c r="J24" i="7"/>
  <c r="D3" i="6"/>
  <c r="D5" i="6"/>
  <c r="C6" i="6"/>
  <c r="N39" i="2"/>
  <c r="N40" i="2" s="1"/>
  <c r="I40" i="2"/>
  <c r="H32" i="2"/>
  <c r="I32" i="2"/>
  <c r="J29" i="2"/>
  <c r="J33" i="2" s="1"/>
  <c r="L7" i="17" l="1"/>
  <c r="H7" i="17"/>
  <c r="D7" i="17"/>
  <c r="N7" i="17"/>
  <c r="F7" i="17"/>
  <c r="M7" i="17"/>
  <c r="E7" i="17"/>
  <c r="K7" i="17"/>
  <c r="G7" i="17"/>
  <c r="C7" i="17"/>
  <c r="J7" i="17"/>
  <c r="I7" i="17"/>
  <c r="L8" i="17"/>
  <c r="H8" i="17"/>
  <c r="D8" i="17"/>
  <c r="N8" i="17"/>
  <c r="F8" i="17"/>
  <c r="M8" i="17"/>
  <c r="I8" i="17"/>
  <c r="E8" i="17"/>
  <c r="K8" i="17"/>
  <c r="G8" i="17"/>
  <c r="C8" i="17"/>
  <c r="J8" i="17"/>
  <c r="L10" i="17"/>
  <c r="H10" i="17"/>
  <c r="D10" i="17"/>
  <c r="J10" i="17"/>
  <c r="F10" i="17"/>
  <c r="I10" i="17"/>
  <c r="E10" i="17"/>
  <c r="K10" i="17"/>
  <c r="G10" i="17"/>
  <c r="C10" i="17"/>
  <c r="N10" i="17"/>
  <c r="M10" i="17"/>
  <c r="O25" i="15"/>
  <c r="O23" i="15"/>
  <c r="O21" i="15"/>
  <c r="O19" i="15"/>
  <c r="O17" i="15"/>
  <c r="O15" i="15"/>
  <c r="O13" i="15"/>
  <c r="O11" i="15"/>
  <c r="O9" i="15"/>
  <c r="O7" i="15"/>
  <c r="O8" i="15"/>
  <c r="O26" i="15"/>
  <c r="O24" i="15"/>
  <c r="O22" i="15"/>
  <c r="O20" i="15"/>
  <c r="O18" i="15"/>
  <c r="O16" i="15"/>
  <c r="O14" i="15"/>
  <c r="O12" i="15"/>
  <c r="O10" i="15"/>
  <c r="I25" i="15"/>
  <c r="I23" i="15"/>
  <c r="I21" i="15"/>
  <c r="I19" i="15"/>
  <c r="I17" i="15"/>
  <c r="I15" i="15"/>
  <c r="I13" i="15"/>
  <c r="I11" i="15"/>
  <c r="I9" i="15"/>
  <c r="I7" i="15"/>
  <c r="I26" i="15"/>
  <c r="I24" i="15"/>
  <c r="I22" i="15"/>
  <c r="I20" i="15"/>
  <c r="I18" i="15"/>
  <c r="I16" i="15"/>
  <c r="I14" i="15"/>
  <c r="I12" i="15"/>
  <c r="I10" i="15"/>
  <c r="I8" i="15"/>
  <c r="P25" i="15"/>
  <c r="P23" i="15"/>
  <c r="P21" i="15"/>
  <c r="P19" i="15"/>
  <c r="P17" i="15"/>
  <c r="P15" i="15"/>
  <c r="P13" i="15"/>
  <c r="P11" i="15"/>
  <c r="P9" i="15"/>
  <c r="P7" i="15"/>
  <c r="P26" i="15"/>
  <c r="P24" i="15"/>
  <c r="P22" i="15"/>
  <c r="P20" i="15"/>
  <c r="P18" i="15"/>
  <c r="P16" i="15"/>
  <c r="P14" i="15"/>
  <c r="P12" i="15"/>
  <c r="P10" i="15"/>
  <c r="P8" i="15"/>
  <c r="C7" i="6"/>
  <c r="D6" i="6"/>
  <c r="D7" i="6" l="1"/>
  <c r="C8" i="6"/>
  <c r="D8" i="6" s="1"/>
</calcChain>
</file>

<file path=xl/sharedStrings.xml><?xml version="1.0" encoding="utf-8"?>
<sst xmlns="http://schemas.openxmlformats.org/spreadsheetml/2006/main" count="571" uniqueCount="373">
  <si>
    <t>Statistical Excel Functions:</t>
  </si>
  <si>
    <t>Functions</t>
  </si>
  <si>
    <t>Mean</t>
  </si>
  <si>
    <t>=AVERAGE(data range of cells in a column)</t>
  </si>
  <si>
    <t>Median</t>
  </si>
  <si>
    <t>=MEDIAN(data range)</t>
  </si>
  <si>
    <t>Mode</t>
  </si>
  <si>
    <t>=MODE.SNGL(data range)</t>
  </si>
  <si>
    <t>Range</t>
  </si>
  <si>
    <t>= MAX (data range) - MIN(data range)</t>
  </si>
  <si>
    <t>Standard deviation</t>
  </si>
  <si>
    <t>=STDEV.S(data range)</t>
  </si>
  <si>
    <t>Variance</t>
  </si>
  <si>
    <t>=VAR.S(data range)</t>
  </si>
  <si>
    <t>Returns the individual term binomial distribution probability.</t>
  </si>
  <si>
    <t>Binomial</t>
  </si>
  <si>
    <t>=BINOM.DIST(3, 5, 0.5, FALSE)</t>
  </si>
  <si>
    <t>Distribution</t>
  </si>
  <si>
    <t>3 = number of successes</t>
  </si>
  <si>
    <t>(probability)</t>
  </si>
  <si>
    <t>5 = sample size (n)</t>
  </si>
  <si>
    <t>0.5 = probability of a success</t>
  </si>
  <si>
    <t>False = you don't want the cumulative probability (returns the probability mass function)</t>
  </si>
  <si>
    <t>True = you want the cumulative probability</t>
  </si>
  <si>
    <t>Returns the area under a normal curve.</t>
  </si>
  <si>
    <t>Normal</t>
  </si>
  <si>
    <t>=NORM.DIST(60, 50, 5, TRUE)</t>
  </si>
  <si>
    <t>60 = "x" the value at which you are evaluating the distribution</t>
  </si>
  <si>
    <t>50 = mean of the distribution</t>
  </si>
  <si>
    <t>5 = standard deviation of the distribution</t>
  </si>
  <si>
    <t>x=60</t>
  </si>
  <si>
    <t>Returns the inverse of the normal cumulative distribution for a specified mean and standard deviation.</t>
  </si>
  <si>
    <t>(finds the value "x" at which you want to evaluate the distribution)</t>
  </si>
  <si>
    <t>=NORM.INV(0.97725, 50, 5)</t>
  </si>
  <si>
    <t>0.97725 = probability corresponding to the normal distribution</t>
  </si>
  <si>
    <t>Use this function in place of a table of the standard normal curve areas.</t>
  </si>
  <si>
    <t>=NORM.S.DIST(2.0, TRUE)</t>
  </si>
  <si>
    <t>2.0 =  the value (z) for which you want the distribution</t>
  </si>
  <si>
    <t>note: z = (x-u)/std dev</t>
  </si>
  <si>
    <t>Standardize</t>
  </si>
  <si>
    <t>Returns a z-score that corresponds to an area under the curve between 0 and 1.</t>
  </si>
  <si>
    <t>=NORM.S.INV(0.97725)</t>
  </si>
  <si>
    <t>0.97725 = probability or area under the normal curve</t>
  </si>
  <si>
    <t>=STANDARDIZE(60, 50,5)</t>
  </si>
  <si>
    <t>60 = the value (x) you want to normalize</t>
  </si>
  <si>
    <t>50 = mean</t>
  </si>
  <si>
    <t>Returns the one-tailed p-value of the z-test, the probability a hypothesized mean &gt; sample mean.</t>
  </si>
  <si>
    <t>Z-test</t>
  </si>
  <si>
    <t>=Z.TEST(G54:G61,18,5)</t>
  </si>
  <si>
    <t>Sample Data</t>
  </si>
  <si>
    <t>(B53:B64) = sample data range</t>
  </si>
  <si>
    <t>hypothesized population mean = 18 =x</t>
  </si>
  <si>
    <t>5 = population standard deviation (known)</t>
  </si>
  <si>
    <t>Returns the right-tailed Student's t-distribution.</t>
  </si>
  <si>
    <t>The t-distribution is used in the hypothesis testing of small sample data sets. Use this function in place of a table of critical values for the t-distribution.</t>
  </si>
  <si>
    <t>t - distribution</t>
  </si>
  <si>
    <t>=T.DIST.RT(0.6, 2)</t>
  </si>
  <si>
    <t>(one tail)</t>
  </si>
  <si>
    <t>=T.DIST.2T(0.6, 2)</t>
  </si>
  <si>
    <t>(two tail)</t>
  </si>
  <si>
    <t>0.6 = value you are looking for (x)</t>
  </si>
  <si>
    <t>2 = degrees of freedom</t>
  </si>
  <si>
    <t>2T= two tailed (ends of the curve)</t>
  </si>
  <si>
    <t>Returns the (right-tailed) F probability distribution (degree of diversity) for two data sets.</t>
  </si>
  <si>
    <t>F Distribution</t>
  </si>
  <si>
    <t>=F.DIST.RT(5,2,20)</t>
  </si>
  <si>
    <t>5 =  value at which you are evaluating the distribution</t>
  </si>
  <si>
    <t>2 = degrees of freedom regression = no. of variables</t>
  </si>
  <si>
    <t>20 = degrees of freedom residual = n-p-1</t>
  </si>
  <si>
    <t>Returns the right-tailed probability of the chi-squared distribution.</t>
  </si>
  <si>
    <t>Chi-square</t>
  </si>
  <si>
    <t>= CHISQ.DIST.RT(3.955, 4)</t>
  </si>
  <si>
    <t>3.955 = calculated chi-square value</t>
  </si>
  <si>
    <t>4 = degrees of freedom = (r-1) x (c-1)</t>
  </si>
  <si>
    <t>r = number of rows in the two-way table = 3</t>
  </si>
  <si>
    <t>c = number of columns in the two-way table = 3</t>
  </si>
  <si>
    <t>Returns the probability for the chi-square test for independence.</t>
  </si>
  <si>
    <t>pvalue =</t>
  </si>
  <si>
    <t>CHISQ.TEST(data range1, data range2)</t>
  </si>
  <si>
    <t>data range 1 = observed (actual) values in the two-way table</t>
  </si>
  <si>
    <t>data range 2 = expected (calculated) values in the two-way table</t>
  </si>
  <si>
    <t>Responses</t>
  </si>
  <si>
    <t>counts</t>
  </si>
  <si>
    <t>cumulative</t>
  </si>
  <si>
    <t>Cumulative %</t>
  </si>
  <si>
    <t>Very happy</t>
  </si>
  <si>
    <t>Happy</t>
  </si>
  <si>
    <t>Neutral</t>
  </si>
  <si>
    <t>Slightly annoyed</t>
  </si>
  <si>
    <t>Mad</t>
  </si>
  <si>
    <t>Irrate</t>
  </si>
  <si>
    <t>Total</t>
  </si>
  <si>
    <t>How to build a Pareto Chart</t>
  </si>
  <si>
    <t>the above "responses" (counts) are in descending order</t>
  </si>
  <si>
    <t>"cumulative" is each category added together 1 at a time</t>
  </si>
  <si>
    <t>check out the formulas in the cells</t>
  </si>
  <si>
    <t>Once you click on the chart "chart tools" pops up</t>
  </si>
  <si>
    <t>Everything you need to do to the chart is in either design/layout/format</t>
  </si>
  <si>
    <t>First make a column chart of counts and cum %</t>
  </si>
  <si>
    <t xml:space="preserve">highlight the response, count columns and cum % </t>
  </si>
  <si>
    <t>Use the [ctrl] key to copy columns of data that aren't next to each other</t>
  </si>
  <si>
    <t>go to the Insert tab and click on column chart</t>
  </si>
  <si>
    <t>now you should have a chart with 2 bars next to each other</t>
  </si>
  <si>
    <t>click on the column chart that just appears on the worksheet</t>
  </si>
  <si>
    <t>click on the cum % bars and change that bar to a line</t>
  </si>
  <si>
    <t>You can do that by going to chart tools/design/change chart</t>
  </si>
  <si>
    <t>click on the line chart</t>
  </si>
  <si>
    <t>now you should have a chart with a line and the columns</t>
  </si>
  <si>
    <t>click on the line on the chart and then go to Chart tools/ Format tab</t>
  </si>
  <si>
    <t>On the far left on the menu bar select "series cumulative%" from the pull down menu</t>
  </si>
  <si>
    <t>then select format selection/ series options/</t>
  </si>
  <si>
    <t>click on the radial button "secondary axis"</t>
  </si>
  <si>
    <t>then close</t>
  </si>
  <si>
    <t>Operational Definition:</t>
  </si>
  <si>
    <t>REPRODUCEABLE - inspect the peanuts</t>
  </si>
  <si>
    <t>REPEATABLE - inspect the peanuts again</t>
  </si>
  <si>
    <t>Good Quality Peanut</t>
  </si>
  <si>
    <t>Is it Good or Bad?</t>
  </si>
  <si>
    <t>Did you agree?</t>
  </si>
  <si>
    <t>Peanut #</t>
  </si>
  <si>
    <t>Your answer</t>
  </si>
  <si>
    <t>Your fellow inspector's answers</t>
  </si>
  <si>
    <t>yes/no</t>
  </si>
  <si>
    <t>1)</t>
  </si>
  <si>
    <t>shell free of cracks and dirt marks</t>
  </si>
  <si>
    <t>G</t>
  </si>
  <si>
    <t>2)</t>
  </si>
  <si>
    <t>good 2 peanut shape</t>
  </si>
  <si>
    <t>B</t>
  </si>
  <si>
    <t>3)</t>
  </si>
  <si>
    <t>not too small</t>
  </si>
  <si>
    <t>4)</t>
  </si>
  <si>
    <t>nice, light roasted color</t>
  </si>
  <si>
    <t>Totals</t>
  </si>
  <si>
    <t>Count Good</t>
  </si>
  <si>
    <t>Count Bad</t>
  </si>
  <si>
    <t>Count Agreed</t>
  </si>
  <si>
    <t>Percent Good</t>
  </si>
  <si>
    <t>Percent Bad</t>
  </si>
  <si>
    <t>Percent Agreed</t>
  </si>
  <si>
    <t>Calculate Kappa:</t>
  </si>
  <si>
    <t>Note:</t>
  </si>
  <si>
    <t>K = (P observed - P chance) / (1- P chance) =</t>
  </si>
  <si>
    <t>good x good + bad x bad</t>
  </si>
  <si>
    <t>P Observed</t>
  </si>
  <si>
    <t>P Chance</t>
  </si>
  <si>
    <t>(.35X.45) + (.65X.55)=</t>
  </si>
  <si>
    <t>K = (.70-.515)/(1-.515)=</t>
  </si>
  <si>
    <t>Is your measurement system good?</t>
  </si>
  <si>
    <t>IF K&gt; .7 then the system is good, my K value is .38, therefore it is not a good measurement system in terms of reproducibility.</t>
  </si>
  <si>
    <t>IF K&gt;= .85 then the system is good, my K value is .34, therefore it is not a good measurement system in terms of repeatability.</t>
  </si>
  <si>
    <t>Question:</t>
  </si>
  <si>
    <t>Do customers drink the same beverage all day long?</t>
  </si>
  <si>
    <t>Is there a relationship between time of day and type of beverage?</t>
  </si>
  <si>
    <r>
      <t xml:space="preserve">Ho:  </t>
    </r>
    <r>
      <rPr>
        <u/>
        <sz val="11"/>
        <color rgb="FFFF0000"/>
        <rFont val="Calibri"/>
        <family val="2"/>
        <scheme val="minor"/>
      </rPr>
      <t>_time of day</t>
    </r>
    <r>
      <rPr>
        <sz val="11"/>
        <color rgb="FFFF0000"/>
        <rFont val="Calibri"/>
        <family val="2"/>
        <scheme val="minor"/>
      </rPr>
      <t>_____ and ______</t>
    </r>
    <r>
      <rPr>
        <u/>
        <sz val="11"/>
        <color rgb="FFFF0000"/>
        <rFont val="Calibri"/>
        <family val="2"/>
        <scheme val="minor"/>
      </rPr>
      <t>beverage type_</t>
    </r>
    <r>
      <rPr>
        <sz val="11"/>
        <color rgb="FFFF0000"/>
        <rFont val="Calibri"/>
        <family val="2"/>
        <scheme val="minor"/>
      </rPr>
      <t>______________ are independent.</t>
    </r>
  </si>
  <si>
    <r>
      <t>Ha:  _______</t>
    </r>
    <r>
      <rPr>
        <u/>
        <sz val="11"/>
        <color rgb="FFFF0000"/>
        <rFont val="Calibri"/>
        <family val="2"/>
        <scheme val="minor"/>
      </rPr>
      <t>time of day</t>
    </r>
    <r>
      <rPr>
        <sz val="11"/>
        <color rgb="FFFF0000"/>
        <rFont val="Calibri"/>
        <family val="2"/>
        <scheme val="minor"/>
      </rPr>
      <t>________ and _______</t>
    </r>
    <r>
      <rPr>
        <u/>
        <sz val="11"/>
        <color rgb="FFFF0000"/>
        <rFont val="Calibri"/>
        <family val="2"/>
        <scheme val="minor"/>
      </rPr>
      <t>beverage type</t>
    </r>
    <r>
      <rPr>
        <sz val="11"/>
        <color rgb="FFFF0000"/>
        <rFont val="Calibri"/>
        <family val="2"/>
        <scheme val="minor"/>
      </rPr>
      <t>_______ are not independent.</t>
    </r>
  </si>
  <si>
    <t>Data Collection:</t>
  </si>
  <si>
    <t>Summarize into a 2-way table:</t>
  </si>
  <si>
    <t>Type of Beverage</t>
  </si>
  <si>
    <t>Time of Day</t>
  </si>
  <si>
    <t>Regular Coffee</t>
  </si>
  <si>
    <t>Decaf Coffee</t>
  </si>
  <si>
    <t>Specialty Drink</t>
  </si>
  <si>
    <t>Tea</t>
  </si>
  <si>
    <t>Morning (7am-10am)</t>
  </si>
  <si>
    <t>Afternoon (10am- 1pm)</t>
  </si>
  <si>
    <t>Late Afternoon (1pm-4pm)</t>
  </si>
  <si>
    <t>&lt;--- N</t>
  </si>
  <si>
    <t>Calculate observed and expected frequencies:</t>
  </si>
  <si>
    <t>f (observed)</t>
  </si>
  <si>
    <t>F (expected)</t>
  </si>
  <si>
    <t>(f-F)^2 / F</t>
  </si>
  <si>
    <t>Or Expected Table</t>
  </si>
  <si>
    <t>Morn/Reg Coffee</t>
  </si>
  <si>
    <t>Morn/Decaf Coffee</t>
  </si>
  <si>
    <t>Morn/Special</t>
  </si>
  <si>
    <t>Morn/Tea</t>
  </si>
  <si>
    <t>Afternoon/Reg Coffee</t>
  </si>
  <si>
    <t>Afternoon/Decaf Coffee</t>
  </si>
  <si>
    <t>Afternoon/Special</t>
  </si>
  <si>
    <t>Afternoon/Tea</t>
  </si>
  <si>
    <t>Late/Reg Coffee</t>
  </si>
  <si>
    <t>Late/Decaf Coffee</t>
  </si>
  <si>
    <t>Late/Special</t>
  </si>
  <si>
    <t>Late/Tea</t>
  </si>
  <si>
    <t>&lt;--- chi-square</t>
  </si>
  <si>
    <t>note: F(expected) = (f row total * f column total) / N</t>
  </si>
  <si>
    <t>Calculate degrees of freedom:</t>
  </si>
  <si>
    <t xml:space="preserve">df = (r-1) * (c-1) = </t>
  </si>
  <si>
    <t xml:space="preserve"> (3-1) x (4-1) = 6</t>
  </si>
  <si>
    <t>Pick an alpha = 0.05</t>
  </si>
  <si>
    <t>&lt;--This is your choice</t>
  </si>
  <si>
    <t>Use Table E to find the p-value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</si>
  <si>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</si>
  <si>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 xml:space="preserve">p-value = </t>
  </si>
  <si>
    <t>(this is really small…close to 0)</t>
  </si>
  <si>
    <t>at df=6 the table only goes as high as 18.548</t>
  </si>
  <si>
    <t>(above answer not in scientific notation)</t>
  </si>
  <si>
    <t>with a respective probability = 0.005</t>
  </si>
  <si>
    <t>"if p is low Ho must go"</t>
  </si>
  <si>
    <t>Reject Ho?</t>
  </si>
  <si>
    <t>YES</t>
  </si>
  <si>
    <t>pvalue is less than 0.05 alpha so we reject the null.</t>
  </si>
  <si>
    <r>
      <t xml:space="preserve">There is evidence that </t>
    </r>
    <r>
      <rPr>
        <b/>
        <u/>
        <sz val="11"/>
        <rFont val="Calibri"/>
        <family val="2"/>
        <scheme val="minor"/>
      </rPr>
      <t>time of day</t>
    </r>
    <r>
      <rPr>
        <b/>
        <sz val="11"/>
        <rFont val="Calibri"/>
        <family val="2"/>
        <scheme val="minor"/>
      </rPr>
      <t xml:space="preserve"> and </t>
    </r>
    <r>
      <rPr>
        <b/>
        <u/>
        <sz val="11"/>
        <rFont val="Calibri"/>
        <family val="2"/>
        <scheme val="minor"/>
      </rPr>
      <t>type of beverage</t>
    </r>
    <r>
      <rPr>
        <b/>
        <sz val="11"/>
        <rFont val="Calibri"/>
        <family val="2"/>
        <scheme val="minor"/>
      </rPr>
      <t xml:space="preserve"> are not independent.</t>
    </r>
  </si>
  <si>
    <t>There appears to be a relationship.</t>
  </si>
  <si>
    <t>Can the length of your hand predict the size of your foot?  Is there a relationship?</t>
  </si>
  <si>
    <t>(in Centimeters)</t>
  </si>
  <si>
    <t>Include a Graph</t>
  </si>
  <si>
    <r>
      <t>Which variable is the output (y)?_______</t>
    </r>
    <r>
      <rPr>
        <b/>
        <u/>
        <sz val="11"/>
        <color theme="1"/>
        <rFont val="Calibri"/>
        <family val="2"/>
        <scheme val="minor"/>
      </rPr>
      <t>_foot__</t>
    </r>
    <r>
      <rPr>
        <b/>
        <sz val="11"/>
        <color theme="1"/>
        <rFont val="Calibri"/>
        <family val="2"/>
        <scheme val="minor"/>
      </rPr>
      <t>_________</t>
    </r>
  </si>
  <si>
    <t>input (x)</t>
  </si>
  <si>
    <t>output (y)</t>
  </si>
  <si>
    <t>Hand</t>
  </si>
  <si>
    <t>Foot</t>
  </si>
  <si>
    <t>(x) (y)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</si>
  <si>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</si>
  <si>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y-variable</t>
  </si>
  <si>
    <t>x -variable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</si>
  <si>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</si>
  <si>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</si>
  <si>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</si>
  <si>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</si>
  <si>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</si>
  <si>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</si>
  <si>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</si>
  <si>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</si>
  <si>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</si>
  <si>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</si>
  <si>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</si>
  <si>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</si>
  <si>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</si>
  <si>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</si>
  <si>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</si>
  <si>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Averages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</si>
  <si>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</si>
  <si>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</si>
  <si>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</si>
  <si>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</si>
  <si>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</si>
  <si>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</si>
  <si>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</si>
  <si>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</si>
  <si>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b1</t>
  </si>
  <si>
    <t>=(15737.0 -((606.6*826.8)/32))/(11544.855 -(32*(18.956^2)))</t>
  </si>
  <si>
    <t>bo</t>
  </si>
  <si>
    <t>=25.838-(1.3909*18.9563)</t>
  </si>
  <si>
    <t>yhat =</t>
  </si>
  <si>
    <t>-0.5287 +1.3909x</t>
  </si>
  <si>
    <t>x = number correct</t>
  </si>
  <si>
    <t>X!</t>
  </si>
  <si>
    <t>(n - X)!</t>
  </si>
  <si>
    <t>X!(n - X)!</t>
  </si>
  <si>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Number of Combinations of getting x correct</t>
    </r>
  </si>
  <si>
    <r>
      <t>p</t>
    </r>
    <r>
      <rPr>
        <vertAlign val="superscript"/>
        <sz val="11"/>
        <color theme="1"/>
        <rFont val="Calibri"/>
        <family val="2"/>
        <scheme val="minor"/>
      </rPr>
      <t>x</t>
    </r>
  </si>
  <si>
    <t>n-x</t>
  </si>
  <si>
    <r>
      <t>q</t>
    </r>
    <r>
      <rPr>
        <vertAlign val="superscript"/>
        <sz val="11"/>
        <color theme="1"/>
        <rFont val="Calibri"/>
        <family val="2"/>
        <scheme val="minor"/>
      </rPr>
      <t>n-x</t>
    </r>
  </si>
  <si>
    <t>P(X) probability of getting x correct</t>
  </si>
  <si>
    <t>probability of at least 9 correct</t>
  </si>
  <si>
    <t>S = guessed the card right</t>
  </si>
  <si>
    <t>F = did not guess the card right</t>
  </si>
  <si>
    <t>p = P(success)</t>
  </si>
  <si>
    <t>q = P(failure)</t>
  </si>
  <si>
    <t>n</t>
  </si>
  <si>
    <t>n!</t>
  </si>
  <si>
    <t>Forecast the year 2008 attendance using these 3 methods:</t>
  </si>
  <si>
    <t>Year</t>
  </si>
  <si>
    <t>Attendance (y = t)</t>
  </si>
  <si>
    <t>AR (1) data (x = t-1)</t>
  </si>
  <si>
    <t>Moving average data (use k=5)</t>
  </si>
  <si>
    <t>Exponential smoothing (use 1-w=0.8)</t>
  </si>
  <si>
    <t>&lt;&lt;copy this formula down to 2008 cell</t>
  </si>
  <si>
    <t>?</t>
  </si>
  <si>
    <t>this above is the moving</t>
  </si>
  <si>
    <t>this is the exponential</t>
  </si>
  <si>
    <t>average forecast for 2008</t>
  </si>
  <si>
    <t>smoothing forecast for 2008</t>
  </si>
  <si>
    <t>Need to run a regression for AR(1) forecast</t>
  </si>
  <si>
    <t xml:space="preserve">y = column B (the original data) </t>
  </si>
  <si>
    <t>x = column C (the data lagged by one year)</t>
  </si>
  <si>
    <t>X Variable 1</t>
  </si>
  <si>
    <t>yhat = 686.991364 + 0.98136824x</t>
  </si>
  <si>
    <t>x =</t>
  </si>
  <si>
    <t>yhat = 686.991364 + 0.98136824(40154)</t>
  </si>
  <si>
    <t>y estimate =</t>
  </si>
  <si>
    <t>&lt;&lt; this is the AR(1) forecast for 2008</t>
  </si>
  <si>
    <t>x-bar / R Chart Exercise :: Testing the Measurement System</t>
  </si>
  <si>
    <t>10 pound bag of cracked corn</t>
  </si>
  <si>
    <t>n=3</t>
  </si>
  <si>
    <t>R-chart</t>
  </si>
  <si>
    <t>x bar chart</t>
  </si>
  <si>
    <t>Insert&gt;Line&gt; first chart</t>
  </si>
  <si>
    <t>Sample</t>
  </si>
  <si>
    <t>Calculations&gt;&gt;&gt;</t>
  </si>
  <si>
    <t>Centerline</t>
  </si>
  <si>
    <t>R</t>
  </si>
  <si>
    <t>Rbar</t>
  </si>
  <si>
    <t>UCL</t>
  </si>
  <si>
    <t>LCL</t>
  </si>
  <si>
    <t>x-bar</t>
  </si>
  <si>
    <t>x bar bar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</si>
  <si>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</si>
  <si>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</si>
  <si>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</si>
  <si>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</si>
  <si>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</si>
  <si>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</si>
  <si>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</si>
  <si>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</si>
  <si>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</si>
  <si>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</si>
  <si>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</si>
  <si>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</si>
  <si>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</si>
  <si>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</si>
  <si>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</si>
  <si>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</si>
  <si>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</si>
  <si>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</si>
  <si>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</si>
  <si>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</si>
  <si>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 xml:space="preserve">Rbar = </t>
  </si>
  <si>
    <t>x bar bar=</t>
  </si>
  <si>
    <t>UCL = D4*Rbar</t>
  </si>
  <si>
    <t>UCL = xbarbar+A2*Rbar</t>
  </si>
  <si>
    <t>LCL = D3*Rbar</t>
  </si>
  <si>
    <t>LCL = xbarbar-A2*Rbar</t>
  </si>
  <si>
    <t>Average</t>
  </si>
  <si>
    <t>x chart limits</t>
  </si>
  <si>
    <t>r chart limits</t>
  </si>
  <si>
    <t>Month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</si>
  <si>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</si>
  <si>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</si>
  <si>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</si>
  <si>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</si>
  <si>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</si>
  <si>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</si>
  <si>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</si>
  <si>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</si>
  <si>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</si>
  <si>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</si>
  <si>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</si>
  <si>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</si>
  <si>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Upper</t>
  </si>
  <si>
    <t>Deficit</t>
  </si>
  <si>
    <t>r-bar</t>
  </si>
  <si>
    <t>Lower</t>
  </si>
  <si>
    <t>mR</t>
  </si>
  <si>
    <t>x-avg</t>
  </si>
  <si>
    <t>x-upper</t>
  </si>
  <si>
    <t>x-lower</t>
  </si>
  <si>
    <t>r-avg</t>
  </si>
  <si>
    <t>r-upper</t>
  </si>
  <si>
    <t>r-lower</t>
  </si>
  <si>
    <t>NFL data</t>
  </si>
  <si>
    <t>Observation</t>
  </si>
  <si>
    <t>Year (x)</t>
  </si>
  <si>
    <t>Rushing yards/Game (y)</t>
  </si>
  <si>
    <r>
      <t>y</t>
    </r>
    <r>
      <rPr>
        <i/>
        <vertAlign val="subscript"/>
        <sz val="11"/>
        <color theme="1"/>
        <rFont val="Calibri"/>
        <family val="2"/>
        <scheme val="minor"/>
      </rPr>
      <t>t-1</t>
    </r>
  </si>
  <si>
    <t>Predicted Y</t>
  </si>
  <si>
    <t>Residuals</t>
  </si>
  <si>
    <t>Exp 1</t>
  </si>
  <si>
    <t>Exp 2</t>
  </si>
  <si>
    <t>MvAvg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</si>
  <si>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</si>
  <si>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</si>
  <si>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</si>
  <si>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</si>
  <si>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</si>
  <si>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</si>
  <si>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</si>
  <si>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Data Source: The Practice of Statistics for Business and Economics 3rd edition, Moore, McCabe, Alwan, Craig, Duckworth</t>
  </si>
  <si>
    <t>RESIDUAL OUTPUT</t>
  </si>
  <si>
    <t>value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</si>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</sst>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"/>
    <numFmt numFmtId="166" formatCode="0.0"/>
    <numFmt numFmtId="167" formatCode="0.000%"/>
    <numFmt numFmtId="168" formatCode="0.0000000000"/>
    <numFmt numFmtId="169" formatCode="0.000"/>
    <numFmt numFmtId="170" formatCode="0.00000000000000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4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232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0" xfId="0" quotePrefix="1"/>
    <xf numFmtId="2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8" xfId="0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/>
    <xf numFmtId="0" fontId="0" fillId="0" borderId="11" xfId="0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quotePrefix="1" applyBorder="1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/>
    <xf numFmtId="0" fontId="6" fillId="0" borderId="0" xfId="0" quotePrefix="1" applyFont="1"/>
    <xf numFmtId="0" fontId="7" fillId="0" borderId="0" xfId="0" applyFont="1"/>
    <xf numFmtId="164" fontId="0" fillId="0" borderId="0" xfId="0" quotePrefix="1" applyNumberFormat="1"/>
    <xf numFmtId="164" fontId="6" fillId="0" borderId="0" xfId="0" quotePrefix="1" applyNumberFormat="1" applyFont="1"/>
    <xf numFmtId="0" fontId="3" fillId="2" borderId="0" xfId="0" applyFont="1" applyFill="1"/>
    <xf numFmtId="164" fontId="0" fillId="0" borderId="0" xfId="0" applyNumberFormat="1"/>
    <xf numFmtId="0" fontId="8" fillId="0" borderId="0" xfId="0" applyFont="1"/>
    <xf numFmtId="165" fontId="0" fillId="0" borderId="0" xfId="0" applyNumberFormat="1"/>
    <xf numFmtId="0" fontId="9" fillId="0" borderId="0" xfId="0" quotePrefix="1" applyFont="1"/>
    <xf numFmtId="0" fontId="0" fillId="0" borderId="12" xfId="0" applyBorder="1"/>
    <xf numFmtId="0" fontId="0" fillId="0" borderId="13" xfId="0" applyBorder="1"/>
    <xf numFmtId="0" fontId="4" fillId="0" borderId="14" xfId="0" quotePrefix="1" applyFont="1" applyBorder="1"/>
    <xf numFmtId="165" fontId="6" fillId="0" borderId="0" xfId="0" quotePrefix="1" applyNumberFormat="1" applyFont="1"/>
    <xf numFmtId="165" fontId="0" fillId="0" borderId="0" xfId="0" quotePrefix="1" applyNumberFormat="1"/>
    <xf numFmtId="0" fontId="9" fillId="0" borderId="0" xfId="0" applyFont="1"/>
    <xf numFmtId="166" fontId="0" fillId="0" borderId="0" xfId="0" applyNumberFormat="1"/>
    <xf numFmtId="166" fontId="6" fillId="0" borderId="0" xfId="0" quotePrefix="1" applyNumberFormat="1" applyFont="1"/>
    <xf numFmtId="1" fontId="6" fillId="0" borderId="0" xfId="0" quotePrefix="1" applyNumberFormat="1" applyFont="1"/>
    <xf numFmtId="1" fontId="0" fillId="0" borderId="0" xfId="0" applyNumberFormat="1"/>
    <xf numFmtId="0" fontId="10" fillId="0" borderId="0" xfId="0" applyFont="1" applyAlignment="1">
      <alignment horizontal="center"/>
    </xf>
    <xf numFmtId="0" fontId="6" fillId="0" borderId="0" xfId="0" applyFont="1"/>
    <xf numFmtId="167" fontId="11" fillId="0" borderId="0" xfId="0" applyNumberFormat="1" applyFont="1" applyAlignment="1">
      <alignment horizontal="right"/>
    </xf>
    <xf numFmtId="0" fontId="2" fillId="0" borderId="0" xfId="0" applyFont="1"/>
    <xf numFmtId="0" fontId="12" fillId="2" borderId="0" xfId="0" applyFont="1" applyFill="1"/>
    <xf numFmtId="2" fontId="0" fillId="0" borderId="3" xfId="0" quotePrefix="1" applyNumberFormat="1" applyBorder="1"/>
    <xf numFmtId="0" fontId="0" fillId="0" borderId="3" xfId="0" applyBorder="1" applyAlignment="1">
      <alignment horizontal="right"/>
    </xf>
    <xf numFmtId="0" fontId="3" fillId="2" borderId="6" xfId="0" applyFont="1" applyFill="1" applyBorder="1"/>
    <xf numFmtId="0" fontId="13" fillId="0" borderId="0" xfId="0" applyFont="1"/>
    <xf numFmtId="0" fontId="0" fillId="2" borderId="0" xfId="0" applyFill="1"/>
    <xf numFmtId="0" fontId="4" fillId="2" borderId="0" xfId="0" applyFont="1" applyFill="1"/>
    <xf numFmtId="9" fontId="0" fillId="0" borderId="3" xfId="1" applyFont="1" applyBorder="1"/>
    <xf numFmtId="9" fontId="0" fillId="0" borderId="0" xfId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2" borderId="15" xfId="0" applyFont="1" applyFill="1" applyBorder="1"/>
    <xf numFmtId="0" fontId="15" fillId="2" borderId="16" xfId="0" applyFont="1" applyFill="1" applyBorder="1"/>
    <xf numFmtId="0" fontId="15" fillId="2" borderId="17" xfId="0" applyFont="1" applyFill="1" applyBorder="1"/>
    <xf numFmtId="0" fontId="15" fillId="2" borderId="18" xfId="0" applyFont="1" applyFill="1" applyBorder="1"/>
    <xf numFmtId="0" fontId="15" fillId="2" borderId="0" xfId="0" applyFont="1" applyFill="1"/>
    <xf numFmtId="0" fontId="15" fillId="2" borderId="19" xfId="0" applyFont="1" applyFill="1" applyBorder="1"/>
    <xf numFmtId="0" fontId="15" fillId="2" borderId="20" xfId="0" applyFont="1" applyFill="1" applyBorder="1"/>
    <xf numFmtId="0" fontId="15" fillId="2" borderId="21" xfId="0" applyFont="1" applyFill="1" applyBorder="1"/>
    <xf numFmtId="0" fontId="15" fillId="2" borderId="22" xfId="0" applyFont="1" applyFill="1" applyBorder="1"/>
    <xf numFmtId="0" fontId="0" fillId="0" borderId="15" xfId="0" applyBorder="1"/>
    <xf numFmtId="0" fontId="0" fillId="0" borderId="17" xfId="0" applyBorder="1"/>
    <xf numFmtId="168" fontId="0" fillId="0" borderId="23" xfId="0" applyNumberFormat="1" applyBorder="1"/>
    <xf numFmtId="0" fontId="0" fillId="0" borderId="20" xfId="0" applyBorder="1"/>
    <xf numFmtId="0" fontId="0" fillId="0" borderId="22" xfId="0" applyBorder="1"/>
    <xf numFmtId="11" fontId="6" fillId="2" borderId="20" xfId="0" applyNumberFormat="1" applyFont="1" applyFill="1" applyBorder="1"/>
    <xf numFmtId="0" fontId="3" fillId="2" borderId="24" xfId="0" applyFont="1" applyFill="1" applyBorder="1" applyAlignment="1">
      <alignment horizontal="right"/>
    </xf>
    <xf numFmtId="0" fontId="0" fillId="0" borderId="25" xfId="0" applyBorder="1"/>
    <xf numFmtId="0" fontId="3" fillId="0" borderId="26" xfId="0" applyFont="1" applyBorder="1"/>
    <xf numFmtId="0" fontId="2" fillId="0" borderId="0" xfId="0" quotePrefix="1" applyFont="1"/>
    <xf numFmtId="169" fontId="6" fillId="2" borderId="23" xfId="0" applyNumberFormat="1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169" fontId="2" fillId="0" borderId="8" xfId="0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right"/>
    </xf>
    <xf numFmtId="165" fontId="2" fillId="0" borderId="2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25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0" borderId="0" xfId="0" applyFont="1"/>
    <xf numFmtId="1" fontId="0" fillId="0" borderId="0" xfId="0" applyNumberFormat="1" applyAlignment="1">
      <alignment horizontal="center"/>
    </xf>
    <xf numFmtId="0" fontId="0" fillId="0" borderId="16" xfId="0" applyBorder="1"/>
    <xf numFmtId="0" fontId="0" fillId="0" borderId="32" xfId="0" applyBorder="1"/>
    <xf numFmtId="0" fontId="0" fillId="0" borderId="33" xfId="0" applyBorder="1"/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quotePrefix="1" applyFill="1" applyBorder="1"/>
    <xf numFmtId="0" fontId="0" fillId="2" borderId="24" xfId="0" applyFill="1" applyBorder="1" applyAlignment="1">
      <alignment horizontal="right"/>
    </xf>
    <xf numFmtId="164" fontId="0" fillId="2" borderId="23" xfId="0" quotePrefix="1" applyNumberFormat="1" applyFill="1" applyBorder="1"/>
    <xf numFmtId="169" fontId="0" fillId="0" borderId="0" xfId="0" applyNumberFormat="1"/>
    <xf numFmtId="164" fontId="0" fillId="2" borderId="23" xfId="0" applyNumberFormat="1" applyFill="1" applyBorder="1"/>
    <xf numFmtId="0" fontId="22" fillId="0" borderId="35" xfId="0" applyFont="1" applyBorder="1" applyAlignment="1">
      <alignment horizontal="center"/>
    </xf>
    <xf numFmtId="169" fontId="0" fillId="2" borderId="28" xfId="0" applyNumberFormat="1" applyFill="1" applyBorder="1"/>
    <xf numFmtId="164" fontId="0" fillId="2" borderId="28" xfId="0" applyNumberFormat="1" applyFill="1" applyBorder="1"/>
    <xf numFmtId="0" fontId="0" fillId="0" borderId="29" xfId="0" applyBorder="1"/>
    <xf numFmtId="164" fontId="0" fillId="2" borderId="2" xfId="0" applyNumberFormat="1" applyFill="1" applyBorder="1"/>
    <xf numFmtId="169" fontId="0" fillId="2" borderId="2" xfId="0" applyNumberFormat="1" applyFill="1" applyBorder="1"/>
    <xf numFmtId="169" fontId="0" fillId="2" borderId="30" xfId="0" applyNumberFormat="1" applyFill="1" applyBorder="1"/>
    <xf numFmtId="169" fontId="0" fillId="2" borderId="31" xfId="0" applyNumberFormat="1" applyFill="1" applyBorder="1"/>
    <xf numFmtId="170" fontId="0" fillId="0" borderId="0" xfId="0" applyNumberFormat="1"/>
    <xf numFmtId="0" fontId="22" fillId="0" borderId="35" xfId="0" applyFont="1" applyBorder="1" applyAlignment="1">
      <alignment horizontal="centerContinuous"/>
    </xf>
    <xf numFmtId="0" fontId="24" fillId="0" borderId="0" xfId="0" applyFont="1" applyAlignment="1">
      <alignment horizontal="center"/>
    </xf>
    <xf numFmtId="0" fontId="25" fillId="0" borderId="3" xfId="0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" fontId="8" fillId="2" borderId="36" xfId="0" applyNumberFormat="1" applyFont="1" applyFill="1" applyBorder="1" applyAlignment="1">
      <alignment horizontal="center"/>
    </xf>
    <xf numFmtId="1" fontId="8" fillId="4" borderId="36" xfId="0" applyNumberFormat="1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2" borderId="23" xfId="0" applyNumberFormat="1" applyFill="1" applyBorder="1" applyAlignment="1">
      <alignment horizontal="center"/>
    </xf>
    <xf numFmtId="0" fontId="27" fillId="0" borderId="0" xfId="2" applyFont="1" applyAlignment="1">
      <alignment horizontal="left"/>
    </xf>
    <xf numFmtId="0" fontId="28" fillId="0" borderId="0" xfId="2" applyFont="1"/>
    <xf numFmtId="0" fontId="29" fillId="0" borderId="0" xfId="2" applyFont="1" applyAlignment="1">
      <alignment horizontal="left"/>
    </xf>
    <xf numFmtId="0" fontId="9" fillId="0" borderId="0" xfId="2"/>
    <xf numFmtId="0" fontId="9" fillId="0" borderId="0" xfId="2" applyAlignment="1">
      <alignment horizontal="center"/>
    </xf>
    <xf numFmtId="0" fontId="30" fillId="0" borderId="0" xfId="2" applyFont="1"/>
    <xf numFmtId="0" fontId="9" fillId="6" borderId="0" xfId="2" applyFill="1"/>
    <xf numFmtId="0" fontId="9" fillId="2" borderId="0" xfId="2" applyFill="1"/>
    <xf numFmtId="0" fontId="12" fillId="0" borderId="16" xfId="2" applyFont="1" applyBorder="1" applyAlignment="1">
      <alignment horizontal="center"/>
    </xf>
    <xf numFmtId="0" fontId="12" fillId="0" borderId="17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31" fillId="0" borderId="3" xfId="2" applyFont="1" applyBorder="1" applyAlignment="1">
      <alignment horizontal="center"/>
    </xf>
    <xf numFmtId="0" fontId="9" fillId="6" borderId="3" xfId="2" applyFill="1" applyBorder="1"/>
    <xf numFmtId="0" fontId="9" fillId="0" borderId="3" xfId="2" applyBorder="1"/>
    <xf numFmtId="0" fontId="9" fillId="0" borderId="3" xfId="2" applyBorder="1" applyAlignment="1">
      <alignment horizontal="center"/>
    </xf>
    <xf numFmtId="0" fontId="32" fillId="0" borderId="3" xfId="2" applyFont="1" applyBorder="1" applyAlignment="1">
      <alignment horizontal="center"/>
    </xf>
    <xf numFmtId="2" fontId="9" fillId="0" borderId="19" xfId="2" applyNumberFormat="1" applyBorder="1"/>
    <xf numFmtId="0" fontId="9" fillId="0" borderId="18" xfId="2" applyBorder="1"/>
    <xf numFmtId="2" fontId="9" fillId="0" borderId="0" xfId="2" applyNumberFormat="1"/>
    <xf numFmtId="169" fontId="9" fillId="0" borderId="0" xfId="2" applyNumberFormat="1"/>
    <xf numFmtId="2" fontId="9" fillId="0" borderId="17" xfId="2" applyNumberFormat="1" applyBorder="1"/>
    <xf numFmtId="0" fontId="9" fillId="0" borderId="16" xfId="2" applyBorder="1"/>
    <xf numFmtId="0" fontId="9" fillId="0" borderId="15" xfId="2" applyBorder="1"/>
    <xf numFmtId="2" fontId="9" fillId="0" borderId="3" xfId="2" applyNumberFormat="1" applyBorder="1"/>
    <xf numFmtId="169" fontId="9" fillId="0" borderId="3" xfId="2" applyNumberFormat="1" applyBorder="1"/>
    <xf numFmtId="0" fontId="31" fillId="0" borderId="0" xfId="2" applyFont="1"/>
    <xf numFmtId="169" fontId="9" fillId="0" borderId="16" xfId="2" applyNumberFormat="1" applyBorder="1"/>
    <xf numFmtId="0" fontId="32" fillId="0" borderId="0" xfId="2" applyFont="1" applyAlignment="1">
      <alignment horizontal="center"/>
    </xf>
    <xf numFmtId="2" fontId="9" fillId="0" borderId="16" xfId="2" applyNumberFormat="1" applyBorder="1"/>
    <xf numFmtId="0" fontId="12" fillId="0" borderId="0" xfId="2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2" fontId="2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33" fillId="7" borderId="6" xfId="0" applyFont="1" applyFill="1" applyBorder="1"/>
    <xf numFmtId="0" fontId="34" fillId="7" borderId="4" xfId="0" applyFont="1" applyFill="1" applyBorder="1"/>
    <xf numFmtId="0" fontId="0" fillId="7" borderId="4" xfId="0" applyFill="1" applyBorder="1"/>
    <xf numFmtId="0" fontId="0" fillId="7" borderId="7" xfId="0" applyFill="1" applyBorder="1"/>
    <xf numFmtId="0" fontId="34" fillId="7" borderId="8" xfId="0" applyFont="1" applyFill="1" applyBorder="1"/>
    <xf numFmtId="0" fontId="34" fillId="7" borderId="0" xfId="0" applyFont="1" applyFill="1"/>
    <xf numFmtId="0" fontId="0" fillId="7" borderId="0" xfId="0" applyFill="1"/>
    <xf numFmtId="0" fontId="0" fillId="7" borderId="9" xfId="0" applyFill="1" applyBorder="1"/>
    <xf numFmtId="0" fontId="33" fillId="7" borderId="8" xfId="0" applyFont="1" applyFill="1" applyBorder="1"/>
    <xf numFmtId="0" fontId="34" fillId="7" borderId="10" xfId="0" applyFont="1" applyFill="1" applyBorder="1"/>
    <xf numFmtId="0" fontId="34" fillId="7" borderId="3" xfId="0" applyFont="1" applyFill="1" applyBorder="1"/>
    <xf numFmtId="0" fontId="0" fillId="7" borderId="3" xfId="0" applyFill="1" applyBorder="1"/>
    <xf numFmtId="0" fontId="0" fillId="7" borderId="11" xfId="0" applyFill="1" applyBorder="1"/>
    <xf numFmtId="0" fontId="35" fillId="7" borderId="0" xfId="0" applyFont="1" applyFill="1"/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9" fillId="0" borderId="22" xfId="2" applyBorder="1" applyAlignment="1">
      <alignment horizontal="center"/>
    </xf>
    <xf numFmtId="0" fontId="9" fillId="0" borderId="21" xfId="2" applyBorder="1" applyAlignment="1">
      <alignment horizontal="center"/>
    </xf>
    <xf numFmtId="0" fontId="9" fillId="0" borderId="20" xfId="2" applyBorder="1" applyAlignment="1">
      <alignment horizontal="center"/>
    </xf>
    <xf numFmtId="0" fontId="9" fillId="0" borderId="0" xfId="2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Normal" xfId="0" builtinId="0"/>
    <cellStyle name="Normal 2" xfId="2" xr:uid="{F44D93E4-F153-4588-8016-C5D895EFBC6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Pareto Chart of Responses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Responses</c:v>
          </c:tx>
          <c:invertIfNegative val="0"/>
          <c:cat>
            <c:strRef>
              <c:f>pareto!$A$3:$A$8</c:f>
              <c:strCache>
                <c:ptCount val="6"/>
                <c:pt idx="0">
                  <c:v>Very happy</c:v>
                </c:pt>
                <c:pt idx="1">
                  <c:v>Happy</c:v>
                </c:pt>
                <c:pt idx="2">
                  <c:v>Neutral</c:v>
                </c:pt>
                <c:pt idx="3">
                  <c:v>Slightly annoyed</c:v>
                </c:pt>
                <c:pt idx="4">
                  <c:v>Mad</c:v>
                </c:pt>
                <c:pt idx="5">
                  <c:v>Irrate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50</c:v>
              </c:pt>
              <c:pt idx="1">
                <c:v>45</c:v>
              </c:pt>
              <c:pt idx="2">
                <c:v>30</c:v>
              </c:pt>
              <c:pt idx="3">
                <c:v>25</c:v>
              </c:pt>
              <c:pt idx="4">
                <c:v>10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CC78-4676-B6BE-9E6E76AB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83072"/>
        <c:axId val="111684608"/>
      </c:barChart>
      <c:lineChart>
        <c:grouping val="standard"/>
        <c:varyColors val="0"/>
        <c:ser>
          <c:idx val="1"/>
          <c:order val="1"/>
          <c:tx>
            <c:strRef>
              <c:f>pareto!$D$2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cat>
          <c:val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8-4676-B6BE-9E6E76AB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6128"/>
        <c:axId val="111694592"/>
      </c:lineChart>
      <c:catAx>
        <c:axId val="1116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84608"/>
        <c:crosses val="autoZero"/>
        <c:auto val="1"/>
        <c:lblAlgn val="ctr"/>
        <c:lblOffset val="100"/>
        <c:noMultiLvlLbl val="0"/>
      </c:catAx>
      <c:valAx>
        <c:axId val="111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</a:ln>
          <a:effectLst/>
        </c:spPr>
        <c:crossAx val="111683072"/>
        <c:crosses val="autoZero"/>
        <c:crossBetween val="between"/>
      </c:valAx>
      <c:valAx>
        <c:axId val="111694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1696128"/>
        <c:crosses val="max"/>
        <c:crossBetween val="between"/>
      </c:valAx>
      <c:catAx>
        <c:axId val="1116961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1694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Exponential Smoothing</a:t>
            </a:r>
            <a:r>
              <a:rPr lang="en-US" sz="1400" b="0" baseline="0"/>
              <a:t> - 0.2 Factor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'HW6 _time_series_football'!$C$4:$C$32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E58-AD44-138473FDFA08}"/>
            </c:ext>
          </c:extLst>
        </c:ser>
        <c:ser>
          <c:idx val="1"/>
          <c:order val="1"/>
          <c:tx>
            <c:v>Forecast</c:v>
          </c:tx>
          <c:spPr>
            <a:ln w="15875"/>
          </c:spPr>
          <c:marker>
            <c:symbol val="none"/>
          </c:marker>
          <c:val>
            <c:numRef>
              <c:f>'HW6 _time_series_football'!$G$4:$G$32</c:f>
              <c:numCache>
                <c:formatCode>0.00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129.57999999999998</c:v>
                </c:pt>
                <c:pt idx="3">
                  <c:v>120.15600000000001</c:v>
                </c:pt>
                <c:pt idx="4">
                  <c:v>127.79119999999999</c:v>
                </c:pt>
                <c:pt idx="5">
                  <c:v>124.67824</c:v>
                </c:pt>
                <c:pt idx="6">
                  <c:v>124.85564800000002</c:v>
                </c:pt>
                <c:pt idx="7">
                  <c:v>119.93112960000002</c:v>
                </c:pt>
                <c:pt idx="8">
                  <c:v>123.10622592000001</c:v>
                </c:pt>
                <c:pt idx="9">
                  <c:v>121.74124518400001</c:v>
                </c:pt>
                <c:pt idx="10">
                  <c:v>116.58824903680001</c:v>
                </c:pt>
                <c:pt idx="11">
                  <c:v>114.43764980736</c:v>
                </c:pt>
                <c:pt idx="12">
                  <c:v>109.04752996147201</c:v>
                </c:pt>
                <c:pt idx="13">
                  <c:v>110.20950599229441</c:v>
                </c:pt>
                <c:pt idx="14">
                  <c:v>110.04190119845889</c:v>
                </c:pt>
                <c:pt idx="15">
                  <c:v>105.44838023969177</c:v>
                </c:pt>
                <c:pt idx="16">
                  <c:v>107.56967604793837</c:v>
                </c:pt>
                <c:pt idx="17">
                  <c:v>108.71393520958767</c:v>
                </c:pt>
                <c:pt idx="18">
                  <c:v>112.14278704191754</c:v>
                </c:pt>
                <c:pt idx="19">
                  <c:v>112.58855740838352</c:v>
                </c:pt>
                <c:pt idx="20">
                  <c:v>107.7177114816767</c:v>
                </c:pt>
                <c:pt idx="21">
                  <c:v>111.62354229633536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B-4E58-AD44-138473FD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2207"/>
        <c:axId val="503491807"/>
      </c:lineChart>
      <c:catAx>
        <c:axId val="50350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491807"/>
        <c:crosses val="autoZero"/>
        <c:auto val="1"/>
        <c:lblAlgn val="ctr"/>
        <c:lblOffset val="100"/>
        <c:noMultiLvlLbl val="0"/>
      </c:catAx>
      <c:valAx>
        <c:axId val="50349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502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Exponential Smoothing - 0.8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'HW6 _time_series_football'!$C$4:$C$32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2-47B4-BE88-65B9783F7100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'HW6 _time_series_football'!$H$4:$H$32</c:f>
              <c:numCache>
                <c:formatCode>0.00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128.02000000000001</c:v>
                </c:pt>
                <c:pt idx="3">
                  <c:v>125.97600000000001</c:v>
                </c:pt>
                <c:pt idx="4">
                  <c:v>126.72080000000001</c:v>
                </c:pt>
                <c:pt idx="5">
                  <c:v>126.15664000000001</c:v>
                </c:pt>
                <c:pt idx="6">
                  <c:v>125.90531200000002</c:v>
                </c:pt>
                <c:pt idx="7">
                  <c:v>124.46424960000002</c:v>
                </c:pt>
                <c:pt idx="8">
                  <c:v>124.35139968000001</c:v>
                </c:pt>
                <c:pt idx="9">
                  <c:v>123.76111974400001</c:v>
                </c:pt>
                <c:pt idx="10">
                  <c:v>122.06889579520002</c:v>
                </c:pt>
                <c:pt idx="11">
                  <c:v>120.43511663616002</c:v>
                </c:pt>
                <c:pt idx="12">
                  <c:v>117.88809330892802</c:v>
                </c:pt>
                <c:pt idx="13">
                  <c:v>116.41047464714242</c:v>
                </c:pt>
                <c:pt idx="14">
                  <c:v>115.12837971771394</c:v>
                </c:pt>
                <c:pt idx="15">
                  <c:v>112.96270377417116</c:v>
                </c:pt>
                <c:pt idx="16">
                  <c:v>111.99016301933693</c:v>
                </c:pt>
                <c:pt idx="17">
                  <c:v>111.39213041546955</c:v>
                </c:pt>
                <c:pt idx="18">
                  <c:v>111.71370433237564</c:v>
                </c:pt>
                <c:pt idx="19">
                  <c:v>111.91096346590052</c:v>
                </c:pt>
                <c:pt idx="20">
                  <c:v>110.82877077272042</c:v>
                </c:pt>
                <c:pt idx="21">
                  <c:v>111.18301661817634</c:v>
                </c:pt>
                <c:pt idx="22">
                  <c:v>111.30641329454107</c:v>
                </c:pt>
                <c:pt idx="23">
                  <c:v>112.26513063563286</c:v>
                </c:pt>
                <c:pt idx="24">
                  <c:v>113.39210450850629</c:v>
                </c:pt>
                <c:pt idx="25">
                  <c:v>114.03368360680504</c:v>
                </c:pt>
                <c:pt idx="26">
                  <c:v>113.72694688544404</c:v>
                </c:pt>
                <c:pt idx="27">
                  <c:v>114.44155750835523</c:v>
                </c:pt>
                <c:pt idx="28">
                  <c:v>113.7332460066842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2-47B4-BE88-65B9783F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95135"/>
        <c:axId val="503488479"/>
      </c:lineChart>
      <c:catAx>
        <c:axId val="50349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488479"/>
        <c:crosses val="autoZero"/>
        <c:auto val="1"/>
        <c:lblAlgn val="ctr"/>
        <c:lblOffset val="100"/>
        <c:noMultiLvlLbl val="0"/>
      </c:catAx>
      <c:valAx>
        <c:axId val="50348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495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Moving Average - 5</a:t>
            </a:r>
            <a:r>
              <a:rPr lang="en-US" sz="1400" b="0" baseline="0"/>
              <a:t> Period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'HW6 _time_series_football'!$C$4:$C$32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5-4193-9F05-A6BECBC33CBB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'HW6 _time_series_football'!$I$5:$I$33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125.8</c:v>
                </c:pt>
                <c:pt idx="5" formatCode="0.00">
                  <c:v>125.28</c:v>
                </c:pt>
                <c:pt idx="6" formatCode="0.00">
                  <c:v>123</c:v>
                </c:pt>
                <c:pt idx="7" formatCode="0.00">
                  <c:v>124.22</c:v>
                </c:pt>
                <c:pt idx="8" formatCode="0.00">
                  <c:v>122.55999999999999</c:v>
                </c:pt>
                <c:pt idx="9" formatCode="0.00">
                  <c:v>120.83999999999999</c:v>
                </c:pt>
                <c:pt idx="10" formatCode="0.00">
                  <c:v>118.64000000000001</c:v>
                </c:pt>
                <c:pt idx="11" formatCode="0.00">
                  <c:v>116.44000000000001</c:v>
                </c:pt>
                <c:pt idx="12" formatCode="0.00">
                  <c:v>113.75999999999999</c:v>
                </c:pt>
                <c:pt idx="13" formatCode="0.00">
                  <c:v>111.47999999999999</c:v>
                </c:pt>
                <c:pt idx="14" formatCode="0.00">
                  <c:v>109.28</c:v>
                </c:pt>
                <c:pt idx="15" formatCode="0.00">
                  <c:v>108.12</c:v>
                </c:pt>
                <c:pt idx="16" formatCode="0.00">
                  <c:v>108.38000000000002</c:v>
                </c:pt>
                <c:pt idx="17" formatCode="0.00">
                  <c:v>108.88000000000002</c:v>
                </c:pt>
                <c:pt idx="18" formatCode="0.00">
                  <c:v>109.42</c:v>
                </c:pt>
                <c:pt idx="19" formatCode="0.00">
                  <c:v>109.85999999999999</c:v>
                </c:pt>
                <c:pt idx="20" formatCode="0.00">
                  <c:v>110.75999999999999</c:v>
                </c:pt>
                <c:pt idx="21" formatCode="0.00">
                  <c:v>111.32000000000001</c:v>
                </c:pt>
                <c:pt idx="22" formatCode="0.00">
                  <c:v>111.94000000000001</c:v>
                </c:pt>
                <c:pt idx="23" formatCode="0.00">
                  <c:v>112.98000000000002</c:v>
                </c:pt>
                <c:pt idx="24" formatCode="0.00">
                  <c:v>115</c:v>
                </c:pt>
                <c:pt idx="25" formatCode="0.00">
                  <c:v>114.98000000000002</c:v>
                </c:pt>
                <c:pt idx="26" formatCode="0.00">
                  <c:v>116.08</c:v>
                </c:pt>
                <c:pt idx="27" formatCode="0.00">
                  <c:v>115.04</c:v>
                </c:pt>
                <c:pt idx="28" formatCode="0.00">
                  <c:v>114.38000000000002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5-4193-9F05-A6BECBC3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45935"/>
        <c:axId val="545555503"/>
      </c:lineChart>
      <c:catAx>
        <c:axId val="54554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45555503"/>
        <c:crosses val="autoZero"/>
        <c:auto val="1"/>
        <c:lblAlgn val="ctr"/>
        <c:lblOffset val="100"/>
        <c:noMultiLvlLbl val="0"/>
      </c:catAx>
      <c:valAx>
        <c:axId val="54555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5545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 / Foot Relationship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handfoot_regression!$C$10</c:f>
              <c:strCache>
                <c:ptCount val="1"/>
                <c:pt idx="0">
                  <c:v>Foot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566929133858297E-2"/>
                  <c:y val="-7.4433143773694893E-2"/>
                </c:manualLayout>
              </c:layout>
              <c:numFmt formatCode="General" sourceLinked="0"/>
            </c:trendlineLbl>
          </c:trendline>
          <c:xVal>
            <c:numRef>
              <c:f>handfoot_regression!$B$11:$B$42</c:f>
              <c:numCache>
                <c:formatCode>General</c:formatCode>
                <c:ptCount val="32"/>
                <c:pt idx="0">
                  <c:v>20.5</c:v>
                </c:pt>
                <c:pt idx="1">
                  <c:v>17.5</c:v>
                </c:pt>
                <c:pt idx="2">
                  <c:v>18.399999999999999</c:v>
                </c:pt>
                <c:pt idx="3">
                  <c:v>17.5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18.5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19.5</c:v>
                </c:pt>
                <c:pt idx="17">
                  <c:v>17.600000000000001</c:v>
                </c:pt>
                <c:pt idx="18">
                  <c:v>20.5</c:v>
                </c:pt>
                <c:pt idx="19">
                  <c:v>20</c:v>
                </c:pt>
                <c:pt idx="20">
                  <c:v>20.5</c:v>
                </c:pt>
                <c:pt idx="21">
                  <c:v>16.25</c:v>
                </c:pt>
                <c:pt idx="22">
                  <c:v>18.25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19.600000000000001</c:v>
                </c:pt>
                <c:pt idx="28">
                  <c:v>18</c:v>
                </c:pt>
                <c:pt idx="29">
                  <c:v>20.5</c:v>
                </c:pt>
                <c:pt idx="30">
                  <c:v>19</c:v>
                </c:pt>
                <c:pt idx="31">
                  <c:v>18.5</c:v>
                </c:pt>
              </c:numCache>
            </c:numRef>
          </c:xVal>
          <c:yVal>
            <c:numRef>
              <c:f>handfoot_regression!$C$11:$C$42</c:f>
              <c:numCache>
                <c:formatCode>General</c:formatCode>
                <c:ptCount val="32"/>
                <c:pt idx="0">
                  <c:v>28</c:v>
                </c:pt>
                <c:pt idx="1">
                  <c:v>23</c:v>
                </c:pt>
                <c:pt idx="2">
                  <c:v>25.1</c:v>
                </c:pt>
                <c:pt idx="3">
                  <c:v>23</c:v>
                </c:pt>
                <c:pt idx="4">
                  <c:v>26</c:v>
                </c:pt>
                <c:pt idx="5">
                  <c:v>22.7</c:v>
                </c:pt>
                <c:pt idx="6">
                  <c:v>26</c:v>
                </c:pt>
                <c:pt idx="7">
                  <c:v>25</c:v>
                </c:pt>
                <c:pt idx="8">
                  <c:v>24.5</c:v>
                </c:pt>
                <c:pt idx="9">
                  <c:v>23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26.5</c:v>
                </c:pt>
                <c:pt idx="14">
                  <c:v>25.8</c:v>
                </c:pt>
                <c:pt idx="15">
                  <c:v>26</c:v>
                </c:pt>
                <c:pt idx="16">
                  <c:v>26.5</c:v>
                </c:pt>
                <c:pt idx="17">
                  <c:v>24.9</c:v>
                </c:pt>
                <c:pt idx="18">
                  <c:v>27.5</c:v>
                </c:pt>
                <c:pt idx="19">
                  <c:v>26.5</c:v>
                </c:pt>
                <c:pt idx="20">
                  <c:v>28</c:v>
                </c:pt>
                <c:pt idx="21">
                  <c:v>21.5</c:v>
                </c:pt>
                <c:pt idx="22">
                  <c:v>25.5</c:v>
                </c:pt>
                <c:pt idx="23">
                  <c:v>26.5</c:v>
                </c:pt>
                <c:pt idx="24">
                  <c:v>28</c:v>
                </c:pt>
                <c:pt idx="25">
                  <c:v>29.6</c:v>
                </c:pt>
                <c:pt idx="26">
                  <c:v>27.5</c:v>
                </c:pt>
                <c:pt idx="27">
                  <c:v>25.7</c:v>
                </c:pt>
                <c:pt idx="28">
                  <c:v>23.5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5-476D-B91F-078DA673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2280"/>
        <c:axId val="2103107608"/>
      </c:scatterChart>
      <c:valAx>
        <c:axId val="2103102280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7608"/>
        <c:crosses val="autoZero"/>
        <c:crossBetween val="midCat"/>
      </c:valAx>
      <c:valAx>
        <c:axId val="2103107608"/>
        <c:scaling>
          <c:orientation val="minMax"/>
          <c:min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31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baseball_AR_forecast!$B$3:$B$94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F68-82CF-A6B959F9E4E2}"/>
            </c:ext>
          </c:extLst>
        </c:ser>
        <c:ser>
          <c:idx val="1"/>
          <c:order val="1"/>
          <c:tx>
            <c:v>Forecast</c:v>
          </c:tx>
          <c:val>
            <c:numRef>
              <c:f>baseball_AR_forecast!$D$4:$D$95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9-4F68-82CF-A6B959F9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baseball_AR_forecast!$B$3:$B$94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64B-A4B5-B0DFBAF15F6F}"/>
            </c:ext>
          </c:extLst>
        </c:ser>
        <c:ser>
          <c:idx val="1"/>
          <c:order val="1"/>
          <c:tx>
            <c:v>Forecast</c:v>
          </c:tx>
          <c:val>
            <c:numRef>
              <c:f>baseball_AR_forecast!$E$3:$E$94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E-464B-A4B5-B0DFBAF1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continuous'!$G$6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'x-bar &amp; R continuous'!$G$7:$G$26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F-4120-89A0-5A3423F23A82}"/>
            </c:ext>
          </c:extLst>
        </c:ser>
        <c:ser>
          <c:idx val="1"/>
          <c:order val="1"/>
          <c:tx>
            <c:strRef>
              <c:f>'x-bar &amp; R continuous'!$H$6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'x-bar &amp; R continuous'!$H$7:$H$26</c:f>
              <c:numCache>
                <c:formatCode>0.000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F-4120-89A0-5A3423F23A82}"/>
            </c:ext>
          </c:extLst>
        </c:ser>
        <c:ser>
          <c:idx val="2"/>
          <c:order val="2"/>
          <c:tx>
            <c:strRef>
              <c:f>'x-bar &amp; R continuous'!$I$6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'x-bar &amp; R continuous'!$I$7:$I$26</c:f>
              <c:numCache>
                <c:formatCode>0.000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F-4120-89A0-5A3423F23A82}"/>
            </c:ext>
          </c:extLst>
        </c:ser>
        <c:ser>
          <c:idx val="3"/>
          <c:order val="3"/>
          <c:tx>
            <c:strRef>
              <c:f>'x-bar &amp; R continuous'!$J$6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'x-bar &amp; R continuous'!$J$7:$J$26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F-4120-89A0-5A3423F2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(difference 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continuous'!$M$6</c:f>
              <c:strCache>
                <c:ptCount val="1"/>
                <c:pt idx="0">
                  <c:v>x-bar</c:v>
                </c:pt>
              </c:strCache>
            </c:strRef>
          </c:tx>
          <c:marker>
            <c:symbol val="none"/>
          </c:marker>
          <c:val>
            <c:numRef>
              <c:f>'x-bar &amp; R continuous'!$M$7:$M$26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0-4BDA-9257-ABCC2B40CEF2}"/>
            </c:ext>
          </c:extLst>
        </c:ser>
        <c:ser>
          <c:idx val="1"/>
          <c:order val="1"/>
          <c:tx>
            <c:strRef>
              <c:f>'x-bar &amp; R continuous'!$N$6</c:f>
              <c:strCache>
                <c:ptCount val="1"/>
                <c:pt idx="0">
                  <c:v>x bar bar</c:v>
                </c:pt>
              </c:strCache>
            </c:strRef>
          </c:tx>
          <c:marker>
            <c:symbol val="none"/>
          </c:marker>
          <c:val>
            <c:numRef>
              <c:f>'x-bar &amp; R continuous'!$N$7:$N$26</c:f>
              <c:numCache>
                <c:formatCode>0.000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0-4BDA-9257-ABCC2B40CEF2}"/>
            </c:ext>
          </c:extLst>
        </c:ser>
        <c:ser>
          <c:idx val="2"/>
          <c:order val="2"/>
          <c:tx>
            <c:strRef>
              <c:f>'x-bar &amp; R continuous'!$O$6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'x-bar &amp; R continuous'!$O$7:$O$26</c:f>
              <c:numCache>
                <c:formatCode>0.000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0-4BDA-9257-ABCC2B40CEF2}"/>
            </c:ext>
          </c:extLst>
        </c:ser>
        <c:ser>
          <c:idx val="3"/>
          <c:order val="3"/>
          <c:tx>
            <c:strRef>
              <c:f>'x-bar &amp; R continuous'!$P$6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'x-bar &amp; R continuous'!$P$7:$P$26</c:f>
              <c:numCache>
                <c:formatCode>0.000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0-4BDA-9257-ABCC2B40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5987729658792655"/>
          <c:h val="0.54135790317876931"/>
        </c:manualLayout>
      </c:layout>
      <c:lineChart>
        <c:grouping val="standard"/>
        <c:varyColors val="0"/>
        <c:ser>
          <c:idx val="1"/>
          <c:order val="1"/>
          <c:tx>
            <c:strRef>
              <c:f>'HW5 XmR'!$B$5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XmR'!$C$5:$N$5</c:f>
              <c:numCache>
                <c:formatCode>General</c:formatCode>
                <c:ptCount val="12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1.8000000000000007</c:v>
                </c:pt>
                <c:pt idx="7">
                  <c:v>0</c:v>
                </c:pt>
                <c:pt idx="8">
                  <c:v>1.6999999999999993</c:v>
                </c:pt>
                <c:pt idx="9">
                  <c:v>0.20000000000000018</c:v>
                </c:pt>
                <c:pt idx="10">
                  <c:v>2.8</c:v>
                </c:pt>
                <c:pt idx="11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A-4DE5-8B9A-02EBD8726642}"/>
            </c:ext>
          </c:extLst>
        </c:ser>
        <c:ser>
          <c:idx val="5"/>
          <c:order val="5"/>
          <c:tx>
            <c:strRef>
              <c:f>'HW5 XmR'!$B$9</c:f>
              <c:strCache>
                <c:ptCount val="1"/>
                <c:pt idx="0">
                  <c:v>r-avg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XmR'!$C$9:$N$9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A-4DE5-8B9A-02EBD8726642}"/>
            </c:ext>
          </c:extLst>
        </c:ser>
        <c:ser>
          <c:idx val="6"/>
          <c:order val="6"/>
          <c:tx>
            <c:strRef>
              <c:f>'HW5 XmR'!$B$10</c:f>
              <c:strCache>
                <c:ptCount val="1"/>
                <c:pt idx="0">
                  <c:v>r-upper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XmR'!$C$10:$N$10</c:f>
              <c:numCache>
                <c:formatCode>0.0</c:formatCode>
                <c:ptCount val="12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  <c:pt idx="6">
                  <c:v>2.6160000000000001</c:v>
                </c:pt>
                <c:pt idx="7">
                  <c:v>2.6160000000000001</c:v>
                </c:pt>
                <c:pt idx="8">
                  <c:v>2.6160000000000001</c:v>
                </c:pt>
                <c:pt idx="9">
                  <c:v>2.6160000000000001</c:v>
                </c:pt>
                <c:pt idx="10">
                  <c:v>2.6160000000000001</c:v>
                </c:pt>
                <c:pt idx="11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A-4DE5-8B9A-02EBD8726642}"/>
            </c:ext>
          </c:extLst>
        </c:ser>
        <c:ser>
          <c:idx val="7"/>
          <c:order val="7"/>
          <c:tx>
            <c:strRef>
              <c:f>'HW5 XmR'!$B$11</c:f>
              <c:strCache>
                <c:ptCount val="1"/>
                <c:pt idx="0">
                  <c:v>r-lower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XmR'!$C$11:$N$11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A-4DE5-8B9A-02EBD872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18383"/>
        <c:axId val="398809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'HW5 XmR'!$B$4</c15:sqref>
                        </c15:formulaRef>
                      </c:ext>
                    </c:extLst>
                    <c:strCache>
                      <c:ptCount val="1"/>
                      <c:pt idx="0">
                        <c:v>Deficit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'HW5 XmR'!$C$4:$N$4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10.5</c:v>
                      </c:pt>
                      <c:pt idx="1">
                        <c:v>11.2</c:v>
                      </c:pt>
                      <c:pt idx="2">
                        <c:v>9.1999999999999993</c:v>
                      </c:pt>
                      <c:pt idx="3">
                        <c:v>10.1</c:v>
                      </c:pt>
                      <c:pt idx="4">
                        <c:v>10.4</c:v>
                      </c:pt>
                      <c:pt idx="5">
                        <c:v>10.5</c:v>
                      </c:pt>
                      <c:pt idx="6">
                        <c:v>8.6999999999999993</c:v>
                      </c:pt>
                      <c:pt idx="7">
                        <c:v>8.6999999999999993</c:v>
                      </c:pt>
                      <c:pt idx="8">
                        <c:v>7</c:v>
                      </c:pt>
                      <c:pt idx="9">
                        <c:v>6.8</c:v>
                      </c:pt>
                      <c:pt idx="10">
                        <c:v>9.6</c:v>
                      </c:pt>
                      <c:pt idx="1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1AA-4DE5-8B9A-02EBD87266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XmR'!$B$6</c15:sqref>
                        </c15:formulaRef>
                      </c:ext>
                    </c:extLst>
                    <c:strCache>
                      <c:ptCount val="1"/>
                      <c:pt idx="0">
                        <c:v>x-avg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XmR'!$C$6:$N$6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10.316666666666666</c:v>
                      </c:pt>
                      <c:pt idx="1">
                        <c:v>10.316666666666666</c:v>
                      </c:pt>
                      <c:pt idx="2">
                        <c:v>10.316666666666666</c:v>
                      </c:pt>
                      <c:pt idx="3">
                        <c:v>10.316666666666666</c:v>
                      </c:pt>
                      <c:pt idx="4">
                        <c:v>10.316666666666666</c:v>
                      </c:pt>
                      <c:pt idx="5">
                        <c:v>10.316666666666666</c:v>
                      </c:pt>
                      <c:pt idx="6">
                        <c:v>10.316666666666666</c:v>
                      </c:pt>
                      <c:pt idx="7">
                        <c:v>10.316666666666666</c:v>
                      </c:pt>
                      <c:pt idx="8">
                        <c:v>10.316666666666666</c:v>
                      </c:pt>
                      <c:pt idx="9">
                        <c:v>10.316666666666666</c:v>
                      </c:pt>
                      <c:pt idx="10">
                        <c:v>10.316666666666666</c:v>
                      </c:pt>
                      <c:pt idx="11">
                        <c:v>10.316666666666666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AA-4DE5-8B9A-02EBD87266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XmR'!$B$7</c15:sqref>
                        </c15:formulaRef>
                      </c:ext>
                    </c:extLst>
                    <c:strCache>
                      <c:ptCount val="1"/>
                      <c:pt idx="0">
                        <c:v>x-upper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XmR'!$C$7:$N$7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12.444666666666667</c:v>
                      </c:pt>
                      <c:pt idx="1">
                        <c:v>12.444666666666667</c:v>
                      </c:pt>
                      <c:pt idx="2">
                        <c:v>12.444666666666667</c:v>
                      </c:pt>
                      <c:pt idx="3">
                        <c:v>12.444666666666667</c:v>
                      </c:pt>
                      <c:pt idx="4">
                        <c:v>12.444666666666667</c:v>
                      </c:pt>
                      <c:pt idx="5">
                        <c:v>12.444666666666667</c:v>
                      </c:pt>
                      <c:pt idx="6">
                        <c:v>12.444666666666667</c:v>
                      </c:pt>
                      <c:pt idx="7">
                        <c:v>12.444666666666667</c:v>
                      </c:pt>
                      <c:pt idx="8">
                        <c:v>12.444666666666667</c:v>
                      </c:pt>
                      <c:pt idx="9">
                        <c:v>12.444666666666667</c:v>
                      </c:pt>
                      <c:pt idx="10">
                        <c:v>12.444666666666667</c:v>
                      </c:pt>
                      <c:pt idx="11">
                        <c:v>12.444666666666667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AA-4DE5-8B9A-02EBD87266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XmR'!$B$8</c15:sqref>
                        </c15:formulaRef>
                      </c:ext>
                    </c:extLst>
                    <c:strCache>
                      <c:ptCount val="1"/>
                      <c:pt idx="0">
                        <c:v>x-lower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XmR'!$C$8:$N$8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8.1886666666666663</c:v>
                      </c:pt>
                      <c:pt idx="1">
                        <c:v>8.1886666666666663</c:v>
                      </c:pt>
                      <c:pt idx="2">
                        <c:v>8.1886666666666663</c:v>
                      </c:pt>
                      <c:pt idx="3">
                        <c:v>8.1886666666666663</c:v>
                      </c:pt>
                      <c:pt idx="4">
                        <c:v>8.1886666666666663</c:v>
                      </c:pt>
                      <c:pt idx="5">
                        <c:v>8.1886666666666663</c:v>
                      </c:pt>
                      <c:pt idx="6">
                        <c:v>8.1886666666666663</c:v>
                      </c:pt>
                      <c:pt idx="7">
                        <c:v>8.1886666666666663</c:v>
                      </c:pt>
                      <c:pt idx="8">
                        <c:v>8.1886666666666663</c:v>
                      </c:pt>
                      <c:pt idx="9">
                        <c:v>8.1886666666666663</c:v>
                      </c:pt>
                      <c:pt idx="10">
                        <c:v>8.1886666666666663</c:v>
                      </c:pt>
                      <c:pt idx="11">
                        <c:v>8.1886666666666663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AA-4DE5-8B9A-02EBD8726642}"/>
                  </c:ext>
                </c:extLst>
              </c15:ser>
            </c15:filteredLineSeries>
          </c:ext>
        </c:extLst>
      </c:lineChart>
      <c:catAx>
        <c:axId val="398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9647"/>
        <c:crosses val="autoZero"/>
        <c:auto val="1"/>
        <c:lblAlgn val="ctr"/>
        <c:lblOffset val="100"/>
        <c:noMultiLvlLbl val="0"/>
      </c:catAx>
      <c:valAx>
        <c:axId val="3988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Deficits</a:t>
            </a:r>
            <a:r>
              <a:rPr lang="en-US" baseline="0"/>
              <a:t> 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5987729658792655"/>
          <c:h val="0.54135790317876931"/>
        </c:manualLayout>
      </c:layout>
      <c:lineChart>
        <c:grouping val="standard"/>
        <c:varyColors val="0"/>
        <c:ser>
          <c:idx val="0"/>
          <c:order val="0"/>
          <c:tx>
            <c:strRef>
              <c:f>'HW5 XmR'!$B$4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XmR'!$C$4:$N$4</c:f>
              <c:numCache>
                <c:formatCode>General</c:formatCode>
                <c:ptCount val="12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7</c:v>
                </c:pt>
                <c:pt idx="9">
                  <c:v>6.8</c:v>
                </c:pt>
                <c:pt idx="10">
                  <c:v>9.6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7-47D2-890B-28278E80C828}"/>
            </c:ext>
          </c:extLst>
        </c:ser>
        <c:ser>
          <c:idx val="2"/>
          <c:order val="2"/>
          <c:tx>
            <c:strRef>
              <c:f>'HW5 XmR'!$B$6</c:f>
              <c:strCache>
                <c:ptCount val="1"/>
                <c:pt idx="0">
                  <c:v>x-avg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XmR'!$C$6:$N$6</c:f>
              <c:numCache>
                <c:formatCode>0.0</c:formatCode>
                <c:ptCount val="12"/>
                <c:pt idx="0">
                  <c:v>10.316666666666666</c:v>
                </c:pt>
                <c:pt idx="1">
                  <c:v>10.316666666666666</c:v>
                </c:pt>
                <c:pt idx="2">
                  <c:v>10.316666666666666</c:v>
                </c:pt>
                <c:pt idx="3">
                  <c:v>10.316666666666666</c:v>
                </c:pt>
                <c:pt idx="4">
                  <c:v>10.316666666666666</c:v>
                </c:pt>
                <c:pt idx="5">
                  <c:v>10.316666666666666</c:v>
                </c:pt>
                <c:pt idx="6">
                  <c:v>10.316666666666666</c:v>
                </c:pt>
                <c:pt idx="7">
                  <c:v>10.316666666666666</c:v>
                </c:pt>
                <c:pt idx="8">
                  <c:v>10.316666666666666</c:v>
                </c:pt>
                <c:pt idx="9">
                  <c:v>10.316666666666666</c:v>
                </c:pt>
                <c:pt idx="10">
                  <c:v>10.316666666666666</c:v>
                </c:pt>
                <c:pt idx="11">
                  <c:v>10.316666666666666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7-47D2-890B-28278E80C828}"/>
            </c:ext>
          </c:extLst>
        </c:ser>
        <c:ser>
          <c:idx val="3"/>
          <c:order val="3"/>
          <c:tx>
            <c:strRef>
              <c:f>'HW5 XmR'!$B$7</c:f>
              <c:strCache>
                <c:ptCount val="1"/>
                <c:pt idx="0">
                  <c:v>x-upper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XmR'!$C$7:$N$7</c:f>
              <c:numCache>
                <c:formatCode>0.0</c:formatCode>
                <c:ptCount val="12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  <c:pt idx="6">
                  <c:v>12.444666666666667</c:v>
                </c:pt>
                <c:pt idx="7">
                  <c:v>12.444666666666667</c:v>
                </c:pt>
                <c:pt idx="8">
                  <c:v>12.444666666666667</c:v>
                </c:pt>
                <c:pt idx="9">
                  <c:v>12.444666666666667</c:v>
                </c:pt>
                <c:pt idx="10">
                  <c:v>12.444666666666667</c:v>
                </c:pt>
                <c:pt idx="11">
                  <c:v>12.444666666666667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7-47D2-890B-28278E80C828}"/>
            </c:ext>
          </c:extLst>
        </c:ser>
        <c:ser>
          <c:idx val="4"/>
          <c:order val="4"/>
          <c:tx>
            <c:strRef>
              <c:f>'HW5 XmR'!$B$8</c:f>
              <c:strCache>
                <c:ptCount val="1"/>
                <c:pt idx="0">
                  <c:v>x-lower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'HW5 XmR'!$C$2:$N$3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1988</c:v>
                  </c:pt>
                  <c:pt idx="1">
                    <c:v>1988</c:v>
                  </c:pt>
                  <c:pt idx="2">
                    <c:v>1988</c:v>
                  </c:pt>
                  <c:pt idx="3">
                    <c:v>1988</c:v>
                  </c:pt>
                  <c:pt idx="4">
                    <c:v>1988</c:v>
                  </c:pt>
                  <c:pt idx="5">
                    <c:v>1988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</c:lvl>
              </c:multiLvlStrCache>
            </c:multiLvlStrRef>
          </c:cat>
          <c:val>
            <c:numRef>
              <c:f>'HW5 XmR'!$C$8:$N$8</c:f>
              <c:numCache>
                <c:formatCode>0.0</c:formatCode>
                <c:ptCount val="12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  <c:pt idx="6">
                  <c:v>8.1886666666666663</c:v>
                </c:pt>
                <c:pt idx="7">
                  <c:v>8.1886666666666663</c:v>
                </c:pt>
                <c:pt idx="8">
                  <c:v>8.1886666666666663</c:v>
                </c:pt>
                <c:pt idx="9">
                  <c:v>8.1886666666666663</c:v>
                </c:pt>
                <c:pt idx="10">
                  <c:v>8.1886666666666663</c:v>
                </c:pt>
                <c:pt idx="11">
                  <c:v>8.1886666666666663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7-47D2-890B-28278E80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18383"/>
        <c:axId val="3988096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'HW5 XmR'!$B$5</c15:sqref>
                        </c15:formulaRef>
                      </c:ext>
                    </c:extLst>
                    <c:strCache>
                      <c:ptCount val="1"/>
                      <c:pt idx="0">
                        <c:v>mR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'HW5 XmR'!$C$5:$N$5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0.69999999999999929</c:v>
                      </c:pt>
                      <c:pt idx="2">
                        <c:v>2</c:v>
                      </c:pt>
                      <c:pt idx="3">
                        <c:v>0.90000000000000036</c:v>
                      </c:pt>
                      <c:pt idx="4">
                        <c:v>0.30000000000000071</c:v>
                      </c:pt>
                      <c:pt idx="5">
                        <c:v>9.9999999999999645E-2</c:v>
                      </c:pt>
                      <c:pt idx="6">
                        <c:v>1.8000000000000007</c:v>
                      </c:pt>
                      <c:pt idx="7">
                        <c:v>0</c:v>
                      </c:pt>
                      <c:pt idx="8">
                        <c:v>1.6999999999999993</c:v>
                      </c:pt>
                      <c:pt idx="9">
                        <c:v>0.20000000000000018</c:v>
                      </c:pt>
                      <c:pt idx="10">
                        <c:v>2.8</c:v>
                      </c:pt>
                      <c:pt idx="11">
                        <c:v>0.59999999999999964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97-47D2-890B-28278E80C8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XmR'!$B$9</c15:sqref>
                        </c15:formulaRef>
                      </c:ext>
                    </c:extLst>
                    <c:strCache>
                      <c:ptCount val="1"/>
                      <c:pt idx="0">
                        <c:v>r-avg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XmR'!$C$9:$N$9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  <c:pt idx="10">
                        <c:v>0.8</c:v>
                      </c:pt>
                      <c:pt idx="11">
                        <c:v>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97-47D2-890B-28278E80C8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XmR'!$B$10</c15:sqref>
                        </c15:formulaRef>
                      </c:ext>
                    </c:extLst>
                    <c:strCache>
                      <c:ptCount val="1"/>
                      <c:pt idx="0">
                        <c:v>r-upper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XmR'!$C$10:$N$10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2.6160000000000001</c:v>
                      </c:pt>
                      <c:pt idx="1">
                        <c:v>2.6160000000000001</c:v>
                      </c:pt>
                      <c:pt idx="2">
                        <c:v>2.6160000000000001</c:v>
                      </c:pt>
                      <c:pt idx="3">
                        <c:v>2.6160000000000001</c:v>
                      </c:pt>
                      <c:pt idx="4">
                        <c:v>2.6160000000000001</c:v>
                      </c:pt>
                      <c:pt idx="5">
                        <c:v>2.6160000000000001</c:v>
                      </c:pt>
                      <c:pt idx="6">
                        <c:v>2.6160000000000001</c:v>
                      </c:pt>
                      <c:pt idx="7">
                        <c:v>2.6160000000000001</c:v>
                      </c:pt>
                      <c:pt idx="8">
                        <c:v>2.6160000000000001</c:v>
                      </c:pt>
                      <c:pt idx="9">
                        <c:v>2.6160000000000001</c:v>
                      </c:pt>
                      <c:pt idx="10">
                        <c:v>2.6160000000000001</c:v>
                      </c:pt>
                      <c:pt idx="11">
                        <c:v>2.6160000000000001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97-47D2-890B-28278E80C8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XmR'!$B$11</c15:sqref>
                        </c15:formulaRef>
                      </c:ext>
                    </c:extLst>
                    <c:strCache>
                      <c:ptCount val="1"/>
                      <c:pt idx="0">
                        <c:v>r-lower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XmR'!$C$2:$N$3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Jul</c:v>
                        </c:pt>
                        <c:pt idx="1">
                          <c:v>Aug</c:v>
                        </c:pt>
                        <c:pt idx="2">
                          <c:v>Sep</c:v>
                        </c:pt>
                        <c:pt idx="3">
                          <c:v>Oct</c:v>
                        </c:pt>
                        <c:pt idx="4">
                          <c:v>Nov</c:v>
                        </c:pt>
                        <c:pt idx="5">
                          <c:v>Dec</c:v>
                        </c:pt>
                        <c:pt idx="6">
                          <c:v>Jan</c:v>
                        </c:pt>
                        <c:pt idx="7">
                          <c:v>Feb</c:v>
                        </c:pt>
                        <c:pt idx="8">
                          <c:v>Mar</c:v>
                        </c:pt>
                        <c:pt idx="9">
                          <c:v>Apr</c:v>
                        </c:pt>
                        <c:pt idx="10">
                          <c:v>May</c:v>
                        </c:pt>
                        <c:pt idx="11">
                          <c:v>Jun</c:v>
                        </c:pt>
                      </c:lvl>
                      <c:lvl>
                        <c:pt idx="0">
                          <c:v>1988</c:v>
                        </c:pt>
                        <c:pt idx="1">
                          <c:v>1988</c:v>
                        </c:pt>
                        <c:pt idx="2">
                          <c:v>1988</c:v>
                        </c:pt>
                        <c:pt idx="3">
                          <c:v>1988</c:v>
                        </c:pt>
                        <c:pt idx="4">
                          <c:v>1988</c:v>
                        </c:pt>
                        <c:pt idx="5">
                          <c:v>1988</c:v>
                        </c:pt>
                        <c:pt idx="6">
                          <c:v>1999</c:v>
                        </c:pt>
                        <c:pt idx="7">
                          <c:v>1999</c:v>
                        </c:pt>
                        <c:pt idx="8">
                          <c:v>1999</c:v>
                        </c:pt>
                        <c:pt idx="9">
                          <c:v>1999</c:v>
                        </c:pt>
                        <c:pt idx="10">
                          <c:v>1999</c:v>
                        </c:pt>
                        <c:pt idx="11">
                          <c:v>1999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'HW5 XmR'!$C$11:$N$11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97-47D2-890B-28278E80C828}"/>
                  </c:ext>
                </c:extLst>
              </c15:ser>
            </c15:filteredLineSeries>
          </c:ext>
        </c:extLst>
      </c:lineChart>
      <c:catAx>
        <c:axId val="398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9647"/>
        <c:crosses val="autoZero"/>
        <c:auto val="1"/>
        <c:lblAlgn val="ctr"/>
        <c:lblOffset val="100"/>
        <c:noMultiLvlLbl val="0"/>
      </c:catAx>
      <c:valAx>
        <c:axId val="3988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Deficits (X)</a:t>
                </a:r>
              </a:p>
            </c:rich>
          </c:tx>
          <c:layout>
            <c:manualLayout>
              <c:xMode val="edge"/>
              <c:yMode val="edge"/>
              <c:x val="1.4638888888888889E-2"/>
              <c:y val="0.2585491396908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'HW6 _time_series_football'!$C$3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48600174978122E-2"/>
                  <c:y val="-0.23068095654709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'HW6 _time_series_football'!$B$4:$B$32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'HW6 _time_series_football'!$C$4:$C$32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F-4CD2-B275-0458AE82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64559"/>
        <c:axId val="398862063"/>
      </c:scatterChart>
      <c:valAx>
        <c:axId val="3988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2063"/>
        <c:crosses val="autoZero"/>
        <c:crossBetween val="midCat"/>
      </c:valAx>
      <c:valAx>
        <c:axId val="3988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9525</xdr:rowOff>
    </xdr:from>
    <xdr:to>
      <xdr:col>14</xdr:col>
      <xdr:colOff>257175</xdr:colOff>
      <xdr:row>25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6AF814C-B007-480D-AA55-0332A8DF8B25}"/>
            </a:ext>
          </a:extLst>
        </xdr:cNvPr>
        <xdr:cNvGrpSpPr/>
      </xdr:nvGrpSpPr>
      <xdr:grpSpPr>
        <a:xfrm>
          <a:off x="8239125" y="3676650"/>
          <a:ext cx="1647825" cy="1133475"/>
          <a:chOff x="8096250" y="3676650"/>
          <a:chExt cx="1581150" cy="11334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2A37CDB-E81B-473C-8E27-FCE1F557E3F1}"/>
              </a:ext>
            </a:extLst>
          </xdr:cNvPr>
          <xdr:cNvGrpSpPr/>
        </xdr:nvGrpSpPr>
        <xdr:grpSpPr>
          <a:xfrm>
            <a:off x="8096250" y="3676650"/>
            <a:ext cx="1581150" cy="1133475"/>
            <a:chOff x="8096250" y="3676650"/>
            <a:chExt cx="1581150" cy="1133475"/>
          </a:xfrm>
        </xdr:grpSpPr>
        <xdr:sp macro="" textlink="">
          <xdr:nvSpPr>
            <xdr:cNvPr id="5" name="Freeform 1">
              <a:extLst>
                <a:ext uri="{FF2B5EF4-FFF2-40B4-BE49-F238E27FC236}">
                  <a16:creationId xmlns:a16="http://schemas.microsoft.com/office/drawing/2014/main" id="{5B08DF6F-AE50-4BED-AB52-C3EEE08F6314}"/>
                </a:ext>
              </a:extLst>
            </xdr:cNvPr>
            <xdr:cNvSpPr/>
          </xdr:nvSpPr>
          <xdr:spPr>
            <a:xfrm>
              <a:off x="8096250" y="3857625"/>
              <a:ext cx="1581150" cy="742950"/>
            </a:xfrm>
            <a:custGeom>
              <a:avLst/>
              <a:gdLst>
                <a:gd name="connsiteX0" fmla="*/ 0 w 1581150"/>
                <a:gd name="connsiteY0" fmla="*/ 742950 h 742950"/>
                <a:gd name="connsiteX1" fmla="*/ 47625 w 1581150"/>
                <a:gd name="connsiteY1" fmla="*/ 733425 h 742950"/>
                <a:gd name="connsiteX2" fmla="*/ 161925 w 1581150"/>
                <a:gd name="connsiteY2" fmla="*/ 714375 h 742950"/>
                <a:gd name="connsiteX3" fmla="*/ 180975 w 1581150"/>
                <a:gd name="connsiteY3" fmla="*/ 685800 h 742950"/>
                <a:gd name="connsiteX4" fmla="*/ 209550 w 1581150"/>
                <a:gd name="connsiteY4" fmla="*/ 657225 h 742950"/>
                <a:gd name="connsiteX5" fmla="*/ 228600 w 1581150"/>
                <a:gd name="connsiteY5" fmla="*/ 600075 h 742950"/>
                <a:gd name="connsiteX6" fmla="*/ 257175 w 1581150"/>
                <a:gd name="connsiteY6" fmla="*/ 542925 h 742950"/>
                <a:gd name="connsiteX7" fmla="*/ 276225 w 1581150"/>
                <a:gd name="connsiteY7" fmla="*/ 514350 h 742950"/>
                <a:gd name="connsiteX8" fmla="*/ 295275 w 1581150"/>
                <a:gd name="connsiteY8" fmla="*/ 457200 h 742950"/>
                <a:gd name="connsiteX9" fmla="*/ 304800 w 1581150"/>
                <a:gd name="connsiteY9" fmla="*/ 428625 h 742950"/>
                <a:gd name="connsiteX10" fmla="*/ 314325 w 1581150"/>
                <a:gd name="connsiteY10" fmla="*/ 390525 h 742950"/>
                <a:gd name="connsiteX11" fmla="*/ 333375 w 1581150"/>
                <a:gd name="connsiteY11" fmla="*/ 333375 h 742950"/>
                <a:gd name="connsiteX12" fmla="*/ 352425 w 1581150"/>
                <a:gd name="connsiteY12" fmla="*/ 304800 h 742950"/>
                <a:gd name="connsiteX13" fmla="*/ 361950 w 1581150"/>
                <a:gd name="connsiteY13" fmla="*/ 276225 h 742950"/>
                <a:gd name="connsiteX14" fmla="*/ 381000 w 1581150"/>
                <a:gd name="connsiteY14" fmla="*/ 247650 h 742950"/>
                <a:gd name="connsiteX15" fmla="*/ 390525 w 1581150"/>
                <a:gd name="connsiteY15" fmla="*/ 219075 h 742950"/>
                <a:gd name="connsiteX16" fmla="*/ 409575 w 1581150"/>
                <a:gd name="connsiteY16" fmla="*/ 190500 h 742950"/>
                <a:gd name="connsiteX17" fmla="*/ 419100 w 1581150"/>
                <a:gd name="connsiteY17" fmla="*/ 161925 h 742950"/>
                <a:gd name="connsiteX18" fmla="*/ 457200 w 1581150"/>
                <a:gd name="connsiteY18" fmla="*/ 104775 h 742950"/>
                <a:gd name="connsiteX19" fmla="*/ 476250 w 1581150"/>
                <a:gd name="connsiteY19" fmla="*/ 76200 h 742950"/>
                <a:gd name="connsiteX20" fmla="*/ 504825 w 1581150"/>
                <a:gd name="connsiteY20" fmla="*/ 57150 h 742950"/>
                <a:gd name="connsiteX21" fmla="*/ 561975 w 1581150"/>
                <a:gd name="connsiteY21" fmla="*/ 38100 h 742950"/>
                <a:gd name="connsiteX22" fmla="*/ 590550 w 1581150"/>
                <a:gd name="connsiteY22" fmla="*/ 19050 h 742950"/>
                <a:gd name="connsiteX23" fmla="*/ 666750 w 1581150"/>
                <a:gd name="connsiteY23" fmla="*/ 0 h 742950"/>
                <a:gd name="connsiteX24" fmla="*/ 771525 w 1581150"/>
                <a:gd name="connsiteY24" fmla="*/ 9525 h 742950"/>
                <a:gd name="connsiteX25" fmla="*/ 838200 w 1581150"/>
                <a:gd name="connsiteY25" fmla="*/ 28575 h 742950"/>
                <a:gd name="connsiteX26" fmla="*/ 895350 w 1581150"/>
                <a:gd name="connsiteY26" fmla="*/ 66675 h 742950"/>
                <a:gd name="connsiteX27" fmla="*/ 971550 w 1581150"/>
                <a:gd name="connsiteY27" fmla="*/ 180975 h 742950"/>
                <a:gd name="connsiteX28" fmla="*/ 990600 w 1581150"/>
                <a:gd name="connsiteY28" fmla="*/ 209550 h 742950"/>
                <a:gd name="connsiteX29" fmla="*/ 1019175 w 1581150"/>
                <a:gd name="connsiteY29" fmla="*/ 266700 h 742950"/>
                <a:gd name="connsiteX30" fmla="*/ 1028700 w 1581150"/>
                <a:gd name="connsiteY30" fmla="*/ 295275 h 742950"/>
                <a:gd name="connsiteX31" fmla="*/ 1047750 w 1581150"/>
                <a:gd name="connsiteY31" fmla="*/ 323850 h 742950"/>
                <a:gd name="connsiteX32" fmla="*/ 1076325 w 1581150"/>
                <a:gd name="connsiteY32" fmla="*/ 409575 h 742950"/>
                <a:gd name="connsiteX33" fmla="*/ 1085850 w 1581150"/>
                <a:gd name="connsiteY33" fmla="*/ 457200 h 742950"/>
                <a:gd name="connsiteX34" fmla="*/ 1123950 w 1581150"/>
                <a:gd name="connsiteY34" fmla="*/ 542925 h 742950"/>
                <a:gd name="connsiteX35" fmla="*/ 1133475 w 1581150"/>
                <a:gd name="connsiteY35" fmla="*/ 571500 h 742950"/>
                <a:gd name="connsiteX36" fmla="*/ 1171575 w 1581150"/>
                <a:gd name="connsiteY36" fmla="*/ 628650 h 742950"/>
                <a:gd name="connsiteX37" fmla="*/ 1228725 w 1581150"/>
                <a:gd name="connsiteY37" fmla="*/ 647700 h 742950"/>
                <a:gd name="connsiteX38" fmla="*/ 1304925 w 1581150"/>
                <a:gd name="connsiteY38" fmla="*/ 695325 h 742950"/>
                <a:gd name="connsiteX39" fmla="*/ 1333500 w 1581150"/>
                <a:gd name="connsiteY39" fmla="*/ 704850 h 742950"/>
                <a:gd name="connsiteX40" fmla="*/ 1362075 w 1581150"/>
                <a:gd name="connsiteY40" fmla="*/ 723900 h 742950"/>
                <a:gd name="connsiteX41" fmla="*/ 1581150 w 1581150"/>
                <a:gd name="connsiteY41" fmla="*/ 733425 h 742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</a:cxnLst>
              <a:rect l="l" t="t" r="r" b="b"/>
              <a:pathLst>
                <a:path w="1581150" h="742950">
                  <a:moveTo>
                    <a:pt x="0" y="742950"/>
                  </a:moveTo>
                  <a:cubicBezTo>
                    <a:pt x="15875" y="739775"/>
                    <a:pt x="31598" y="735715"/>
                    <a:pt x="47625" y="733425"/>
                  </a:cubicBezTo>
                  <a:cubicBezTo>
                    <a:pt x="159279" y="717474"/>
                    <a:pt x="100504" y="734849"/>
                    <a:pt x="161925" y="714375"/>
                  </a:cubicBezTo>
                  <a:cubicBezTo>
                    <a:pt x="168275" y="704850"/>
                    <a:pt x="173646" y="694594"/>
                    <a:pt x="180975" y="685800"/>
                  </a:cubicBezTo>
                  <a:cubicBezTo>
                    <a:pt x="189599" y="675452"/>
                    <a:pt x="203008" y="669000"/>
                    <a:pt x="209550" y="657225"/>
                  </a:cubicBezTo>
                  <a:cubicBezTo>
                    <a:pt x="219302" y="639672"/>
                    <a:pt x="217461" y="616783"/>
                    <a:pt x="228600" y="600075"/>
                  </a:cubicBezTo>
                  <a:cubicBezTo>
                    <a:pt x="283195" y="518183"/>
                    <a:pt x="217740" y="621795"/>
                    <a:pt x="257175" y="542925"/>
                  </a:cubicBezTo>
                  <a:cubicBezTo>
                    <a:pt x="262295" y="532686"/>
                    <a:pt x="271576" y="524811"/>
                    <a:pt x="276225" y="514350"/>
                  </a:cubicBezTo>
                  <a:cubicBezTo>
                    <a:pt x="284380" y="496000"/>
                    <a:pt x="288925" y="476250"/>
                    <a:pt x="295275" y="457200"/>
                  </a:cubicBezTo>
                  <a:lnTo>
                    <a:pt x="304800" y="428625"/>
                  </a:lnTo>
                  <a:cubicBezTo>
                    <a:pt x="308940" y="416206"/>
                    <a:pt x="310563" y="403064"/>
                    <a:pt x="314325" y="390525"/>
                  </a:cubicBezTo>
                  <a:cubicBezTo>
                    <a:pt x="320095" y="371291"/>
                    <a:pt x="327025" y="352425"/>
                    <a:pt x="333375" y="333375"/>
                  </a:cubicBezTo>
                  <a:cubicBezTo>
                    <a:pt x="336995" y="322515"/>
                    <a:pt x="347305" y="315039"/>
                    <a:pt x="352425" y="304800"/>
                  </a:cubicBezTo>
                  <a:cubicBezTo>
                    <a:pt x="356915" y="295820"/>
                    <a:pt x="357460" y="285205"/>
                    <a:pt x="361950" y="276225"/>
                  </a:cubicBezTo>
                  <a:cubicBezTo>
                    <a:pt x="367070" y="265986"/>
                    <a:pt x="375880" y="257889"/>
                    <a:pt x="381000" y="247650"/>
                  </a:cubicBezTo>
                  <a:cubicBezTo>
                    <a:pt x="385490" y="238670"/>
                    <a:pt x="386035" y="228055"/>
                    <a:pt x="390525" y="219075"/>
                  </a:cubicBezTo>
                  <a:cubicBezTo>
                    <a:pt x="395645" y="208836"/>
                    <a:pt x="404455" y="200739"/>
                    <a:pt x="409575" y="190500"/>
                  </a:cubicBezTo>
                  <a:cubicBezTo>
                    <a:pt x="414065" y="181520"/>
                    <a:pt x="414224" y="170702"/>
                    <a:pt x="419100" y="161925"/>
                  </a:cubicBezTo>
                  <a:cubicBezTo>
                    <a:pt x="430219" y="141911"/>
                    <a:pt x="444500" y="123825"/>
                    <a:pt x="457200" y="104775"/>
                  </a:cubicBezTo>
                  <a:lnTo>
                    <a:pt x="476250" y="76200"/>
                  </a:lnTo>
                  <a:cubicBezTo>
                    <a:pt x="482600" y="66675"/>
                    <a:pt x="494364" y="61799"/>
                    <a:pt x="504825" y="57150"/>
                  </a:cubicBezTo>
                  <a:cubicBezTo>
                    <a:pt x="523175" y="48995"/>
                    <a:pt x="561975" y="38100"/>
                    <a:pt x="561975" y="38100"/>
                  </a:cubicBezTo>
                  <a:cubicBezTo>
                    <a:pt x="571500" y="31750"/>
                    <a:pt x="579792" y="22962"/>
                    <a:pt x="590550" y="19050"/>
                  </a:cubicBezTo>
                  <a:cubicBezTo>
                    <a:pt x="615155" y="10103"/>
                    <a:pt x="666750" y="0"/>
                    <a:pt x="666750" y="0"/>
                  </a:cubicBezTo>
                  <a:cubicBezTo>
                    <a:pt x="701675" y="3175"/>
                    <a:pt x="736764" y="4890"/>
                    <a:pt x="771525" y="9525"/>
                  </a:cubicBezTo>
                  <a:cubicBezTo>
                    <a:pt x="791459" y="12183"/>
                    <a:pt x="818610" y="22045"/>
                    <a:pt x="838200" y="28575"/>
                  </a:cubicBezTo>
                  <a:cubicBezTo>
                    <a:pt x="857250" y="41275"/>
                    <a:pt x="882650" y="47625"/>
                    <a:pt x="895350" y="66675"/>
                  </a:cubicBezTo>
                  <a:lnTo>
                    <a:pt x="971550" y="180975"/>
                  </a:lnTo>
                  <a:cubicBezTo>
                    <a:pt x="977900" y="190500"/>
                    <a:pt x="986980" y="198690"/>
                    <a:pt x="990600" y="209550"/>
                  </a:cubicBezTo>
                  <a:cubicBezTo>
                    <a:pt x="1014541" y="281374"/>
                    <a:pt x="982246" y="192842"/>
                    <a:pt x="1019175" y="266700"/>
                  </a:cubicBezTo>
                  <a:cubicBezTo>
                    <a:pt x="1023665" y="275680"/>
                    <a:pt x="1024210" y="286295"/>
                    <a:pt x="1028700" y="295275"/>
                  </a:cubicBezTo>
                  <a:cubicBezTo>
                    <a:pt x="1033820" y="305514"/>
                    <a:pt x="1043101" y="313389"/>
                    <a:pt x="1047750" y="323850"/>
                  </a:cubicBezTo>
                  <a:lnTo>
                    <a:pt x="1076325" y="409575"/>
                  </a:lnTo>
                  <a:cubicBezTo>
                    <a:pt x="1081445" y="424934"/>
                    <a:pt x="1081590" y="441581"/>
                    <a:pt x="1085850" y="457200"/>
                  </a:cubicBezTo>
                  <a:cubicBezTo>
                    <a:pt x="1115338" y="565324"/>
                    <a:pt x="1089874" y="474774"/>
                    <a:pt x="1123950" y="542925"/>
                  </a:cubicBezTo>
                  <a:cubicBezTo>
                    <a:pt x="1128440" y="551905"/>
                    <a:pt x="1128599" y="562723"/>
                    <a:pt x="1133475" y="571500"/>
                  </a:cubicBezTo>
                  <a:cubicBezTo>
                    <a:pt x="1144594" y="591514"/>
                    <a:pt x="1149855" y="621410"/>
                    <a:pt x="1171575" y="628650"/>
                  </a:cubicBezTo>
                  <a:lnTo>
                    <a:pt x="1228725" y="647700"/>
                  </a:lnTo>
                  <a:cubicBezTo>
                    <a:pt x="1258914" y="692983"/>
                    <a:pt x="1236915" y="672655"/>
                    <a:pt x="1304925" y="695325"/>
                  </a:cubicBezTo>
                  <a:lnTo>
                    <a:pt x="1333500" y="704850"/>
                  </a:lnTo>
                  <a:cubicBezTo>
                    <a:pt x="1343025" y="711200"/>
                    <a:pt x="1351553" y="719391"/>
                    <a:pt x="1362075" y="723900"/>
                  </a:cubicBezTo>
                  <a:cubicBezTo>
                    <a:pt x="1418439" y="748056"/>
                    <a:pt x="1572609" y="733425"/>
                    <a:pt x="1581150" y="733425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404D6153-B70D-4B64-B1D8-C5E3D34A2541}"/>
                </a:ext>
              </a:extLst>
            </xdr:cNvPr>
            <xdr:cNvCxnSpPr/>
          </xdr:nvCxnSpPr>
          <xdr:spPr>
            <a:xfrm>
              <a:off x="9124950" y="3686175"/>
              <a:ext cx="28575" cy="11239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1EE6A2AD-F762-46F1-B1BC-4C94E8411C9F}"/>
                </a:ext>
              </a:extLst>
            </xdr:cNvPr>
            <xdr:cNvCxnSpPr/>
          </xdr:nvCxnSpPr>
          <xdr:spPr>
            <a:xfrm>
              <a:off x="8801100" y="3676650"/>
              <a:ext cx="9525" cy="103822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AB70DE1-F8B1-434A-84F7-F7464F2CC6DB}"/>
              </a:ext>
            </a:extLst>
          </xdr:cNvPr>
          <xdr:cNvCxnSpPr/>
        </xdr:nvCxnSpPr>
        <xdr:spPr>
          <a:xfrm>
            <a:off x="8143875" y="4610100"/>
            <a:ext cx="1028700" cy="0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16</xdr:col>
      <xdr:colOff>323850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1A083-6C1F-4692-BFC4-D90F2439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152400</xdr:rowOff>
    </xdr:from>
    <xdr:to>
      <xdr:col>13</xdr:col>
      <xdr:colOff>561006</xdr:colOff>
      <xdr:row>13</xdr:row>
      <xdr:rowOff>66424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D92827B-76F4-4AE8-BBA2-DA874085A24F}"/>
            </a:ext>
          </a:extLst>
        </xdr:cNvPr>
        <xdr:cNvGrpSpPr/>
      </xdr:nvGrpSpPr>
      <xdr:grpSpPr>
        <a:xfrm>
          <a:off x="733425" y="533400"/>
          <a:ext cx="7752381" cy="2009524"/>
          <a:chOff x="733425" y="533400"/>
          <a:chExt cx="7752381" cy="200952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D3C2CBC-C1C0-42F1-A877-794B8E202C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3425" y="533400"/>
            <a:ext cx="7752381" cy="200952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8A35D68-8B03-40E1-8D05-DB9A9DACF5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00" y="676275"/>
            <a:ext cx="3352381" cy="50476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45</xdr:row>
          <xdr:rowOff>104775</xdr:rowOff>
        </xdr:from>
        <xdr:to>
          <xdr:col>5</xdr:col>
          <xdr:colOff>714375</xdr:colOff>
          <xdr:row>49</xdr:row>
          <xdr:rowOff>152400</xdr:rowOff>
        </xdr:to>
        <xdr:sp macro="" textlink="">
          <xdr:nvSpPr>
            <xdr:cNvPr id="11265" name="Object 5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9256398-D829-4D6D-B967-B48569ECD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53</xdr:row>
          <xdr:rowOff>0</xdr:rowOff>
        </xdr:from>
        <xdr:to>
          <xdr:col>4</xdr:col>
          <xdr:colOff>28575</xdr:colOff>
          <xdr:row>55</xdr:row>
          <xdr:rowOff>104775</xdr:rowOff>
        </xdr:to>
        <xdr:sp macro="" textlink="">
          <xdr:nvSpPr>
            <xdr:cNvPr id="11266" name="Object 3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E34B7712-DB72-4EC3-81B8-CC69D341D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</xdr:colOff>
      <xdr:row>66</xdr:row>
      <xdr:rowOff>19050</xdr:rowOff>
    </xdr:from>
    <xdr:to>
      <xdr:col>4</xdr:col>
      <xdr:colOff>50800</xdr:colOff>
      <xdr:row>73</xdr:row>
      <xdr:rowOff>105169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54671DE9-900D-43C2-911D-A04DA22D547C}"/>
            </a:ext>
          </a:extLst>
        </xdr:cNvPr>
        <xdr:cNvSpPr txBox="1">
          <a:spLocks noChangeArrowheads="1"/>
        </xdr:cNvSpPr>
      </xdr:nvSpPr>
      <xdr:spPr bwMode="auto">
        <a:xfrm>
          <a:off x="9525" y="12734925"/>
          <a:ext cx="3346450" cy="141961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After completing</a:t>
          </a:r>
          <a:r>
            <a:rPr lang="en-US" sz="1000" baseline="0"/>
            <a:t> the above calculations...</a:t>
          </a:r>
          <a:endParaRPr lang="en-US" sz="1000"/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Go to top menu bar: select </a:t>
          </a:r>
          <a:r>
            <a:rPr lang="en-US" sz="1000" b="1"/>
            <a:t>Data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Select </a:t>
          </a:r>
          <a:r>
            <a:rPr lang="en-US" sz="1000" b="1"/>
            <a:t>Data Analysis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Highlight </a:t>
          </a:r>
          <a:r>
            <a:rPr lang="en-US" sz="1000" b="1"/>
            <a:t>Regression</a:t>
          </a:r>
          <a:r>
            <a:rPr lang="en-US" sz="1000"/>
            <a:t> and click </a:t>
          </a:r>
          <a:r>
            <a:rPr lang="en-US" sz="1000" b="1"/>
            <a:t>OK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Regression dialog box appears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y range</a:t>
          </a:r>
          <a:r>
            <a:rPr lang="en-US" sz="1000"/>
            <a:t> (highlight your output (y)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 b="1"/>
            <a:t>Input x range</a:t>
          </a:r>
          <a:r>
            <a:rPr lang="en-US" sz="1000"/>
            <a:t> (highlight your input (x) values)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Output range (highlight where results should go)</a:t>
          </a:r>
        </a:p>
        <a:p>
          <a:pPr eaLnBrk="1" hangingPunct="1">
            <a:buClr>
              <a:schemeClr val="accent1"/>
            </a:buClr>
            <a:buSzPct val="70000"/>
            <a:buFont typeface="Wingdings" pitchFamily="2" charset="2"/>
            <a:buNone/>
          </a:pPr>
          <a:r>
            <a:rPr lang="en-US" sz="1000"/>
            <a:t>Click </a:t>
          </a:r>
          <a:r>
            <a:rPr lang="en-US" sz="1000" b="1"/>
            <a:t>OK</a:t>
          </a:r>
        </a:p>
      </xdr:txBody>
    </xdr:sp>
    <xdr:clientData/>
  </xdr:twoCellAnchor>
  <xdr:oneCellAnchor>
    <xdr:from>
      <xdr:col>0</xdr:col>
      <xdr:colOff>114300</xdr:colOff>
      <xdr:row>46</xdr:row>
      <xdr:rowOff>114300</xdr:rowOff>
    </xdr:from>
    <xdr:ext cx="828675" cy="525537"/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3B964173-2329-4398-B2A0-F35E84B15366}"/>
            </a:ext>
          </a:extLst>
        </xdr:cNvPr>
        <xdr:cNvSpPr/>
      </xdr:nvSpPr>
      <xdr:spPr>
        <a:xfrm>
          <a:off x="114300" y="8953500"/>
          <a:ext cx="828675" cy="525537"/>
        </a:xfrm>
        <a:prstGeom prst="rightArrow">
          <a:avLst/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4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slope</a:t>
          </a:r>
        </a:p>
      </xdr:txBody>
    </xdr:sp>
    <xdr:clientData/>
  </xdr:oneCellAnchor>
  <xdr:oneCellAnchor>
    <xdr:from>
      <xdr:col>0</xdr:col>
      <xdr:colOff>114300</xdr:colOff>
      <xdr:row>52</xdr:row>
      <xdr:rowOff>142875</xdr:rowOff>
    </xdr:from>
    <xdr:ext cx="904875" cy="525537"/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3CDF5C80-B8E0-4F4F-BD16-48BC19039F67}"/>
            </a:ext>
          </a:extLst>
        </xdr:cNvPr>
        <xdr:cNvSpPr/>
      </xdr:nvSpPr>
      <xdr:spPr>
        <a:xfrm>
          <a:off x="114300" y="10153650"/>
          <a:ext cx="904875" cy="525537"/>
        </a:xfrm>
        <a:prstGeom prst="rightArrow">
          <a:avLst/>
        </a:prstGeom>
        <a:solidFill>
          <a:srgbClr val="FFFF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rial" pitchFamily="34" charset="0"/>
              <a:cs typeface="Arial" pitchFamily="34" charset="0"/>
            </a:rPr>
            <a:t>intercept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59</xdr:row>
          <xdr:rowOff>142875</xdr:rowOff>
        </xdr:from>
        <xdr:to>
          <xdr:col>3</xdr:col>
          <xdr:colOff>647700</xdr:colOff>
          <xdr:row>62</xdr:row>
          <xdr:rowOff>85725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3726F63C-D177-4E88-8500-F67CEE69A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292929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59</xdr:row>
      <xdr:rowOff>76200</xdr:rowOff>
    </xdr:from>
    <xdr:to>
      <xdr:col>4</xdr:col>
      <xdr:colOff>19050</xdr:colOff>
      <xdr:row>62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EC981C-D58B-4733-A4EF-C6D4A8904B22}"/>
            </a:ext>
          </a:extLst>
        </xdr:cNvPr>
        <xdr:cNvSpPr/>
      </xdr:nvSpPr>
      <xdr:spPr>
        <a:xfrm>
          <a:off x="619125" y="11439525"/>
          <a:ext cx="2705100" cy="609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166687</xdr:colOff>
      <xdr:row>11</xdr:row>
      <xdr:rowOff>66675</xdr:rowOff>
    </xdr:from>
    <xdr:to>
      <xdr:col>18</xdr:col>
      <xdr:colOff>14287</xdr:colOff>
      <xdr:row>25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E2E252-5695-4F57-ACAE-AF32F13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24EEA-865A-4AF7-9E03-60704B2C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476251</xdr:colOff>
      <xdr:row>14</xdr:row>
      <xdr:rowOff>161924</xdr:rowOff>
    </xdr:from>
    <xdr:to>
      <xdr:col>15</xdr:col>
      <xdr:colOff>561975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16E3A-9807-47D4-AE27-E0E9F2D7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4</xdr:row>
      <xdr:rowOff>109537</xdr:rowOff>
    </xdr:from>
    <xdr:to>
      <xdr:col>23</xdr:col>
      <xdr:colOff>590550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4239-2A88-448A-9C92-4CB8AF2D6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22</xdr:row>
      <xdr:rowOff>52387</xdr:rowOff>
    </xdr:from>
    <xdr:to>
      <xdr:col>24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15211-5682-4F00-A7AE-A534C6147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4762</xdr:rowOff>
    </xdr:from>
    <xdr:to>
      <xdr:col>8</xdr:col>
      <xdr:colOff>314325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72320-AB5C-427E-A174-3E78067EC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9525</xdr:rowOff>
    </xdr:from>
    <xdr:to>
      <xdr:col>17</xdr:col>
      <xdr:colOff>76200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00BDA-5F9F-47C5-931A-AAE112AE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17</xdr:row>
      <xdr:rowOff>95250</xdr:rowOff>
    </xdr:from>
    <xdr:to>
      <xdr:col>15</xdr:col>
      <xdr:colOff>57150</xdr:colOff>
      <xdr:row>18</xdr:row>
      <xdr:rowOff>57150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9BE57CF-89E4-4C29-BC5E-39F467DE057D}"/>
            </a:ext>
          </a:extLst>
        </xdr:cNvPr>
        <xdr:cNvSpPr/>
      </xdr:nvSpPr>
      <xdr:spPr>
        <a:xfrm>
          <a:off x="8334375" y="3333750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</xdr:colOff>
      <xdr:row>17</xdr:row>
      <xdr:rowOff>171450</xdr:rowOff>
    </xdr:from>
    <xdr:to>
      <xdr:col>18</xdr:col>
      <xdr:colOff>104775</xdr:colOff>
      <xdr:row>20</xdr:row>
      <xdr:rowOff>4762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BF78F89-5134-4FF4-B206-967D12C50FEE}"/>
            </a:ext>
          </a:extLst>
        </xdr:cNvPr>
        <xdr:cNvCxnSpPr>
          <a:stCxn id="6" idx="1"/>
          <a:endCxn id="4" idx="6"/>
        </xdr:cNvCxnSpPr>
      </xdr:nvCxnSpPr>
      <xdr:spPr>
        <a:xfrm flipH="1" flipV="1">
          <a:off x="8477250" y="3409950"/>
          <a:ext cx="1485900" cy="4048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18</xdr:row>
      <xdr:rowOff>133349</xdr:rowOff>
    </xdr:from>
    <xdr:to>
      <xdr:col>21</xdr:col>
      <xdr:colOff>200025</xdr:colOff>
      <xdr:row>21</xdr:row>
      <xdr:rowOff>66674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4F9D2A-B617-4A7E-9609-CB18E5893097}"/>
            </a:ext>
          </a:extLst>
        </xdr:cNvPr>
        <xdr:cNvSpPr txBox="1"/>
      </xdr:nvSpPr>
      <xdr:spPr>
        <a:xfrm>
          <a:off x="9963150" y="3562349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Favorable Shift Detected</a:t>
          </a:r>
          <a:r>
            <a:rPr lang="en-US" sz="1100" baseline="0"/>
            <a:t> March 1999</a:t>
          </a:r>
          <a:endParaRPr lang="en-US" sz="1100"/>
        </a:p>
      </xdr:txBody>
    </xdr:sp>
    <xdr:clientData/>
  </xdr:twoCellAnchor>
  <xdr:twoCellAnchor>
    <xdr:from>
      <xdr:col>15</xdr:col>
      <xdr:colOff>581025</xdr:colOff>
      <xdr:row>16</xdr:row>
      <xdr:rowOff>28575</xdr:rowOff>
    </xdr:from>
    <xdr:to>
      <xdr:col>16</xdr:col>
      <xdr:colOff>114300</xdr:colOff>
      <xdr:row>16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0211870-6798-443D-9F9F-75F145B71296}"/>
            </a:ext>
          </a:extLst>
        </xdr:cNvPr>
        <xdr:cNvSpPr/>
      </xdr:nvSpPr>
      <xdr:spPr>
        <a:xfrm>
          <a:off x="9001125" y="3076575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114300</xdr:colOff>
      <xdr:row>16</xdr:row>
      <xdr:rowOff>104775</xdr:rowOff>
    </xdr:from>
    <xdr:to>
      <xdr:col>18</xdr:col>
      <xdr:colOff>95250</xdr:colOff>
      <xdr:row>16</xdr:row>
      <xdr:rowOff>138113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1B94E17-93FC-4FAA-8DAF-30AB208AD6A9}"/>
            </a:ext>
          </a:extLst>
        </xdr:cNvPr>
        <xdr:cNvCxnSpPr>
          <a:stCxn id="9" idx="1"/>
          <a:endCxn id="7" idx="6"/>
        </xdr:cNvCxnSpPr>
      </xdr:nvCxnSpPr>
      <xdr:spPr>
        <a:xfrm flipH="1" flipV="1">
          <a:off x="9144000" y="3152775"/>
          <a:ext cx="809625" cy="333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15</xdr:row>
      <xdr:rowOff>76200</xdr:rowOff>
    </xdr:from>
    <xdr:to>
      <xdr:col>21</xdr:col>
      <xdr:colOff>190500</xdr:colOff>
      <xdr:row>18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777C53-B4BF-4C2F-971C-572F3275B1D8}"/>
            </a:ext>
          </a:extLst>
        </xdr:cNvPr>
        <xdr:cNvSpPr txBox="1"/>
      </xdr:nvSpPr>
      <xdr:spPr>
        <a:xfrm>
          <a:off x="9953625" y="2933700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Unfavorable Shift Detected May 1999</a:t>
          </a:r>
        </a:p>
      </xdr:txBody>
    </xdr:sp>
    <xdr:clientData/>
  </xdr:twoCellAnchor>
  <xdr:twoCellAnchor>
    <xdr:from>
      <xdr:col>13</xdr:col>
      <xdr:colOff>123825</xdr:colOff>
      <xdr:row>16</xdr:row>
      <xdr:rowOff>104775</xdr:rowOff>
    </xdr:from>
    <xdr:to>
      <xdr:col>13</xdr:col>
      <xdr:colOff>266700</xdr:colOff>
      <xdr:row>17</xdr:row>
      <xdr:rowOff>66675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D0B9B20-70C8-422C-9559-C8D9F53A6F61}"/>
            </a:ext>
          </a:extLst>
        </xdr:cNvPr>
        <xdr:cNvSpPr/>
      </xdr:nvSpPr>
      <xdr:spPr>
        <a:xfrm>
          <a:off x="7705725" y="3152775"/>
          <a:ext cx="142875" cy="1524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195263</xdr:colOff>
      <xdr:row>17</xdr:row>
      <xdr:rowOff>66675</xdr:rowOff>
    </xdr:from>
    <xdr:to>
      <xdr:col>18</xdr:col>
      <xdr:colOff>95250</xdr:colOff>
      <xdr:row>23</xdr:row>
      <xdr:rowOff>61912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48D7327-A3ED-43DB-A848-281A983E4416}"/>
            </a:ext>
          </a:extLst>
        </xdr:cNvPr>
        <xdr:cNvCxnSpPr>
          <a:stCxn id="12" idx="1"/>
          <a:endCxn id="10" idx="4"/>
        </xdr:cNvCxnSpPr>
      </xdr:nvCxnSpPr>
      <xdr:spPr>
        <a:xfrm flipH="1" flipV="1">
          <a:off x="7777163" y="3305175"/>
          <a:ext cx="2176462" cy="1138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21</xdr:row>
      <xdr:rowOff>190499</xdr:rowOff>
    </xdr:from>
    <xdr:to>
      <xdr:col>21</xdr:col>
      <xdr:colOff>190500</xdr:colOff>
      <xdr:row>24</xdr:row>
      <xdr:rowOff>123824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36B70A6-3AB5-4FA0-B0FD-9514A7102595}"/>
            </a:ext>
          </a:extLst>
        </xdr:cNvPr>
        <xdr:cNvSpPr txBox="1"/>
      </xdr:nvSpPr>
      <xdr:spPr>
        <a:xfrm>
          <a:off x="9953625" y="4190999"/>
          <a:ext cx="1533525" cy="5048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Favorable Shift Begun</a:t>
          </a:r>
          <a:r>
            <a:rPr lang="en-US" sz="1100" baseline="0"/>
            <a:t> Jan 1999</a:t>
          </a:r>
          <a:endParaRPr lang="en-US" sz="1100"/>
        </a:p>
      </xdr:txBody>
    </xdr:sp>
    <xdr:clientData/>
  </xdr:twoCellAnchor>
  <xdr:twoCellAnchor>
    <xdr:from>
      <xdr:col>14</xdr:col>
      <xdr:colOff>219075</xdr:colOff>
      <xdr:row>5</xdr:row>
      <xdr:rowOff>9526</xdr:rowOff>
    </xdr:from>
    <xdr:to>
      <xdr:col>23</xdr:col>
      <xdr:colOff>19050</xdr:colOff>
      <xdr:row>10</xdr:row>
      <xdr:rowOff>180976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D50C6D0-2B91-441A-9C00-75831268CFFA}"/>
            </a:ext>
          </a:extLst>
        </xdr:cNvPr>
        <xdr:cNvSpPr txBox="1"/>
      </xdr:nvSpPr>
      <xdr:spPr>
        <a:xfrm>
          <a:off x="8410575" y="962026"/>
          <a:ext cx="4124325" cy="1123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</a:t>
          </a:r>
          <a:r>
            <a:rPr lang="en-US" sz="1100" baseline="0"/>
            <a:t> favorable shift in the trade deficit took place in Jan 1999. There was a reduction of about 2 Billion. This data point fell below the lower control limit. The subsequent 3 months continued with this downward trend. In May, however, an unfavorable shift took place. The trade deficit increased about 2 Billion.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90487</xdr:rowOff>
    </xdr:from>
    <xdr:to>
      <xdr:col>18</xdr:col>
      <xdr:colOff>47625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888C2-6CE5-4984-9D22-3CBA79A91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16</xdr:row>
      <xdr:rowOff>180974</xdr:rowOff>
    </xdr:from>
    <xdr:to>
      <xdr:col>18</xdr:col>
      <xdr:colOff>76200</xdr:colOff>
      <xdr:row>31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AC4D8-4158-4825-BAFC-2238A4C0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</xdr:row>
      <xdr:rowOff>95250</xdr:rowOff>
    </xdr:from>
    <xdr:to>
      <xdr:col>25</xdr:col>
      <xdr:colOff>495300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923C3-8370-493B-B65A-F8B7A1AD1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16</xdr:row>
      <xdr:rowOff>180975</xdr:rowOff>
    </xdr:from>
    <xdr:to>
      <xdr:col>25</xdr:col>
      <xdr:colOff>504825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DD769-C978-43DF-A06A-997DFFD2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9524</xdr:rowOff>
    </xdr:from>
    <xdr:to>
      <xdr:col>6</xdr:col>
      <xdr:colOff>819150</xdr:colOff>
      <xdr:row>63</xdr:row>
      <xdr:rowOff>38099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BB8605-3492-47DD-9D7A-64BC7CAF28C3}"/>
            </a:ext>
          </a:extLst>
        </xdr:cNvPr>
        <xdr:cNvSpPr txBox="1"/>
      </xdr:nvSpPr>
      <xdr:spPr>
        <a:xfrm>
          <a:off x="0" y="9725024"/>
          <a:ext cx="5905500" cy="25050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1) Yes, there is evidence that the average rushing yards is</a:t>
          </a:r>
          <a:r>
            <a:rPr lang="en-US" sz="1100" baseline="0"/>
            <a:t> trending downward over time. This is indicated by a negative slope of -0.4717 in a  simple linear regression equation. Moreover, the R</a:t>
          </a:r>
          <a:r>
            <a:rPr lang="en-US" sz="1100" baseline="30000"/>
            <a:t>2</a:t>
          </a:r>
          <a:r>
            <a:rPr lang="en-US" sz="1100" baseline="0"/>
            <a:t> value is 0.3382, and R value -0.5815, a reasonable indication that there is a negative correlation between time and average rushing yards.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2) </a:t>
          </a:r>
          <a:r>
            <a:rPr lang="cy-GB" sz="1100" baseline="0"/>
            <a:t>ŷ = 37.9084 + 0.6689 (y</a:t>
          </a:r>
          <a:r>
            <a:rPr lang="cy-GB" sz="1100" baseline="-25000"/>
            <a:t>t-1</a:t>
          </a:r>
          <a:r>
            <a:rPr lang="cy-GB" sz="1100" baseline="0"/>
            <a:t>)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3) 114.56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4) The forecast with a 0.8 dampening factor is 113.91, while the forecast with a 0.2 dampening factor is 114.08.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5) 114.38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25E3-49A7-4FC7-BFD7-10BE11E9CDCF}">
  <dimension ref="A1:N88"/>
  <sheetViews>
    <sheetView workbookViewId="0">
      <selection activeCell="J13" sqref="J13"/>
    </sheetView>
  </sheetViews>
  <sheetFormatPr defaultRowHeight="15"/>
  <cols>
    <col min="1" max="1" width="13.7109375" customWidth="1"/>
    <col min="2" max="2" width="17.85546875" customWidth="1"/>
    <col min="6" max="6" width="11.5703125" customWidth="1"/>
    <col min="7" max="7" width="12.140625" customWidth="1"/>
    <col min="12" max="12" width="4.28515625" customWidth="1"/>
    <col min="13" max="13" width="10.85546875" customWidth="1"/>
    <col min="14" max="14" width="10" customWidth="1"/>
  </cols>
  <sheetData>
    <row r="1" spans="1:12" ht="18.75">
      <c r="A1" s="72" t="s">
        <v>0</v>
      </c>
    </row>
    <row r="3" spans="1:12">
      <c r="A3" s="71" t="s">
        <v>1</v>
      </c>
      <c r="B3" s="10"/>
      <c r="C3" s="10"/>
      <c r="D3" s="10"/>
      <c r="E3" s="10"/>
      <c r="F3" s="10"/>
      <c r="G3" s="15"/>
    </row>
    <row r="4" spans="1:12">
      <c r="A4" s="16"/>
      <c r="B4" s="1" t="s">
        <v>2</v>
      </c>
      <c r="C4" s="4" t="s">
        <v>3</v>
      </c>
      <c r="G4" s="17"/>
    </row>
    <row r="5" spans="1:12">
      <c r="A5" s="16"/>
      <c r="B5" s="1" t="s">
        <v>4</v>
      </c>
      <c r="C5" s="4" t="s">
        <v>5</v>
      </c>
      <c r="G5" s="17"/>
    </row>
    <row r="6" spans="1:12">
      <c r="A6" s="16"/>
      <c r="B6" s="1" t="s">
        <v>6</v>
      </c>
      <c r="C6" s="4" t="s">
        <v>7</v>
      </c>
      <c r="G6" s="17"/>
    </row>
    <row r="7" spans="1:12">
      <c r="A7" s="16"/>
      <c r="B7" s="1" t="s">
        <v>8</v>
      </c>
      <c r="C7" s="4" t="s">
        <v>9</v>
      </c>
      <c r="G7" s="17"/>
    </row>
    <row r="8" spans="1:12">
      <c r="A8" s="16"/>
      <c r="B8" s="1" t="s">
        <v>10</v>
      </c>
      <c r="C8" s="4" t="s">
        <v>11</v>
      </c>
      <c r="G8" s="17"/>
    </row>
    <row r="9" spans="1:12">
      <c r="A9" s="31"/>
      <c r="B9" s="70" t="s">
        <v>12</v>
      </c>
      <c r="C9" s="69" t="s">
        <v>13</v>
      </c>
      <c r="D9" s="21"/>
      <c r="E9" s="21"/>
      <c r="F9" s="21"/>
      <c r="G9" s="22"/>
    </row>
    <row r="11" spans="1:12">
      <c r="A11" s="3" t="s">
        <v>14</v>
      </c>
      <c r="G11" s="46"/>
    </row>
    <row r="12" spans="1:12">
      <c r="A12" s="68" t="s">
        <v>15</v>
      </c>
      <c r="B12" s="1">
        <f>_xlfn.BINOM.DIST(3, 5, 0.5, FALSE)</f>
        <v>0.3125</v>
      </c>
      <c r="C12" s="45" t="s">
        <v>16</v>
      </c>
      <c r="D12" s="67"/>
      <c r="E12" s="67"/>
      <c r="G12" s="44"/>
      <c r="K12" s="44"/>
    </row>
    <row r="13" spans="1:12">
      <c r="A13" s="49" t="s">
        <v>17</v>
      </c>
      <c r="C13" t="s">
        <v>18</v>
      </c>
      <c r="D13" s="4"/>
      <c r="L13" s="1"/>
    </row>
    <row r="14" spans="1:12">
      <c r="A14" t="s">
        <v>19</v>
      </c>
      <c r="C14" t="s">
        <v>20</v>
      </c>
      <c r="D14" s="4"/>
    </row>
    <row r="15" spans="1:12">
      <c r="C15" t="s">
        <v>21</v>
      </c>
      <c r="D15" s="4"/>
    </row>
    <row r="16" spans="1:12">
      <c r="C16" t="s">
        <v>22</v>
      </c>
      <c r="D16" s="4"/>
    </row>
    <row r="17" spans="1:14">
      <c r="C17" t="s">
        <v>23</v>
      </c>
      <c r="D17" s="4"/>
    </row>
    <row r="18" spans="1:14">
      <c r="D18" s="4"/>
    </row>
    <row r="20" spans="1:14">
      <c r="A20" s="3" t="s">
        <v>24</v>
      </c>
      <c r="G20" s="46"/>
    </row>
    <row r="21" spans="1:14">
      <c r="A21" s="49" t="s">
        <v>25</v>
      </c>
      <c r="B21" s="52">
        <f>_xlfn.NORM.DIST(60, 50, 5, TRUE)</f>
        <v>0.97724986805182079</v>
      </c>
      <c r="C21" s="45" t="s">
        <v>26</v>
      </c>
      <c r="G21" s="44"/>
    </row>
    <row r="22" spans="1:14">
      <c r="A22" s="49" t="s">
        <v>17</v>
      </c>
      <c r="C22" t="s">
        <v>27</v>
      </c>
    </row>
    <row r="23" spans="1:14">
      <c r="A23" t="s">
        <v>19</v>
      </c>
      <c r="C23" t="s">
        <v>28</v>
      </c>
    </row>
    <row r="24" spans="1:14">
      <c r="C24" t="s">
        <v>29</v>
      </c>
      <c r="M24" s="66">
        <v>0.97724999999999995</v>
      </c>
    </row>
    <row r="25" spans="1:14">
      <c r="C25" t="s">
        <v>23</v>
      </c>
      <c r="M25" s="65">
        <v>50</v>
      </c>
    </row>
    <row r="26" spans="1:14">
      <c r="C26" t="s">
        <v>22</v>
      </c>
      <c r="N26" s="64" t="s">
        <v>30</v>
      </c>
    </row>
    <row r="28" spans="1:14">
      <c r="A28" s="3" t="s">
        <v>31</v>
      </c>
    </row>
    <row r="29" spans="1:14">
      <c r="A29" s="3" t="s">
        <v>32</v>
      </c>
    </row>
    <row r="30" spans="1:14">
      <c r="B30" s="63">
        <f>_xlfn.NORM.INV(0.97725, 50, 5)</f>
        <v>60.000012219498018</v>
      </c>
      <c r="C30" s="62" t="s">
        <v>33</v>
      </c>
    </row>
    <row r="31" spans="1:14">
      <c r="C31" t="s">
        <v>34</v>
      </c>
    </row>
    <row r="32" spans="1:14">
      <c r="C32" t="s">
        <v>28</v>
      </c>
    </row>
    <row r="33" spans="1:4">
      <c r="C33" t="s">
        <v>29</v>
      </c>
    </row>
    <row r="35" spans="1:4">
      <c r="A35" s="3" t="s">
        <v>35</v>
      </c>
    </row>
    <row r="36" spans="1:4">
      <c r="B36" s="52">
        <f>_xlfn.NORM.S.DIST(2, TRUE)</f>
        <v>0.97724986805182079</v>
      </c>
      <c r="C36" s="57" t="s">
        <v>36</v>
      </c>
    </row>
    <row r="37" spans="1:4">
      <c r="C37" t="s">
        <v>37</v>
      </c>
    </row>
    <row r="38" spans="1:4">
      <c r="C38" t="s">
        <v>23</v>
      </c>
    </row>
    <row r="39" spans="1:4">
      <c r="C39" t="s">
        <v>22</v>
      </c>
    </row>
    <row r="40" spans="1:4">
      <c r="C40" t="s">
        <v>38</v>
      </c>
    </row>
    <row r="42" spans="1:4">
      <c r="A42" s="49" t="s">
        <v>39</v>
      </c>
    </row>
    <row r="43" spans="1:4">
      <c r="A43" s="3" t="s">
        <v>40</v>
      </c>
    </row>
    <row r="44" spans="1:4">
      <c r="B44" s="60">
        <f>_xlfn.NORM.S.INV(0.97725)</f>
        <v>2.0000024438996027</v>
      </c>
      <c r="C44" s="61" t="s">
        <v>41</v>
      </c>
    </row>
    <row r="45" spans="1:4">
      <c r="C45" t="s">
        <v>42</v>
      </c>
    </row>
    <row r="47" spans="1:4">
      <c r="B47" s="60">
        <f>STANDARDIZE(60, 50,5)</f>
        <v>2</v>
      </c>
      <c r="C47" s="45" t="s">
        <v>43</v>
      </c>
    </row>
    <row r="48" spans="1:4">
      <c r="C48" t="s">
        <v>44</v>
      </c>
      <c r="D48" s="53"/>
    </row>
    <row r="49" spans="1:7">
      <c r="C49" t="s">
        <v>45</v>
      </c>
      <c r="E49" s="59"/>
    </row>
    <row r="50" spans="1:7">
      <c r="C50" t="s">
        <v>29</v>
      </c>
    </row>
    <row r="52" spans="1:7">
      <c r="A52" s="3" t="s">
        <v>46</v>
      </c>
    </row>
    <row r="53" spans="1:7">
      <c r="A53" s="49" t="s">
        <v>47</v>
      </c>
      <c r="B53" s="58">
        <f>_xlfn.Z.TEST(G54:G61,18,5)</f>
        <v>0.33568662027043628</v>
      </c>
      <c r="C53" s="57" t="s">
        <v>48</v>
      </c>
      <c r="G53" s="56" t="s">
        <v>49</v>
      </c>
    </row>
    <row r="54" spans="1:7">
      <c r="A54" t="s">
        <v>19</v>
      </c>
      <c r="C54" s="4" t="s">
        <v>50</v>
      </c>
      <c r="G54" s="55">
        <v>10</v>
      </c>
    </row>
    <row r="55" spans="1:7">
      <c r="C55" t="s">
        <v>51</v>
      </c>
      <c r="G55" s="55">
        <v>12</v>
      </c>
    </row>
    <row r="56" spans="1:7">
      <c r="C56" t="s">
        <v>52</v>
      </c>
      <c r="G56" s="55">
        <v>24</v>
      </c>
    </row>
    <row r="57" spans="1:7">
      <c r="G57" s="55">
        <v>23</v>
      </c>
    </row>
    <row r="58" spans="1:7">
      <c r="G58" s="55">
        <v>20</v>
      </c>
    </row>
    <row r="59" spans="1:7">
      <c r="G59" s="55">
        <v>12</v>
      </c>
    </row>
    <row r="60" spans="1:7">
      <c r="G60" s="55">
        <v>28</v>
      </c>
    </row>
    <row r="61" spans="1:7">
      <c r="G61" s="54">
        <v>21</v>
      </c>
    </row>
    <row r="62" spans="1:7">
      <c r="C62" s="53"/>
    </row>
    <row r="63" spans="1:7">
      <c r="A63" s="3" t="s">
        <v>53</v>
      </c>
      <c r="G63" s="5"/>
    </row>
    <row r="64" spans="1:7">
      <c r="A64" s="3" t="s">
        <v>54</v>
      </c>
      <c r="G64" s="46"/>
    </row>
    <row r="65" spans="1:10">
      <c r="A65" s="49" t="s">
        <v>55</v>
      </c>
      <c r="B65" s="52">
        <f>_xlfn.T.DIST.RT(0.6, 2)</f>
        <v>0.30471663352876421</v>
      </c>
      <c r="C65" s="45" t="s">
        <v>56</v>
      </c>
      <c r="E65" s="3" t="s">
        <v>57</v>
      </c>
      <c r="G65" s="44"/>
      <c r="H65" s="3"/>
    </row>
    <row r="66" spans="1:10">
      <c r="A66" t="s">
        <v>19</v>
      </c>
      <c r="B66" s="52">
        <f>_xlfn.T.DIST.2T(0.6, 2)</f>
        <v>0.60943326705752843</v>
      </c>
      <c r="C66" s="45" t="s">
        <v>58</v>
      </c>
      <c r="E66" s="3" t="s">
        <v>59</v>
      </c>
      <c r="G66" s="44"/>
      <c r="H66" s="3"/>
      <c r="J66" s="50"/>
    </row>
    <row r="67" spans="1:10">
      <c r="C67" t="s">
        <v>60</v>
      </c>
    </row>
    <row r="68" spans="1:10">
      <c r="C68" t="s">
        <v>61</v>
      </c>
    </row>
    <row r="69" spans="1:10">
      <c r="C69" s="51" t="s">
        <v>62</v>
      </c>
    </row>
    <row r="71" spans="1:10">
      <c r="A71" s="3" t="s">
        <v>63</v>
      </c>
      <c r="G71" s="46"/>
    </row>
    <row r="72" spans="1:10">
      <c r="A72" s="49" t="s">
        <v>64</v>
      </c>
      <c r="B72" s="50">
        <f>_xlfn.F.DIST.RT(5,2,20)</f>
        <v>1.7341529915832637E-2</v>
      </c>
      <c r="C72" s="45" t="s">
        <v>65</v>
      </c>
      <c r="G72" s="44"/>
    </row>
    <row r="73" spans="1:10">
      <c r="C73" t="s">
        <v>66</v>
      </c>
    </row>
    <row r="74" spans="1:10">
      <c r="C74" t="s">
        <v>67</v>
      </c>
    </row>
    <row r="75" spans="1:10">
      <c r="C75" t="s">
        <v>68</v>
      </c>
    </row>
    <row r="78" spans="1:10">
      <c r="A78" s="3" t="s">
        <v>69</v>
      </c>
      <c r="G78" s="46"/>
    </row>
    <row r="79" spans="1:10">
      <c r="A79" s="49" t="s">
        <v>70</v>
      </c>
      <c r="B79" s="47">
        <f xml:space="preserve"> _xlfn.CHISQ.DIST.RT(3.955, 4)</f>
        <v>0.41213019274076812</v>
      </c>
      <c r="C79" s="48" t="s">
        <v>71</v>
      </c>
      <c r="F79" s="47"/>
    </row>
    <row r="80" spans="1:10">
      <c r="A80" t="s">
        <v>17</v>
      </c>
      <c r="C80" t="s">
        <v>72</v>
      </c>
    </row>
    <row r="81" spans="1:7">
      <c r="A81" t="s">
        <v>19</v>
      </c>
      <c r="C81" t="s">
        <v>73</v>
      </c>
    </row>
    <row r="82" spans="1:7">
      <c r="C82" t="s">
        <v>74</v>
      </c>
    </row>
    <row r="83" spans="1:7">
      <c r="C83" t="s">
        <v>75</v>
      </c>
      <c r="G83" s="46"/>
    </row>
    <row r="84" spans="1:7">
      <c r="G84" s="46"/>
    </row>
    <row r="85" spans="1:7">
      <c r="A85" s="3" t="s">
        <v>76</v>
      </c>
    </row>
    <row r="86" spans="1:7">
      <c r="B86" s="1" t="s">
        <v>77</v>
      </c>
      <c r="C86" s="45" t="s">
        <v>78</v>
      </c>
      <c r="G86" s="44"/>
    </row>
    <row r="87" spans="1:7">
      <c r="C87" t="s">
        <v>79</v>
      </c>
    </row>
    <row r="88" spans="1:7">
      <c r="C88" t="s">
        <v>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DEF-79A5-4B12-8975-2B0EEDD403F8}">
  <dimension ref="B2:W11"/>
  <sheetViews>
    <sheetView workbookViewId="0">
      <selection activeCell="AA12" sqref="AA12"/>
    </sheetView>
  </sheetViews>
  <sheetFormatPr defaultRowHeight="15"/>
  <cols>
    <col min="1" max="1" width="4" customWidth="1"/>
    <col min="15" max="15" width="3.42578125" customWidth="1"/>
    <col min="16" max="16" width="9.140625" customWidth="1"/>
    <col min="18" max="18" width="3.28515625" customWidth="1"/>
    <col min="21" max="21" width="3.28515625" customWidth="1"/>
  </cols>
  <sheetData>
    <row r="2" spans="2:23">
      <c r="B2" s="192" t="s">
        <v>264</v>
      </c>
      <c r="C2" s="11">
        <v>1988</v>
      </c>
      <c r="D2" s="11">
        <v>1988</v>
      </c>
      <c r="E2" s="11">
        <v>1988</v>
      </c>
      <c r="F2" s="11">
        <v>1988</v>
      </c>
      <c r="G2" s="11">
        <v>1988</v>
      </c>
      <c r="H2" s="11">
        <v>1988</v>
      </c>
      <c r="I2" s="11">
        <v>1999</v>
      </c>
      <c r="J2" s="11">
        <v>1999</v>
      </c>
      <c r="K2" s="11">
        <v>1999</v>
      </c>
      <c r="L2" s="11">
        <v>1999</v>
      </c>
      <c r="M2" s="11">
        <v>1999</v>
      </c>
      <c r="N2" s="32">
        <v>1999</v>
      </c>
      <c r="O2" s="7"/>
      <c r="P2" s="230" t="s">
        <v>325</v>
      </c>
      <c r="Q2" s="231"/>
      <c r="S2" s="230" t="s">
        <v>326</v>
      </c>
      <c r="T2" s="231"/>
      <c r="V2" s="230" t="s">
        <v>327</v>
      </c>
      <c r="W2" s="231"/>
    </row>
    <row r="3" spans="2:23">
      <c r="B3" s="118" t="s">
        <v>328</v>
      </c>
      <c r="C3" s="40" t="s">
        <v>329</v>
      </c>
      <c r="D3" s="40" t="s">
        <v>330</v>
      </c>
      <c r="E3" s="40" t="s">
        <v>331</v>
      </c>
      <c r="F3" s="40" t="s">
        <v>332</v>
      </c>
      <c r="G3" s="40" t="s">
        <v>333</v>
      </c>
      <c r="H3" s="40" t="s">
        <v>334</v>
      </c>
      <c r="I3" s="40" t="s">
        <v>335</v>
      </c>
      <c r="J3" s="40" t="s">
        <v>336</v>
      </c>
      <c r="K3" s="40" t="s">
        <v>337</v>
      </c>
      <c r="L3" s="40" t="s">
        <v>338</v>
      </c>
      <c r="M3" s="40" t="s">
        <v>339</v>
      </c>
      <c r="N3" s="193" t="s">
        <v>340</v>
      </c>
      <c r="O3" s="7"/>
      <c r="P3" s="28" t="s">
        <v>297</v>
      </c>
      <c r="Q3" s="194">
        <f>AVERAGE($C$4:$H$4)</f>
        <v>10.316666666666666</v>
      </c>
      <c r="S3" s="28" t="s">
        <v>341</v>
      </c>
      <c r="T3" s="194">
        <f>Q3+(2.66*Q4)</f>
        <v>12.444666666666667</v>
      </c>
      <c r="V3" s="28" t="s">
        <v>341</v>
      </c>
      <c r="W3" s="194">
        <f>3.27*Q4</f>
        <v>2.6160000000000001</v>
      </c>
    </row>
    <row r="4" spans="2:23">
      <c r="B4" s="28" t="s">
        <v>342</v>
      </c>
      <c r="C4" s="7">
        <v>10.5</v>
      </c>
      <c r="D4" s="7">
        <v>11.2</v>
      </c>
      <c r="E4" s="7">
        <v>9.1999999999999993</v>
      </c>
      <c r="F4" s="7">
        <v>10.1</v>
      </c>
      <c r="G4" s="7">
        <v>10.4</v>
      </c>
      <c r="H4" s="7">
        <v>10.5</v>
      </c>
      <c r="I4" s="7">
        <v>8.6999999999999993</v>
      </c>
      <c r="J4" s="7">
        <v>8.6999999999999993</v>
      </c>
      <c r="K4" s="7">
        <v>7</v>
      </c>
      <c r="L4" s="7">
        <v>6.8</v>
      </c>
      <c r="M4" s="7">
        <v>9.6</v>
      </c>
      <c r="N4" s="30">
        <v>9</v>
      </c>
      <c r="O4" s="7"/>
      <c r="P4" s="118" t="s">
        <v>343</v>
      </c>
      <c r="Q4" s="193">
        <f>AVERAGE(D5:H5)</f>
        <v>0.8</v>
      </c>
      <c r="S4" s="118" t="s">
        <v>344</v>
      </c>
      <c r="T4" s="195">
        <f>$Q$3-(2.66*Q4)</f>
        <v>8.1886666666666663</v>
      </c>
      <c r="V4" s="118" t="s">
        <v>344</v>
      </c>
      <c r="W4" s="195">
        <v>0</v>
      </c>
    </row>
    <row r="5" spans="2:23">
      <c r="B5" s="28" t="s">
        <v>345</v>
      </c>
      <c r="C5" s="7"/>
      <c r="D5" s="7">
        <f>ABS(D4-C4)</f>
        <v>0.69999999999999929</v>
      </c>
      <c r="E5" s="7">
        <f t="shared" ref="E5:N5" si="0">ABS(E4-D4)</f>
        <v>2</v>
      </c>
      <c r="F5" s="7">
        <f t="shared" si="0"/>
        <v>0.90000000000000036</v>
      </c>
      <c r="G5" s="7">
        <f t="shared" si="0"/>
        <v>0.30000000000000071</v>
      </c>
      <c r="H5" s="7">
        <f t="shared" si="0"/>
        <v>9.9999999999999645E-2</v>
      </c>
      <c r="I5" s="7">
        <f t="shared" si="0"/>
        <v>1.8000000000000007</v>
      </c>
      <c r="J5" s="7">
        <f t="shared" si="0"/>
        <v>0</v>
      </c>
      <c r="K5" s="7">
        <f t="shared" si="0"/>
        <v>1.6999999999999993</v>
      </c>
      <c r="L5" s="7">
        <f t="shared" si="0"/>
        <v>0.20000000000000018</v>
      </c>
      <c r="M5" s="7">
        <f t="shared" si="0"/>
        <v>2.8</v>
      </c>
      <c r="N5" s="30">
        <f t="shared" si="0"/>
        <v>0.59999999999999964</v>
      </c>
      <c r="O5" s="196"/>
      <c r="P5" s="196"/>
      <c r="Q5" s="196"/>
    </row>
    <row r="6" spans="2:23">
      <c r="B6" s="28" t="s">
        <v>346</v>
      </c>
      <c r="C6" s="196">
        <f>$Q$3</f>
        <v>10.316666666666666</v>
      </c>
      <c r="D6" s="196">
        <f t="shared" ref="D6:N6" si="1">$Q$3</f>
        <v>10.316666666666666</v>
      </c>
      <c r="E6" s="196">
        <f t="shared" si="1"/>
        <v>10.316666666666666</v>
      </c>
      <c r="F6" s="196">
        <f t="shared" si="1"/>
        <v>10.316666666666666</v>
      </c>
      <c r="G6" s="196">
        <f t="shared" si="1"/>
        <v>10.316666666666666</v>
      </c>
      <c r="H6" s="196">
        <f t="shared" si="1"/>
        <v>10.316666666666666</v>
      </c>
      <c r="I6" s="196">
        <f t="shared" si="1"/>
        <v>10.316666666666666</v>
      </c>
      <c r="J6" s="196">
        <f t="shared" si="1"/>
        <v>10.316666666666666</v>
      </c>
      <c r="K6" s="196">
        <f t="shared" si="1"/>
        <v>10.316666666666666</v>
      </c>
      <c r="L6" s="196">
        <f t="shared" si="1"/>
        <v>10.316666666666666</v>
      </c>
      <c r="M6" s="196">
        <f t="shared" si="1"/>
        <v>10.316666666666666</v>
      </c>
      <c r="N6" s="194">
        <f t="shared" si="1"/>
        <v>10.316666666666666</v>
      </c>
      <c r="O6" s="196"/>
      <c r="P6" s="196"/>
      <c r="Q6" s="196"/>
    </row>
    <row r="7" spans="2:23">
      <c r="B7" s="28" t="s">
        <v>347</v>
      </c>
      <c r="C7" s="196">
        <f>$T$3</f>
        <v>12.444666666666667</v>
      </c>
      <c r="D7" s="196">
        <f t="shared" ref="D7:N7" si="2">$T$3</f>
        <v>12.444666666666667</v>
      </c>
      <c r="E7" s="196">
        <f t="shared" si="2"/>
        <v>12.444666666666667</v>
      </c>
      <c r="F7" s="196">
        <f t="shared" si="2"/>
        <v>12.444666666666667</v>
      </c>
      <c r="G7" s="196">
        <f t="shared" si="2"/>
        <v>12.444666666666667</v>
      </c>
      <c r="H7" s="196">
        <f t="shared" si="2"/>
        <v>12.444666666666667</v>
      </c>
      <c r="I7" s="196">
        <f t="shared" si="2"/>
        <v>12.444666666666667</v>
      </c>
      <c r="J7" s="196">
        <f t="shared" si="2"/>
        <v>12.444666666666667</v>
      </c>
      <c r="K7" s="196">
        <f t="shared" si="2"/>
        <v>12.444666666666667</v>
      </c>
      <c r="L7" s="196">
        <f t="shared" si="2"/>
        <v>12.444666666666667</v>
      </c>
      <c r="M7" s="196">
        <f t="shared" si="2"/>
        <v>12.444666666666667</v>
      </c>
      <c r="N7" s="194">
        <f t="shared" si="2"/>
        <v>12.444666666666667</v>
      </c>
      <c r="O7" s="196"/>
      <c r="P7" s="196"/>
      <c r="Q7" s="196"/>
    </row>
    <row r="8" spans="2:23">
      <c r="B8" s="28" t="s">
        <v>348</v>
      </c>
      <c r="C8" s="196">
        <f>$T$4</f>
        <v>8.1886666666666663</v>
      </c>
      <c r="D8" s="196">
        <f t="shared" ref="D8:N8" si="3">$T$4</f>
        <v>8.1886666666666663</v>
      </c>
      <c r="E8" s="196">
        <f t="shared" si="3"/>
        <v>8.1886666666666663</v>
      </c>
      <c r="F8" s="196">
        <f t="shared" si="3"/>
        <v>8.1886666666666663</v>
      </c>
      <c r="G8" s="196">
        <f t="shared" si="3"/>
        <v>8.1886666666666663</v>
      </c>
      <c r="H8" s="196">
        <f t="shared" si="3"/>
        <v>8.1886666666666663</v>
      </c>
      <c r="I8" s="196">
        <f t="shared" si="3"/>
        <v>8.1886666666666663</v>
      </c>
      <c r="J8" s="196">
        <f t="shared" si="3"/>
        <v>8.1886666666666663</v>
      </c>
      <c r="K8" s="196">
        <f t="shared" si="3"/>
        <v>8.1886666666666663</v>
      </c>
      <c r="L8" s="196">
        <f t="shared" si="3"/>
        <v>8.1886666666666663</v>
      </c>
      <c r="M8" s="196">
        <f t="shared" si="3"/>
        <v>8.1886666666666663</v>
      </c>
      <c r="N8" s="194">
        <f t="shared" si="3"/>
        <v>8.1886666666666663</v>
      </c>
      <c r="O8" s="196"/>
      <c r="P8" s="196"/>
      <c r="Q8" s="196"/>
    </row>
    <row r="9" spans="2:23">
      <c r="B9" s="28" t="s">
        <v>349</v>
      </c>
      <c r="C9" s="7">
        <f>$Q$4</f>
        <v>0.8</v>
      </c>
      <c r="D9" s="7">
        <f t="shared" ref="D9:N9" si="4">$Q$4</f>
        <v>0.8</v>
      </c>
      <c r="E9" s="7">
        <f t="shared" si="4"/>
        <v>0.8</v>
      </c>
      <c r="F9" s="7">
        <f t="shared" si="4"/>
        <v>0.8</v>
      </c>
      <c r="G9" s="7">
        <f t="shared" si="4"/>
        <v>0.8</v>
      </c>
      <c r="H9" s="7">
        <f t="shared" si="4"/>
        <v>0.8</v>
      </c>
      <c r="I9" s="7">
        <f t="shared" si="4"/>
        <v>0.8</v>
      </c>
      <c r="J9" s="7">
        <f t="shared" si="4"/>
        <v>0.8</v>
      </c>
      <c r="K9" s="7">
        <f t="shared" si="4"/>
        <v>0.8</v>
      </c>
      <c r="L9" s="7">
        <f t="shared" si="4"/>
        <v>0.8</v>
      </c>
      <c r="M9" s="7">
        <f t="shared" si="4"/>
        <v>0.8</v>
      </c>
      <c r="N9" s="30">
        <f t="shared" si="4"/>
        <v>0.8</v>
      </c>
    </row>
    <row r="10" spans="2:23">
      <c r="B10" s="28" t="s">
        <v>350</v>
      </c>
      <c r="C10" s="196">
        <f t="shared" ref="C10:N10" si="5">$W$3</f>
        <v>2.6160000000000001</v>
      </c>
      <c r="D10" s="196">
        <f t="shared" si="5"/>
        <v>2.6160000000000001</v>
      </c>
      <c r="E10" s="196">
        <f t="shared" si="5"/>
        <v>2.6160000000000001</v>
      </c>
      <c r="F10" s="196">
        <f t="shared" si="5"/>
        <v>2.6160000000000001</v>
      </c>
      <c r="G10" s="196">
        <f t="shared" si="5"/>
        <v>2.6160000000000001</v>
      </c>
      <c r="H10" s="196">
        <f t="shared" si="5"/>
        <v>2.6160000000000001</v>
      </c>
      <c r="I10" s="196">
        <f t="shared" si="5"/>
        <v>2.6160000000000001</v>
      </c>
      <c r="J10" s="196">
        <f t="shared" si="5"/>
        <v>2.6160000000000001</v>
      </c>
      <c r="K10" s="196">
        <f t="shared" si="5"/>
        <v>2.6160000000000001</v>
      </c>
      <c r="L10" s="196">
        <f t="shared" si="5"/>
        <v>2.6160000000000001</v>
      </c>
      <c r="M10" s="196">
        <f t="shared" si="5"/>
        <v>2.6160000000000001</v>
      </c>
      <c r="N10" s="194">
        <f t="shared" si="5"/>
        <v>2.6160000000000001</v>
      </c>
    </row>
    <row r="11" spans="2:23">
      <c r="B11" s="118" t="s">
        <v>351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5">
        <v>0</v>
      </c>
    </row>
  </sheetData>
  <mergeCells count="3">
    <mergeCell ref="P2:Q2"/>
    <mergeCell ref="S2:T2"/>
    <mergeCell ref="V2:W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5DF4-6E3C-4783-BA41-82293E9E838B}">
  <sheetPr>
    <pageSetUpPr fitToPage="1"/>
  </sheetPr>
  <dimension ref="A1:Z102"/>
  <sheetViews>
    <sheetView workbookViewId="0">
      <selection activeCell="F3" sqref="F3"/>
    </sheetView>
  </sheetViews>
  <sheetFormatPr defaultRowHeight="15"/>
  <cols>
    <col min="1" max="6" width="12.7109375" style="7" customWidth="1"/>
    <col min="7" max="9" width="12.7109375" customWidth="1"/>
    <col min="17" max="18" width="6" customWidth="1"/>
  </cols>
  <sheetData>
    <row r="1" spans="1:9">
      <c r="A1" s="198" t="s">
        <v>352</v>
      </c>
    </row>
    <row r="2" spans="1:9" ht="15.75" thickBot="1"/>
    <row r="3" spans="1:9" ht="18">
      <c r="A3" s="134" t="s">
        <v>353</v>
      </c>
      <c r="B3" s="134" t="s">
        <v>354</v>
      </c>
      <c r="C3" s="134" t="s">
        <v>355</v>
      </c>
      <c r="D3" s="134" t="s">
        <v>356</v>
      </c>
      <c r="E3" s="134" t="s">
        <v>357</v>
      </c>
      <c r="F3" s="134" t="s">
        <v>358</v>
      </c>
      <c r="G3" s="134" t="s">
        <v>359</v>
      </c>
      <c r="H3" s="134" t="s">
        <v>360</v>
      </c>
      <c r="I3" s="134" t="s">
        <v>361</v>
      </c>
    </row>
    <row r="4" spans="1:9">
      <c r="A4" s="7">
        <v>1</v>
      </c>
      <c r="B4" s="147">
        <v>1980</v>
      </c>
      <c r="C4" s="199">
        <v>127.5</v>
      </c>
      <c r="D4" s="200"/>
      <c r="E4" s="200"/>
      <c r="F4" s="200"/>
      <c r="G4" s="200" t="e">
        <v>#N/A</v>
      </c>
      <c r="H4" s="200" t="e">
        <v>#N/A</v>
      </c>
      <c r="I4" s="7"/>
    </row>
    <row r="5" spans="1:9">
      <c r="A5" s="7">
        <v>2</v>
      </c>
      <c r="B5" s="147">
        <v>1981</v>
      </c>
      <c r="C5" s="199">
        <v>130.1</v>
      </c>
      <c r="D5" s="199">
        <v>127.5</v>
      </c>
      <c r="E5" s="200">
        <v>123.19126308020745</v>
      </c>
      <c r="F5" s="200">
        <v>6.9087369197925455</v>
      </c>
      <c r="G5" s="200">
        <f>C4</f>
        <v>127.5</v>
      </c>
      <c r="H5" s="200">
        <f>C4</f>
        <v>127.5</v>
      </c>
      <c r="I5" s="7" t="e">
        <v>#N/A</v>
      </c>
    </row>
    <row r="6" spans="1:9">
      <c r="A6" s="7">
        <v>3</v>
      </c>
      <c r="B6" s="147">
        <v>1982</v>
      </c>
      <c r="C6" s="199">
        <v>117.8</v>
      </c>
      <c r="D6" s="199">
        <v>130.1</v>
      </c>
      <c r="E6" s="200">
        <v>124.93036557633252</v>
      </c>
      <c r="F6" s="200">
        <v>-7.1303655763325224</v>
      </c>
      <c r="G6" s="200">
        <f>0.8*C5+0.2*G5</f>
        <v>129.57999999999998</v>
      </c>
      <c r="H6" s="200">
        <f>0.2*C5+0.8*H5</f>
        <v>128.02000000000001</v>
      </c>
      <c r="I6" s="7" t="e">
        <v>#N/A</v>
      </c>
    </row>
    <row r="7" spans="1:9">
      <c r="A7" s="7">
        <v>4</v>
      </c>
      <c r="B7" s="147">
        <v>1983</v>
      </c>
      <c r="C7" s="199">
        <v>129.69999999999999</v>
      </c>
      <c r="D7" s="199">
        <v>117.8</v>
      </c>
      <c r="E7" s="200">
        <v>116.70307299851004</v>
      </c>
      <c r="F7" s="200">
        <v>12.996927001489951</v>
      </c>
      <c r="G7" s="200">
        <f t="shared" ref="G6:G33" si="0">0.8*C6+0.2*G6</f>
        <v>120.15600000000001</v>
      </c>
      <c r="H7" s="200">
        <f t="shared" ref="H6:H33" si="1">0.2*C6+0.8*H6</f>
        <v>125.97600000000001</v>
      </c>
      <c r="I7" s="7" t="e">
        <v>#N/A</v>
      </c>
    </row>
    <row r="8" spans="1:9">
      <c r="A8" s="7">
        <v>5</v>
      </c>
      <c r="B8" s="147">
        <v>1984</v>
      </c>
      <c r="C8" s="199">
        <v>123.9</v>
      </c>
      <c r="D8" s="199">
        <v>129.69999999999999</v>
      </c>
      <c r="E8" s="200">
        <v>124.66281134615943</v>
      </c>
      <c r="F8" s="200">
        <v>-0.76281134615942392</v>
      </c>
      <c r="G8" s="200">
        <f t="shared" si="0"/>
        <v>127.79119999999999</v>
      </c>
      <c r="H8" s="200">
        <f t="shared" si="1"/>
        <v>126.72080000000001</v>
      </c>
      <c r="I8" s="7" t="e">
        <v>#N/A</v>
      </c>
    </row>
    <row r="9" spans="1:9">
      <c r="A9" s="7">
        <v>6</v>
      </c>
      <c r="B9" s="147">
        <v>1985</v>
      </c>
      <c r="C9" s="199">
        <v>124.9</v>
      </c>
      <c r="D9" s="199">
        <v>123.9</v>
      </c>
      <c r="E9" s="200">
        <v>120.78327500864965</v>
      </c>
      <c r="F9" s="200">
        <v>4.1167249913503525</v>
      </c>
      <c r="G9" s="200">
        <f t="shared" si="0"/>
        <v>124.67824</v>
      </c>
      <c r="H9" s="200">
        <f t="shared" si="1"/>
        <v>126.15664000000001</v>
      </c>
      <c r="I9" s="200">
        <f t="shared" ref="I9:I33" si="2">AVERAGE(C4:C8)</f>
        <v>125.8</v>
      </c>
    </row>
    <row r="10" spans="1:9">
      <c r="A10" s="7">
        <v>7</v>
      </c>
      <c r="B10" s="147">
        <v>1986</v>
      </c>
      <c r="C10" s="199">
        <v>118.7</v>
      </c>
      <c r="D10" s="199">
        <v>124.9</v>
      </c>
      <c r="E10" s="200">
        <v>121.45216058408236</v>
      </c>
      <c r="F10" s="200">
        <v>-2.7521605840823611</v>
      </c>
      <c r="G10" s="200">
        <f t="shared" si="0"/>
        <v>124.85564800000002</v>
      </c>
      <c r="H10" s="200">
        <f t="shared" si="1"/>
        <v>125.90531200000002</v>
      </c>
      <c r="I10" s="200">
        <f t="shared" si="2"/>
        <v>125.28</v>
      </c>
    </row>
    <row r="11" spans="1:9">
      <c r="A11" s="7">
        <v>8</v>
      </c>
      <c r="B11" s="147">
        <v>1987</v>
      </c>
      <c r="C11" s="199">
        <v>123.9</v>
      </c>
      <c r="D11" s="199">
        <v>118.7</v>
      </c>
      <c r="E11" s="200">
        <v>117.30507001639948</v>
      </c>
      <c r="F11" s="200">
        <v>6.5949299836005224</v>
      </c>
      <c r="G11" s="200">
        <f t="shared" si="0"/>
        <v>119.93112960000002</v>
      </c>
      <c r="H11" s="200">
        <f t="shared" si="1"/>
        <v>124.46424960000002</v>
      </c>
      <c r="I11" s="200">
        <f t="shared" si="2"/>
        <v>123</v>
      </c>
    </row>
    <row r="12" spans="1:9">
      <c r="A12" s="7">
        <v>9</v>
      </c>
      <c r="B12" s="147">
        <v>1988</v>
      </c>
      <c r="C12" s="199">
        <v>121.4</v>
      </c>
      <c r="D12" s="199">
        <v>123.9</v>
      </c>
      <c r="E12" s="200">
        <v>120.78327500864965</v>
      </c>
      <c r="F12" s="200">
        <v>0.61672499135035252</v>
      </c>
      <c r="G12" s="200">
        <f t="shared" si="0"/>
        <v>123.10622592000001</v>
      </c>
      <c r="H12" s="200">
        <f t="shared" si="1"/>
        <v>124.35139968000001</v>
      </c>
      <c r="I12" s="200">
        <f t="shared" si="2"/>
        <v>124.22</v>
      </c>
    </row>
    <row r="13" spans="1:9">
      <c r="A13" s="7">
        <v>10</v>
      </c>
      <c r="B13" s="147">
        <v>1989</v>
      </c>
      <c r="C13" s="199">
        <v>115.3</v>
      </c>
      <c r="D13" s="199">
        <v>121.4</v>
      </c>
      <c r="E13" s="200">
        <v>119.11106107006785</v>
      </c>
      <c r="F13" s="200">
        <v>-3.8110610700678507</v>
      </c>
      <c r="G13" s="200">
        <f t="shared" si="0"/>
        <v>121.74124518400001</v>
      </c>
      <c r="H13" s="200">
        <f t="shared" si="1"/>
        <v>123.76111974400001</v>
      </c>
      <c r="I13" s="200">
        <f t="shared" si="2"/>
        <v>122.55999999999999</v>
      </c>
    </row>
    <row r="14" spans="1:9">
      <c r="A14" s="7">
        <v>11</v>
      </c>
      <c r="B14" s="147">
        <v>1990</v>
      </c>
      <c r="C14" s="199">
        <v>113.9</v>
      </c>
      <c r="D14" s="199">
        <v>115.3</v>
      </c>
      <c r="E14" s="200">
        <v>115.03085905992823</v>
      </c>
      <c r="F14" s="200">
        <v>-1.1308590599282269</v>
      </c>
      <c r="G14" s="200">
        <f t="shared" si="0"/>
        <v>116.58824903680001</v>
      </c>
      <c r="H14" s="200">
        <f t="shared" si="1"/>
        <v>122.06889579520002</v>
      </c>
      <c r="I14" s="200">
        <f t="shared" si="2"/>
        <v>120.83999999999999</v>
      </c>
    </row>
    <row r="15" spans="1:9">
      <c r="A15" s="7">
        <v>12</v>
      </c>
      <c r="B15" s="147">
        <v>1991</v>
      </c>
      <c r="C15" s="199">
        <v>107.7</v>
      </c>
      <c r="D15" s="199">
        <v>113.9</v>
      </c>
      <c r="E15" s="200">
        <v>114.09441925432243</v>
      </c>
      <c r="F15" s="200">
        <v>-6.394419254322429</v>
      </c>
      <c r="G15" s="200">
        <f t="shared" si="0"/>
        <v>114.43764980736</v>
      </c>
      <c r="H15" s="200">
        <f t="shared" si="1"/>
        <v>120.43511663616002</v>
      </c>
      <c r="I15" s="200">
        <f t="shared" si="2"/>
        <v>118.64000000000001</v>
      </c>
    </row>
    <row r="16" spans="1:9">
      <c r="A16" s="7">
        <v>13</v>
      </c>
      <c r="B16" s="147">
        <v>1992</v>
      </c>
      <c r="C16" s="199">
        <v>110.5</v>
      </c>
      <c r="D16" s="199">
        <v>107.7</v>
      </c>
      <c r="E16" s="200">
        <v>109.94732868663955</v>
      </c>
      <c r="F16" s="200">
        <v>0.55267131336044883</v>
      </c>
      <c r="G16" s="200">
        <f t="shared" si="0"/>
        <v>109.04752996147201</v>
      </c>
      <c r="H16" s="200">
        <f t="shared" si="1"/>
        <v>117.88809330892802</v>
      </c>
      <c r="I16" s="200">
        <f t="shared" si="2"/>
        <v>116.44000000000001</v>
      </c>
    </row>
    <row r="17" spans="1:9">
      <c r="A17" s="7">
        <v>14</v>
      </c>
      <c r="B17" s="147">
        <v>1993</v>
      </c>
      <c r="C17" s="199">
        <v>110</v>
      </c>
      <c r="D17" s="199">
        <v>110.5</v>
      </c>
      <c r="E17" s="200">
        <v>111.82020829785117</v>
      </c>
      <c r="F17" s="200">
        <v>-1.8202082978511669</v>
      </c>
      <c r="G17" s="200">
        <f t="shared" si="0"/>
        <v>110.20950599229441</v>
      </c>
      <c r="H17" s="200">
        <f t="shared" si="1"/>
        <v>116.41047464714242</v>
      </c>
      <c r="I17" s="200">
        <f t="shared" si="2"/>
        <v>113.75999999999999</v>
      </c>
    </row>
    <row r="18" spans="1:9">
      <c r="A18" s="7">
        <v>15</v>
      </c>
      <c r="B18" s="147">
        <v>1994</v>
      </c>
      <c r="C18" s="199">
        <v>104.3</v>
      </c>
      <c r="D18" s="199">
        <v>110</v>
      </c>
      <c r="E18" s="200">
        <v>111.48576551013481</v>
      </c>
      <c r="F18" s="200">
        <v>-7.1857655101348143</v>
      </c>
      <c r="G18" s="200">
        <f t="shared" si="0"/>
        <v>110.04190119845889</v>
      </c>
      <c r="H18" s="200">
        <f t="shared" si="1"/>
        <v>115.12837971771394</v>
      </c>
      <c r="I18" s="200">
        <f t="shared" si="2"/>
        <v>111.47999999999999</v>
      </c>
    </row>
    <row r="19" spans="1:9">
      <c r="A19" s="7">
        <v>16</v>
      </c>
      <c r="B19" s="147">
        <v>1995</v>
      </c>
      <c r="C19" s="199">
        <v>108.10000000000001</v>
      </c>
      <c r="D19" s="199">
        <v>104.3</v>
      </c>
      <c r="E19" s="200">
        <v>107.67311773016829</v>
      </c>
      <c r="F19" s="200">
        <v>0.42688226983172228</v>
      </c>
      <c r="G19" s="200">
        <f t="shared" si="0"/>
        <v>105.44838023969177</v>
      </c>
      <c r="H19" s="200">
        <f t="shared" si="1"/>
        <v>112.96270377417116</v>
      </c>
      <c r="I19" s="200">
        <f t="shared" si="2"/>
        <v>109.28</v>
      </c>
    </row>
    <row r="20" spans="1:9">
      <c r="A20" s="7">
        <v>17</v>
      </c>
      <c r="B20" s="147">
        <v>1996</v>
      </c>
      <c r="C20" s="199">
        <v>109</v>
      </c>
      <c r="D20" s="199">
        <v>108.10000000000001</v>
      </c>
      <c r="E20" s="200">
        <v>110.21488291681264</v>
      </c>
      <c r="F20" s="200">
        <v>-1.2148829168126412</v>
      </c>
      <c r="G20" s="200">
        <f t="shared" si="0"/>
        <v>107.56967604793837</v>
      </c>
      <c r="H20" s="200">
        <f t="shared" si="1"/>
        <v>111.99016301933693</v>
      </c>
      <c r="I20" s="200">
        <f t="shared" si="2"/>
        <v>108.12</v>
      </c>
    </row>
    <row r="21" spans="1:9">
      <c r="A21" s="7">
        <v>18</v>
      </c>
      <c r="B21" s="147">
        <v>1997</v>
      </c>
      <c r="C21" s="199">
        <v>113</v>
      </c>
      <c r="D21" s="199">
        <v>109</v>
      </c>
      <c r="E21" s="200">
        <v>110.81687993470209</v>
      </c>
      <c r="F21" s="200">
        <v>2.1831200652979135</v>
      </c>
      <c r="G21" s="200">
        <f t="shared" si="0"/>
        <v>108.71393520958767</v>
      </c>
      <c r="H21" s="200">
        <f t="shared" si="1"/>
        <v>111.39213041546955</v>
      </c>
      <c r="I21" s="200">
        <f t="shared" si="2"/>
        <v>108.38000000000002</v>
      </c>
    </row>
    <row r="22" spans="1:9">
      <c r="A22" s="7">
        <v>19</v>
      </c>
      <c r="B22" s="147">
        <v>1998</v>
      </c>
      <c r="C22" s="199">
        <v>112.7</v>
      </c>
      <c r="D22" s="199">
        <v>113</v>
      </c>
      <c r="E22" s="200">
        <v>113.49242223643297</v>
      </c>
      <c r="F22" s="200">
        <v>-0.79242223643296938</v>
      </c>
      <c r="G22" s="200">
        <f t="shared" si="0"/>
        <v>112.14278704191754</v>
      </c>
      <c r="H22" s="200">
        <f t="shared" si="1"/>
        <v>111.71370433237564</v>
      </c>
      <c r="I22" s="200">
        <f t="shared" si="2"/>
        <v>108.88000000000002</v>
      </c>
    </row>
    <row r="23" spans="1:9">
      <c r="A23" s="7">
        <v>20</v>
      </c>
      <c r="B23" s="147">
        <v>1999</v>
      </c>
      <c r="C23" s="199">
        <v>106.5</v>
      </c>
      <c r="D23" s="199">
        <v>112.7</v>
      </c>
      <c r="E23" s="200">
        <v>113.29175656380316</v>
      </c>
      <c r="F23" s="200">
        <v>-6.7917565638031618</v>
      </c>
      <c r="G23" s="200">
        <f t="shared" si="0"/>
        <v>112.58855740838352</v>
      </c>
      <c r="H23" s="200">
        <f t="shared" si="1"/>
        <v>111.91096346590052</v>
      </c>
      <c r="I23" s="200">
        <f t="shared" si="2"/>
        <v>109.42</v>
      </c>
    </row>
    <row r="24" spans="1:9">
      <c r="A24" s="7">
        <v>21</v>
      </c>
      <c r="B24" s="147">
        <v>2000</v>
      </c>
      <c r="C24" s="199">
        <v>112.60000000000001</v>
      </c>
      <c r="D24" s="199">
        <v>106.5</v>
      </c>
      <c r="E24" s="200">
        <v>109.14466599612028</v>
      </c>
      <c r="F24" s="200">
        <v>3.4553340038797273</v>
      </c>
      <c r="G24" s="200">
        <f t="shared" si="0"/>
        <v>107.7177114816767</v>
      </c>
      <c r="H24" s="200">
        <f t="shared" si="1"/>
        <v>110.82877077272042</v>
      </c>
      <c r="I24" s="200">
        <f t="shared" si="2"/>
        <v>109.85999999999999</v>
      </c>
    </row>
    <row r="25" spans="1:9">
      <c r="A25" s="7">
        <v>22</v>
      </c>
      <c r="B25" s="147">
        <v>2001</v>
      </c>
      <c r="C25" s="199">
        <v>111.8</v>
      </c>
      <c r="D25" s="199">
        <v>112.60000000000001</v>
      </c>
      <c r="E25" s="200">
        <v>113.22486800625988</v>
      </c>
      <c r="F25" s="200">
        <v>-1.4248680062598851</v>
      </c>
      <c r="G25" s="200">
        <f t="shared" si="0"/>
        <v>111.62354229633536</v>
      </c>
      <c r="H25" s="200">
        <f t="shared" si="1"/>
        <v>111.18301661817634</v>
      </c>
      <c r="I25" s="200">
        <f t="shared" si="2"/>
        <v>110.75999999999999</v>
      </c>
    </row>
    <row r="26" spans="1:9">
      <c r="A26" s="7">
        <v>23</v>
      </c>
      <c r="B26" s="147">
        <v>2002</v>
      </c>
      <c r="C26" s="199">
        <v>116.10000000000001</v>
      </c>
      <c r="D26" s="199">
        <v>111.8</v>
      </c>
      <c r="E26" s="200">
        <v>112.6897595459137</v>
      </c>
      <c r="F26" s="200">
        <v>3.4102404540863063</v>
      </c>
      <c r="G26" s="200">
        <f t="shared" si="0"/>
        <v>111.76470845926707</v>
      </c>
      <c r="H26" s="200">
        <f t="shared" si="1"/>
        <v>111.30641329454107</v>
      </c>
      <c r="I26" s="200">
        <f t="shared" si="2"/>
        <v>111.32000000000001</v>
      </c>
    </row>
    <row r="27" spans="1:9">
      <c r="A27" s="7">
        <v>24</v>
      </c>
      <c r="B27" s="147">
        <v>2003</v>
      </c>
      <c r="C27" s="199">
        <v>117.9</v>
      </c>
      <c r="D27" s="199">
        <v>116.10000000000001</v>
      </c>
      <c r="E27" s="200">
        <v>115.56596752027441</v>
      </c>
      <c r="F27" s="200">
        <v>2.3340324797255931</v>
      </c>
      <c r="G27" s="200">
        <f t="shared" si="0"/>
        <v>115.23294169185343</v>
      </c>
      <c r="H27" s="200">
        <f t="shared" si="1"/>
        <v>112.26513063563286</v>
      </c>
      <c r="I27" s="200">
        <f t="shared" si="2"/>
        <v>111.94000000000001</v>
      </c>
    </row>
    <row r="28" spans="1:9">
      <c r="A28" s="7">
        <v>25</v>
      </c>
      <c r="B28" s="147">
        <v>2004</v>
      </c>
      <c r="C28" s="199">
        <v>116.60000000000001</v>
      </c>
      <c r="D28" s="199">
        <v>117.9</v>
      </c>
      <c r="E28" s="200">
        <v>116.76996155605332</v>
      </c>
      <c r="F28" s="200">
        <v>-0.16996155605330898</v>
      </c>
      <c r="G28" s="200">
        <f t="shared" si="0"/>
        <v>117.36658833837069</v>
      </c>
      <c r="H28" s="200">
        <f t="shared" si="1"/>
        <v>113.39210450850629</v>
      </c>
      <c r="I28" s="200">
        <f t="shared" si="2"/>
        <v>112.98000000000002</v>
      </c>
    </row>
    <row r="29" spans="1:9">
      <c r="A29" s="7">
        <v>26</v>
      </c>
      <c r="B29" s="147">
        <v>2005</v>
      </c>
      <c r="C29" s="199">
        <v>112.5</v>
      </c>
      <c r="D29" s="199">
        <v>116.60000000000001</v>
      </c>
      <c r="E29" s="200">
        <v>115.90041030799078</v>
      </c>
      <c r="F29" s="200">
        <v>-3.4004103079907821</v>
      </c>
      <c r="G29" s="200">
        <f t="shared" si="0"/>
        <v>116.75331766767415</v>
      </c>
      <c r="H29" s="200">
        <f t="shared" si="1"/>
        <v>114.03368360680504</v>
      </c>
      <c r="I29" s="200">
        <f t="shared" si="2"/>
        <v>115</v>
      </c>
    </row>
    <row r="30" spans="1:9">
      <c r="A30" s="7">
        <v>27</v>
      </c>
      <c r="B30" s="147">
        <v>2006</v>
      </c>
      <c r="C30" s="199">
        <v>117.3</v>
      </c>
      <c r="D30" s="199">
        <v>112.5</v>
      </c>
      <c r="E30" s="200">
        <v>113.15797944871662</v>
      </c>
      <c r="F30" s="200">
        <v>4.1420205512833803</v>
      </c>
      <c r="G30" s="200">
        <f t="shared" si="0"/>
        <v>113.35066353353483</v>
      </c>
      <c r="H30" s="200">
        <f t="shared" si="1"/>
        <v>113.72694688544404</v>
      </c>
      <c r="I30" s="200">
        <f t="shared" si="2"/>
        <v>114.98000000000002</v>
      </c>
    </row>
    <row r="31" spans="1:9">
      <c r="A31" s="7">
        <v>28</v>
      </c>
      <c r="B31" s="147">
        <v>2007</v>
      </c>
      <c r="C31" s="199">
        <v>110.9</v>
      </c>
      <c r="D31" s="199">
        <v>117.3</v>
      </c>
      <c r="E31" s="200">
        <v>116.36863021079367</v>
      </c>
      <c r="F31" s="200">
        <v>-5.4686302107936626</v>
      </c>
      <c r="G31" s="200">
        <f t="shared" si="0"/>
        <v>116.51013270670697</v>
      </c>
      <c r="H31" s="200">
        <f t="shared" si="1"/>
        <v>114.44155750835523</v>
      </c>
      <c r="I31" s="200">
        <f t="shared" si="2"/>
        <v>116.08</v>
      </c>
    </row>
    <row r="32" spans="1:9">
      <c r="A32" s="7">
        <v>29</v>
      </c>
      <c r="B32" s="147">
        <v>2008</v>
      </c>
      <c r="C32" s="199">
        <v>114.60000000000001</v>
      </c>
      <c r="D32" s="199">
        <v>110.9</v>
      </c>
      <c r="E32" s="200">
        <v>112.08776252802426</v>
      </c>
      <c r="F32" s="200">
        <v>2.5122374719757516</v>
      </c>
      <c r="G32" s="200">
        <f t="shared" si="0"/>
        <v>112.0220265413414</v>
      </c>
      <c r="H32" s="200">
        <f t="shared" si="1"/>
        <v>113.7332460066842</v>
      </c>
      <c r="I32" s="200">
        <f t="shared" si="2"/>
        <v>115.04</v>
      </c>
    </row>
    <row r="33" spans="1:26">
      <c r="A33" s="40">
        <v>30</v>
      </c>
      <c r="B33" s="40">
        <v>2009</v>
      </c>
      <c r="C33" s="201"/>
      <c r="D33" s="201">
        <f>C32</f>
        <v>114.60000000000001</v>
      </c>
      <c r="E33" s="201">
        <f>$J$67+($J$68*'HW6 _time_series_football'!D33)</f>
        <v>114.56263915712533</v>
      </c>
      <c r="F33" s="201"/>
      <c r="G33" s="201">
        <f t="shared" si="0"/>
        <v>114.08440530826829</v>
      </c>
      <c r="H33" s="201">
        <f t="shared" si="1"/>
        <v>113.90659680534736</v>
      </c>
      <c r="I33" s="201">
        <f t="shared" si="2"/>
        <v>114.38000000000002</v>
      </c>
    </row>
    <row r="35" spans="1:26" ht="15.75">
      <c r="A35" s="202" t="s">
        <v>362</v>
      </c>
      <c r="B35" s="203"/>
      <c r="C35" s="203"/>
      <c r="D35" s="204"/>
      <c r="E35" s="204"/>
      <c r="F35" s="204"/>
      <c r="G35" s="204"/>
      <c r="H35" s="204"/>
      <c r="I35" s="204"/>
      <c r="J35" s="203"/>
      <c r="K35" s="203"/>
      <c r="L35" s="203"/>
      <c r="M35" s="203"/>
      <c r="N35" s="203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5"/>
    </row>
    <row r="36" spans="1:26" ht="15.75">
      <c r="A36" s="206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9"/>
    </row>
    <row r="37" spans="1:26" ht="15.75">
      <c r="A37" s="210" t="s">
        <v>363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9"/>
    </row>
    <row r="38" spans="1:26" ht="15.75">
      <c r="A38" s="206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9"/>
    </row>
    <row r="39" spans="1:26" ht="15.75">
      <c r="A39" s="215" t="s">
        <v>364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9"/>
    </row>
    <row r="40" spans="1:26" ht="15.75">
      <c r="A40" s="21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9"/>
    </row>
    <row r="41" spans="1:26" ht="15.75">
      <c r="A41" s="215" t="s">
        <v>365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9"/>
    </row>
    <row r="42" spans="1:26" ht="15.75">
      <c r="A42" s="21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9"/>
    </row>
    <row r="43" spans="1:26" ht="15.75">
      <c r="A43" s="215" t="s">
        <v>366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9"/>
    </row>
    <row r="44" spans="1:26" ht="15.75">
      <c r="A44" s="21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9"/>
    </row>
    <row r="45" spans="1:26" ht="15.75">
      <c r="A45" s="215" t="s">
        <v>367</v>
      </c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9"/>
    </row>
    <row r="46" spans="1:26" ht="15.75">
      <c r="A46" s="215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9"/>
    </row>
    <row r="47" spans="1:26" ht="15.75">
      <c r="A47" s="215" t="s">
        <v>368</v>
      </c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9"/>
    </row>
    <row r="48" spans="1:26" ht="15.75">
      <c r="A48" s="206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9"/>
    </row>
    <row r="49" spans="1:26" ht="15.75">
      <c r="A49" s="211" t="s">
        <v>369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4"/>
    </row>
    <row r="51" spans="1:26">
      <c r="I51" t="s">
        <v>217</v>
      </c>
    </row>
    <row r="52" spans="1:26" ht="15.75" thickBot="1"/>
    <row r="53" spans="1:26">
      <c r="I53" s="143" t="s">
        <v>218</v>
      </c>
      <c r="J53" s="143"/>
    </row>
    <row r="54" spans="1:26">
      <c r="I54" t="s">
        <v>219</v>
      </c>
      <c r="J54">
        <v>0.70683597531229692</v>
      </c>
    </row>
    <row r="55" spans="1:26">
      <c r="I55" t="s">
        <v>220</v>
      </c>
      <c r="J55">
        <v>0.49961709599568599</v>
      </c>
    </row>
    <row r="56" spans="1:26">
      <c r="I56" t="s">
        <v>221</v>
      </c>
      <c r="J56">
        <v>0.48037159968782778</v>
      </c>
    </row>
    <row r="57" spans="1:26">
      <c r="I57" t="s">
        <v>222</v>
      </c>
      <c r="J57">
        <v>4.7942587394350857</v>
      </c>
    </row>
    <row r="58" spans="1:26" ht="15.75" thickBot="1">
      <c r="I58" s="121" t="s">
        <v>223</v>
      </c>
      <c r="J58" s="121">
        <v>28</v>
      </c>
    </row>
    <row r="60" spans="1:26" ht="15.75" thickBot="1">
      <c r="I60" t="s">
        <v>224</v>
      </c>
    </row>
    <row r="61" spans="1:26">
      <c r="I61" s="134"/>
      <c r="J61" s="134" t="s">
        <v>225</v>
      </c>
      <c r="K61" s="134" t="s">
        <v>226</v>
      </c>
      <c r="L61" s="134" t="s">
        <v>227</v>
      </c>
      <c r="M61" s="134" t="s">
        <v>228</v>
      </c>
      <c r="N61" s="134" t="s">
        <v>229</v>
      </c>
    </row>
    <row r="62" spans="1:26">
      <c r="I62" t="s">
        <v>230</v>
      </c>
      <c r="J62">
        <v>1</v>
      </c>
      <c r="K62">
        <v>596.69323305167904</v>
      </c>
      <c r="L62">
        <v>596.69323305167904</v>
      </c>
      <c r="M62">
        <v>25.960208456234234</v>
      </c>
      <c r="N62">
        <v>2.6150116103923949E-5</v>
      </c>
    </row>
    <row r="63" spans="1:26">
      <c r="I63" t="s">
        <v>231</v>
      </c>
      <c r="J63">
        <v>26</v>
      </c>
      <c r="K63">
        <v>597.607838376892</v>
      </c>
      <c r="L63">
        <v>22.984916860649694</v>
      </c>
    </row>
    <row r="64" spans="1:26" ht="15.75" thickBot="1">
      <c r="I64" s="121" t="s">
        <v>91</v>
      </c>
      <c r="J64" s="121">
        <v>27</v>
      </c>
      <c r="K64" s="121">
        <v>1194.301071428571</v>
      </c>
      <c r="L64" s="121"/>
      <c r="M64" s="121"/>
      <c r="N64" s="121"/>
    </row>
    <row r="65" spans="9:17" ht="15.75" thickBot="1"/>
    <row r="66" spans="9:17">
      <c r="I66" s="134"/>
      <c r="J66" s="134" t="s">
        <v>233</v>
      </c>
      <c r="K66" s="134" t="s">
        <v>222</v>
      </c>
      <c r="L66" s="134" t="s">
        <v>234</v>
      </c>
      <c r="M66" s="134" t="s">
        <v>235</v>
      </c>
      <c r="N66" s="134" t="s">
        <v>236</v>
      </c>
      <c r="O66" s="134" t="s">
        <v>237</v>
      </c>
      <c r="P66" s="134" t="s">
        <v>238</v>
      </c>
      <c r="Q66" s="134" t="s">
        <v>239</v>
      </c>
    </row>
    <row r="67" spans="9:17">
      <c r="I67" t="s">
        <v>240</v>
      </c>
      <c r="J67">
        <v>37.908352212535362</v>
      </c>
      <c r="K67">
        <v>15.239466815006491</v>
      </c>
      <c r="L67">
        <v>2.4875117136779705</v>
      </c>
      <c r="M67">
        <v>1.9603154467406497E-2</v>
      </c>
      <c r="N67">
        <v>6.5831795450683757</v>
      </c>
      <c r="O67">
        <v>69.233524880002349</v>
      </c>
      <c r="P67">
        <v>6.5831795450683757</v>
      </c>
      <c r="Q67">
        <v>69.233524880002349</v>
      </c>
    </row>
    <row r="68" spans="9:17" ht="15.75" thickBot="1">
      <c r="I68" s="121" t="s">
        <v>278</v>
      </c>
      <c r="J68" s="121">
        <v>0.6688855754327222</v>
      </c>
      <c r="K68" s="121">
        <v>0.13127975052204288</v>
      </c>
      <c r="L68" s="121">
        <v>5.0951161376591063</v>
      </c>
      <c r="M68" s="121">
        <v>2.61501161039238E-5</v>
      </c>
      <c r="N68" s="121">
        <v>0.39903618353697096</v>
      </c>
      <c r="O68" s="121">
        <v>0.9387349673284735</v>
      </c>
      <c r="P68" s="121">
        <v>0.39903618353697096</v>
      </c>
      <c r="Q68" s="121">
        <v>0.9387349673284735</v>
      </c>
    </row>
    <row r="72" spans="9:17">
      <c r="I72" t="s">
        <v>370</v>
      </c>
    </row>
    <row r="73" spans="9:17" ht="15.75" thickBot="1"/>
    <row r="74" spans="9:17">
      <c r="I74" s="134" t="s">
        <v>353</v>
      </c>
      <c r="J74" s="134" t="s">
        <v>357</v>
      </c>
      <c r="K74" s="134" t="s">
        <v>358</v>
      </c>
    </row>
    <row r="75" spans="9:17">
      <c r="I75">
        <v>1</v>
      </c>
      <c r="J75">
        <v>123.19126308020745</v>
      </c>
      <c r="K75">
        <v>6.9087369197925455</v>
      </c>
    </row>
    <row r="76" spans="9:17">
      <c r="I76">
        <v>2</v>
      </c>
      <c r="J76">
        <v>124.93036557633252</v>
      </c>
      <c r="K76">
        <v>-7.1303655763325224</v>
      </c>
    </row>
    <row r="77" spans="9:17">
      <c r="I77">
        <v>3</v>
      </c>
      <c r="J77">
        <v>116.70307299851004</v>
      </c>
      <c r="K77">
        <v>12.996927001489951</v>
      </c>
    </row>
    <row r="78" spans="9:17">
      <c r="I78">
        <v>4</v>
      </c>
      <c r="J78">
        <v>124.66281134615943</v>
      </c>
      <c r="K78">
        <v>-0.76281134615942392</v>
      </c>
    </row>
    <row r="79" spans="9:17">
      <c r="I79">
        <v>5</v>
      </c>
      <c r="J79">
        <v>120.78327500864965</v>
      </c>
      <c r="K79">
        <v>4.1167249913503525</v>
      </c>
    </row>
    <row r="80" spans="9:17">
      <c r="I80">
        <v>6</v>
      </c>
      <c r="J80">
        <v>121.45216058408236</v>
      </c>
      <c r="K80">
        <v>-2.7521605840823611</v>
      </c>
    </row>
    <row r="81" spans="9:11">
      <c r="I81">
        <v>7</v>
      </c>
      <c r="J81">
        <v>117.30507001639948</v>
      </c>
      <c r="K81">
        <v>6.5949299836005224</v>
      </c>
    </row>
    <row r="82" spans="9:11">
      <c r="I82">
        <v>8</v>
      </c>
      <c r="J82">
        <v>120.78327500864965</v>
      </c>
      <c r="K82">
        <v>0.61672499135035252</v>
      </c>
    </row>
    <row r="83" spans="9:11">
      <c r="I83">
        <v>9</v>
      </c>
      <c r="J83">
        <v>119.11106107006785</v>
      </c>
      <c r="K83">
        <v>-3.8110610700678507</v>
      </c>
    </row>
    <row r="84" spans="9:11">
      <c r="I84">
        <v>10</v>
      </c>
      <c r="J84">
        <v>115.03085905992823</v>
      </c>
      <c r="K84">
        <v>-1.1308590599282269</v>
      </c>
    </row>
    <row r="85" spans="9:11">
      <c r="I85">
        <v>11</v>
      </c>
      <c r="J85">
        <v>114.09441925432243</v>
      </c>
      <c r="K85">
        <v>-6.394419254322429</v>
      </c>
    </row>
    <row r="86" spans="9:11">
      <c r="I86">
        <v>12</v>
      </c>
      <c r="J86">
        <v>109.94732868663955</v>
      </c>
      <c r="K86">
        <v>0.55267131336044883</v>
      </c>
    </row>
    <row r="87" spans="9:11">
      <c r="I87">
        <v>13</v>
      </c>
      <c r="J87">
        <v>111.82020829785117</v>
      </c>
      <c r="K87">
        <v>-1.8202082978511669</v>
      </c>
    </row>
    <row r="88" spans="9:11">
      <c r="I88">
        <v>14</v>
      </c>
      <c r="J88">
        <v>111.48576551013481</v>
      </c>
      <c r="K88">
        <v>-7.1857655101348143</v>
      </c>
    </row>
    <row r="89" spans="9:11">
      <c r="I89">
        <v>15</v>
      </c>
      <c r="J89">
        <v>107.67311773016829</v>
      </c>
      <c r="K89">
        <v>0.42688226983172228</v>
      </c>
    </row>
    <row r="90" spans="9:11">
      <c r="I90">
        <v>16</v>
      </c>
      <c r="J90">
        <v>110.21488291681264</v>
      </c>
      <c r="K90">
        <v>-1.2148829168126412</v>
      </c>
    </row>
    <row r="91" spans="9:11">
      <c r="I91">
        <v>17</v>
      </c>
      <c r="J91">
        <v>110.81687993470209</v>
      </c>
      <c r="K91">
        <v>2.1831200652979135</v>
      </c>
    </row>
    <row r="92" spans="9:11">
      <c r="I92">
        <v>18</v>
      </c>
      <c r="J92">
        <v>113.49242223643297</v>
      </c>
      <c r="K92">
        <v>-0.79242223643296938</v>
      </c>
    </row>
    <row r="93" spans="9:11">
      <c r="I93">
        <v>19</v>
      </c>
      <c r="J93">
        <v>113.29175656380316</v>
      </c>
      <c r="K93">
        <v>-6.7917565638031618</v>
      </c>
    </row>
    <row r="94" spans="9:11">
      <c r="I94">
        <v>20</v>
      </c>
      <c r="J94">
        <v>109.14466599612028</v>
      </c>
      <c r="K94">
        <v>3.4553340038797273</v>
      </c>
    </row>
    <row r="95" spans="9:11">
      <c r="I95">
        <v>21</v>
      </c>
      <c r="J95">
        <v>113.22486800625988</v>
      </c>
      <c r="K95">
        <v>-1.4248680062598851</v>
      </c>
    </row>
    <row r="96" spans="9:11">
      <c r="I96">
        <v>22</v>
      </c>
      <c r="J96">
        <v>112.6897595459137</v>
      </c>
      <c r="K96">
        <v>3.4102404540863063</v>
      </c>
    </row>
    <row r="97" spans="9:11">
      <c r="I97">
        <v>23</v>
      </c>
      <c r="J97">
        <v>115.56596752027441</v>
      </c>
      <c r="K97">
        <v>2.3340324797255931</v>
      </c>
    </row>
    <row r="98" spans="9:11">
      <c r="I98">
        <v>24</v>
      </c>
      <c r="J98">
        <v>116.76996155605332</v>
      </c>
      <c r="K98">
        <v>-0.16996155605330898</v>
      </c>
    </row>
    <row r="99" spans="9:11">
      <c r="I99">
        <v>25</v>
      </c>
      <c r="J99">
        <v>115.90041030799078</v>
      </c>
      <c r="K99">
        <v>-3.4004103079907821</v>
      </c>
    </row>
    <row r="100" spans="9:11">
      <c r="I100">
        <v>26</v>
      </c>
      <c r="J100">
        <v>113.15797944871662</v>
      </c>
      <c r="K100">
        <v>4.1420205512833803</v>
      </c>
    </row>
    <row r="101" spans="9:11">
      <c r="I101">
        <v>27</v>
      </c>
      <c r="J101">
        <v>116.36863021079367</v>
      </c>
      <c r="K101">
        <v>-5.4686302107936626</v>
      </c>
    </row>
    <row r="102" spans="9:11" ht="15.75" thickBot="1">
      <c r="I102" s="121">
        <v>28</v>
      </c>
      <c r="J102" s="121">
        <v>112.08776252802426</v>
      </c>
      <c r="K102" s="121">
        <v>2.5122374719757516</v>
      </c>
    </row>
  </sheetData>
  <pageMargins left="0.7" right="0.7" top="0.75" bottom="0.75" header="0.3" footer="0.3"/>
  <pageSetup scale="51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B58C-4FE2-4746-A38F-C55D45E78BDA}">
  <dimension ref="A1:J13"/>
  <sheetViews>
    <sheetView workbookViewId="0">
      <selection activeCell="A17" sqref="A17"/>
    </sheetView>
  </sheetViews>
  <sheetFormatPr defaultRowHeight="15"/>
  <cols>
    <col min="1" max="1" width="9.140625" style="7"/>
    <col min="3" max="4" width="9.140625" style="7"/>
    <col min="9" max="9" width="9.140625" style="7"/>
  </cols>
  <sheetData>
    <row r="1" spans="1:10">
      <c r="A1" s="7" t="s">
        <v>371</v>
      </c>
      <c r="C1" s="7" t="s">
        <v>371</v>
      </c>
      <c r="D1" s="7" t="s">
        <v>372</v>
      </c>
      <c r="F1" s="7" t="s">
        <v>371</v>
      </c>
      <c r="G1">
        <f>_xlfn.STDEV.S(F2:F13)</f>
        <v>4.1000739091638421</v>
      </c>
      <c r="I1" s="7" t="s">
        <v>371</v>
      </c>
      <c r="J1">
        <f>MEDIAN(I2:I13)</f>
        <v>12</v>
      </c>
    </row>
    <row r="2" spans="1:10">
      <c r="A2" s="7">
        <v>15</v>
      </c>
      <c r="C2" s="7">
        <v>15</v>
      </c>
      <c r="D2" s="7">
        <v>4</v>
      </c>
      <c r="F2" s="7">
        <v>15</v>
      </c>
      <c r="I2" s="7">
        <v>3</v>
      </c>
    </row>
    <row r="3" spans="1:10">
      <c r="A3" s="7">
        <v>15</v>
      </c>
      <c r="C3" s="7">
        <v>15</v>
      </c>
      <c r="D3" s="7">
        <v>4</v>
      </c>
      <c r="F3" s="7">
        <v>13</v>
      </c>
      <c r="I3" s="7">
        <v>6</v>
      </c>
    </row>
    <row r="4" spans="1:10">
      <c r="A4" s="7">
        <v>15</v>
      </c>
      <c r="C4" s="7">
        <v>15</v>
      </c>
      <c r="D4" s="7">
        <v>4</v>
      </c>
      <c r="F4" s="7">
        <v>10</v>
      </c>
      <c r="I4" s="7">
        <v>7</v>
      </c>
    </row>
    <row r="5" spans="1:10">
      <c r="A5" s="7">
        <v>15</v>
      </c>
      <c r="C5" s="7">
        <v>15</v>
      </c>
      <c r="D5" s="7">
        <v>4</v>
      </c>
      <c r="F5" s="7">
        <v>15</v>
      </c>
      <c r="I5" s="7">
        <v>9</v>
      </c>
    </row>
    <row r="6" spans="1:10">
      <c r="A6" s="7">
        <v>13</v>
      </c>
      <c r="C6" s="7">
        <v>12</v>
      </c>
      <c r="D6" s="7">
        <v>2</v>
      </c>
      <c r="F6" s="7">
        <v>6</v>
      </c>
      <c r="I6" s="7">
        <v>10</v>
      </c>
    </row>
    <row r="7" spans="1:10">
      <c r="A7" s="7">
        <v>12</v>
      </c>
      <c r="C7" s="7">
        <v>12</v>
      </c>
      <c r="D7" s="7">
        <v>2</v>
      </c>
      <c r="F7" s="7">
        <v>12</v>
      </c>
      <c r="I7" s="7">
        <v>12</v>
      </c>
    </row>
    <row r="8" spans="1:10">
      <c r="A8" s="7">
        <v>12</v>
      </c>
      <c r="C8" s="7">
        <v>13</v>
      </c>
      <c r="D8" s="7">
        <v>1</v>
      </c>
      <c r="F8" s="7">
        <v>12</v>
      </c>
      <c r="I8" s="7">
        <v>12</v>
      </c>
    </row>
    <row r="9" spans="1:10">
      <c r="A9" s="7">
        <v>10</v>
      </c>
      <c r="C9" s="7">
        <v>10</v>
      </c>
      <c r="D9" s="7">
        <v>1</v>
      </c>
      <c r="F9" s="7">
        <v>7</v>
      </c>
      <c r="I9" s="7">
        <v>13</v>
      </c>
    </row>
    <row r="10" spans="1:10">
      <c r="A10" s="7">
        <v>8</v>
      </c>
      <c r="C10" s="7">
        <v>6</v>
      </c>
      <c r="D10" s="7">
        <v>1</v>
      </c>
      <c r="F10" s="7">
        <v>8</v>
      </c>
      <c r="I10" s="7">
        <v>15</v>
      </c>
    </row>
    <row r="11" spans="1:10">
      <c r="A11" s="7">
        <v>7</v>
      </c>
      <c r="C11" s="7">
        <v>7</v>
      </c>
      <c r="D11" s="7">
        <v>1</v>
      </c>
      <c r="F11" s="7">
        <v>3</v>
      </c>
      <c r="I11" s="7">
        <v>15</v>
      </c>
    </row>
    <row r="12" spans="1:10">
      <c r="A12" s="7">
        <v>6</v>
      </c>
      <c r="C12" s="7">
        <v>8</v>
      </c>
      <c r="D12" s="7">
        <v>1</v>
      </c>
      <c r="F12" s="7">
        <v>15</v>
      </c>
      <c r="I12" s="7">
        <v>15</v>
      </c>
    </row>
    <row r="13" spans="1:10">
      <c r="A13" s="7">
        <v>3</v>
      </c>
      <c r="C13" s="7">
        <v>3</v>
      </c>
      <c r="D13" s="7">
        <v>1</v>
      </c>
      <c r="F13" s="7">
        <v>15</v>
      </c>
      <c r="I13" s="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EB76-3848-47D8-A58C-AA19B664CC6E}">
  <dimension ref="A2:D33"/>
  <sheetViews>
    <sheetView workbookViewId="0">
      <selection activeCell="J28" sqref="J28"/>
    </sheetView>
  </sheetViews>
  <sheetFormatPr defaultRowHeight="15"/>
  <cols>
    <col min="1" max="1" width="15.7109375" bestFit="1" customWidth="1"/>
    <col min="2" max="2" width="8.85546875" customWidth="1"/>
    <col min="3" max="3" width="10.85546875" bestFit="1" customWidth="1"/>
    <col min="4" max="4" width="12.85546875" bestFit="1" customWidth="1"/>
  </cols>
  <sheetData>
    <row r="2" spans="1:4">
      <c r="A2" s="77" t="s">
        <v>81</v>
      </c>
      <c r="B2" s="78" t="s">
        <v>82</v>
      </c>
      <c r="C2" s="77" t="s">
        <v>83</v>
      </c>
      <c r="D2" s="77" t="s">
        <v>84</v>
      </c>
    </row>
    <row r="3" spans="1:4">
      <c r="A3" t="s">
        <v>85</v>
      </c>
      <c r="B3">
        <v>50</v>
      </c>
      <c r="C3">
        <f>B3</f>
        <v>50</v>
      </c>
      <c r="D3" s="76">
        <f>C3/$B$9</f>
        <v>0.30303030303030304</v>
      </c>
    </row>
    <row r="4" spans="1:4">
      <c r="A4" t="s">
        <v>86</v>
      </c>
      <c r="B4">
        <v>45</v>
      </c>
      <c r="C4">
        <f>C3+B4</f>
        <v>95</v>
      </c>
      <c r="D4" s="76">
        <f>C4/$B$9</f>
        <v>0.5757575757575758</v>
      </c>
    </row>
    <row r="5" spans="1:4">
      <c r="A5" t="s">
        <v>87</v>
      </c>
      <c r="B5">
        <v>30</v>
      </c>
      <c r="C5">
        <f>C4+B5</f>
        <v>125</v>
      </c>
      <c r="D5" s="76">
        <f>C5/$B$9</f>
        <v>0.75757575757575757</v>
      </c>
    </row>
    <row r="6" spans="1:4">
      <c r="A6" t="s">
        <v>88</v>
      </c>
      <c r="B6">
        <v>25</v>
      </c>
      <c r="C6">
        <f>C5+B6</f>
        <v>150</v>
      </c>
      <c r="D6" s="76">
        <f>C6/$B$9</f>
        <v>0.90909090909090906</v>
      </c>
    </row>
    <row r="7" spans="1:4">
      <c r="A7" t="s">
        <v>89</v>
      </c>
      <c r="B7">
        <v>10</v>
      </c>
      <c r="C7">
        <f>C6+B7</f>
        <v>160</v>
      </c>
      <c r="D7" s="76">
        <f>C7/$B$9</f>
        <v>0.96969696969696972</v>
      </c>
    </row>
    <row r="8" spans="1:4">
      <c r="A8" s="21" t="s">
        <v>90</v>
      </c>
      <c r="B8" s="21">
        <v>5</v>
      </c>
      <c r="C8" s="21">
        <f>C7+B8</f>
        <v>165</v>
      </c>
      <c r="D8" s="75">
        <f>C8/$B$9</f>
        <v>1</v>
      </c>
    </row>
    <row r="9" spans="1:4">
      <c r="A9" s="1" t="s">
        <v>91</v>
      </c>
      <c r="B9">
        <f>SUM(B3:B8)</f>
        <v>165</v>
      </c>
    </row>
    <row r="11" spans="1:4">
      <c r="A11" s="74" t="s">
        <v>92</v>
      </c>
      <c r="B11" s="73"/>
    </row>
    <row r="12" spans="1:4">
      <c r="A12" t="s">
        <v>93</v>
      </c>
    </row>
    <row r="13" spans="1:4">
      <c r="A13" t="s">
        <v>94</v>
      </c>
    </row>
    <row r="14" spans="1:4">
      <c r="A14" t="s">
        <v>95</v>
      </c>
    </row>
    <row r="15" spans="1:4">
      <c r="A15" t="s">
        <v>96</v>
      </c>
    </row>
    <row r="16" spans="1:4">
      <c r="A16" t="s">
        <v>97</v>
      </c>
    </row>
    <row r="18" spans="1:1">
      <c r="A18" t="s">
        <v>98</v>
      </c>
    </row>
    <row r="19" spans="1:1">
      <c r="A19" t="s">
        <v>99</v>
      </c>
    </row>
    <row r="20" spans="1:1">
      <c r="A20" t="s">
        <v>100</v>
      </c>
    </row>
    <row r="21" spans="1:1">
      <c r="A21" t="s">
        <v>101</v>
      </c>
    </row>
    <row r="23" spans="1:1">
      <c r="A23" t="s">
        <v>102</v>
      </c>
    </row>
    <row r="24" spans="1:1">
      <c r="A24" t="s">
        <v>103</v>
      </c>
    </row>
    <row r="25" spans="1:1">
      <c r="A25" t="s">
        <v>104</v>
      </c>
    </row>
    <row r="26" spans="1:1">
      <c r="A26" t="s">
        <v>105</v>
      </c>
    </row>
    <row r="27" spans="1:1">
      <c r="A27" t="s">
        <v>106</v>
      </c>
    </row>
    <row r="28" spans="1:1">
      <c r="A28" t="s">
        <v>107</v>
      </c>
    </row>
    <row r="29" spans="1:1">
      <c r="A29" t="s">
        <v>108</v>
      </c>
    </row>
    <row r="30" spans="1:1">
      <c r="A30" t="s">
        <v>109</v>
      </c>
    </row>
    <row r="31" spans="1:1">
      <c r="A31" t="s">
        <v>110</v>
      </c>
    </row>
    <row r="32" spans="1:1">
      <c r="A32" t="s">
        <v>111</v>
      </c>
    </row>
    <row r="33" spans="1:1">
      <c r="A33" t="s">
        <v>112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C7AA-7776-47F4-8DED-4E00B3CA5EB0}">
  <dimension ref="A1"/>
  <sheetViews>
    <sheetView workbookViewId="0">
      <selection activeCell="P17" sqref="P17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2FAF-C007-4F76-A544-FA7911D52F1F}">
  <dimension ref="B2:O44"/>
  <sheetViews>
    <sheetView workbookViewId="0">
      <selection activeCell="Q16" sqref="Q16"/>
    </sheetView>
  </sheetViews>
  <sheetFormatPr defaultColWidth="8.7109375" defaultRowHeight="15"/>
  <cols>
    <col min="1" max="1" width="5.140625" customWidth="1"/>
    <col min="2" max="2" width="8.7109375" customWidth="1"/>
    <col min="7" max="10" width="15.7109375" customWidth="1"/>
    <col min="11" max="11" width="8.7109375" customWidth="1"/>
    <col min="12" max="22" width="15.7109375" customWidth="1"/>
  </cols>
  <sheetData>
    <row r="2" spans="2:15">
      <c r="B2" s="14" t="s">
        <v>113</v>
      </c>
      <c r="C2" s="10"/>
      <c r="D2" s="10"/>
      <c r="E2" s="15"/>
      <c r="G2" s="216" t="s">
        <v>114</v>
      </c>
      <c r="H2" s="217"/>
      <c r="I2" s="217"/>
      <c r="J2" s="218"/>
      <c r="L2" s="216" t="s">
        <v>115</v>
      </c>
      <c r="M2" s="217"/>
      <c r="N2" s="217"/>
      <c r="O2" s="218"/>
    </row>
    <row r="3" spans="2:15">
      <c r="B3" s="16"/>
      <c r="E3" s="17"/>
      <c r="G3" s="219"/>
      <c r="H3" s="220"/>
      <c r="I3" s="220"/>
      <c r="J3" s="221"/>
      <c r="L3" s="219"/>
      <c r="M3" s="220"/>
      <c r="N3" s="220"/>
      <c r="O3" s="221"/>
    </row>
    <row r="4" spans="2:15">
      <c r="B4" s="18" t="s">
        <v>116</v>
      </c>
      <c r="E4" s="17"/>
      <c r="G4" s="23"/>
      <c r="H4" s="24" t="s">
        <v>117</v>
      </c>
      <c r="I4" s="24" t="s">
        <v>117</v>
      </c>
      <c r="J4" s="25" t="s">
        <v>118</v>
      </c>
      <c r="L4" s="23"/>
      <c r="M4" s="24" t="s">
        <v>117</v>
      </c>
      <c r="N4" s="24" t="s">
        <v>117</v>
      </c>
      <c r="O4" s="25" t="s">
        <v>118</v>
      </c>
    </row>
    <row r="5" spans="2:15" ht="31.5" customHeight="1">
      <c r="B5" s="16"/>
      <c r="E5" s="17"/>
      <c r="G5" s="26" t="s">
        <v>119</v>
      </c>
      <c r="H5" s="13" t="s">
        <v>120</v>
      </c>
      <c r="I5" s="9" t="s">
        <v>121</v>
      </c>
      <c r="J5" s="27" t="s">
        <v>122</v>
      </c>
      <c r="L5" s="26" t="s">
        <v>119</v>
      </c>
      <c r="M5" s="13" t="s">
        <v>120</v>
      </c>
      <c r="N5" s="9" t="s">
        <v>121</v>
      </c>
      <c r="O5" s="27" t="s">
        <v>122</v>
      </c>
    </row>
    <row r="6" spans="2:15">
      <c r="B6" s="19" t="s">
        <v>123</v>
      </c>
      <c r="C6" t="s">
        <v>124</v>
      </c>
      <c r="E6" s="17"/>
      <c r="G6" s="28">
        <v>1</v>
      </c>
      <c r="H6" s="7" t="s">
        <v>125</v>
      </c>
      <c r="I6" s="7" t="s">
        <v>125</v>
      </c>
      <c r="J6" s="17" t="b">
        <f>H6=I6</f>
        <v>1</v>
      </c>
      <c r="L6" s="28">
        <v>1</v>
      </c>
      <c r="M6" s="7" t="s">
        <v>125</v>
      </c>
      <c r="N6" s="7" t="s">
        <v>125</v>
      </c>
      <c r="O6" s="17" t="b">
        <v>1</v>
      </c>
    </row>
    <row r="7" spans="2:15">
      <c r="B7" s="19" t="s">
        <v>126</v>
      </c>
      <c r="C7" t="s">
        <v>127</v>
      </c>
      <c r="E7" s="17"/>
      <c r="G7" s="28">
        <v>2</v>
      </c>
      <c r="H7" s="7" t="s">
        <v>128</v>
      </c>
      <c r="I7" s="7" t="s">
        <v>128</v>
      </c>
      <c r="J7" s="17" t="b">
        <f>H7=I7</f>
        <v>1</v>
      </c>
      <c r="L7" s="28">
        <v>2</v>
      </c>
      <c r="M7" s="7" t="s">
        <v>128</v>
      </c>
      <c r="N7" s="7" t="s">
        <v>128</v>
      </c>
      <c r="O7" s="17" t="b">
        <v>1</v>
      </c>
    </row>
    <row r="8" spans="2:15">
      <c r="B8" s="19" t="s">
        <v>129</v>
      </c>
      <c r="C8" t="s">
        <v>130</v>
      </c>
      <c r="E8" s="17"/>
      <c r="G8" s="28">
        <v>3</v>
      </c>
      <c r="H8" s="7" t="s">
        <v>125</v>
      </c>
      <c r="I8" s="7" t="s">
        <v>128</v>
      </c>
      <c r="J8" s="17" t="b">
        <f>H8=I8</f>
        <v>0</v>
      </c>
      <c r="L8" s="28">
        <v>3</v>
      </c>
      <c r="M8" s="7" t="s">
        <v>125</v>
      </c>
      <c r="N8" s="7" t="s">
        <v>125</v>
      </c>
      <c r="O8" s="17" t="b">
        <v>1</v>
      </c>
    </row>
    <row r="9" spans="2:15">
      <c r="B9" s="20" t="s">
        <v>131</v>
      </c>
      <c r="C9" s="21" t="s">
        <v>132</v>
      </c>
      <c r="D9" s="21"/>
      <c r="E9" s="22"/>
      <c r="G9" s="28">
        <v>4</v>
      </c>
      <c r="H9" s="7" t="s">
        <v>128</v>
      </c>
      <c r="I9" s="7" t="s">
        <v>128</v>
      </c>
      <c r="J9" s="17" t="b">
        <f>H9=I9</f>
        <v>1</v>
      </c>
      <c r="L9" s="28">
        <v>4</v>
      </c>
      <c r="M9" s="7" t="s">
        <v>128</v>
      </c>
      <c r="N9" s="7" t="s">
        <v>128</v>
      </c>
      <c r="O9" s="17" t="b">
        <v>1</v>
      </c>
    </row>
    <row r="10" spans="2:15">
      <c r="G10" s="28">
        <v>5</v>
      </c>
      <c r="H10" s="7" t="s">
        <v>128</v>
      </c>
      <c r="I10" s="7" t="s">
        <v>125</v>
      </c>
      <c r="J10" s="17" t="b">
        <f>H10=I10</f>
        <v>0</v>
      </c>
      <c r="L10" s="28">
        <v>5</v>
      </c>
      <c r="M10" s="7" t="s">
        <v>128</v>
      </c>
      <c r="N10" s="7" t="s">
        <v>128</v>
      </c>
      <c r="O10" s="17" t="b">
        <v>1</v>
      </c>
    </row>
    <row r="11" spans="2:15">
      <c r="G11" s="28">
        <v>6</v>
      </c>
      <c r="H11" s="7" t="s">
        <v>125</v>
      </c>
      <c r="I11" s="7" t="s">
        <v>125</v>
      </c>
      <c r="J11" s="17" t="b">
        <f>H11=I11</f>
        <v>1</v>
      </c>
      <c r="L11" s="28">
        <v>6</v>
      </c>
      <c r="M11" s="7" t="s">
        <v>125</v>
      </c>
      <c r="N11" s="7" t="s">
        <v>125</v>
      </c>
      <c r="O11" s="17" t="b">
        <v>1</v>
      </c>
    </row>
    <row r="12" spans="2:15">
      <c r="G12" s="28">
        <v>7</v>
      </c>
      <c r="H12" s="7" t="s">
        <v>128</v>
      </c>
      <c r="I12" s="7" t="s">
        <v>128</v>
      </c>
      <c r="J12" s="17" t="b">
        <f>H12=I12</f>
        <v>1</v>
      </c>
      <c r="L12" s="28">
        <v>7</v>
      </c>
      <c r="M12" s="7" t="s">
        <v>128</v>
      </c>
      <c r="N12" s="7" t="s">
        <v>125</v>
      </c>
      <c r="O12" s="17" t="b">
        <v>0</v>
      </c>
    </row>
    <row r="13" spans="2:15">
      <c r="G13" s="28">
        <v>8</v>
      </c>
      <c r="H13" s="7" t="s">
        <v>125</v>
      </c>
      <c r="I13" s="7" t="s">
        <v>125</v>
      </c>
      <c r="J13" s="17" t="b">
        <f>H13=I13</f>
        <v>1</v>
      </c>
      <c r="L13" s="28">
        <v>8</v>
      </c>
      <c r="M13" s="7" t="s">
        <v>125</v>
      </c>
      <c r="N13" s="7" t="s">
        <v>125</v>
      </c>
      <c r="O13" s="17" t="b">
        <v>1</v>
      </c>
    </row>
    <row r="14" spans="2:15">
      <c r="G14" s="28">
        <v>9</v>
      </c>
      <c r="H14" s="7" t="s">
        <v>125</v>
      </c>
      <c r="I14" s="7" t="s">
        <v>128</v>
      </c>
      <c r="J14" s="17" t="b">
        <f>H14=I14</f>
        <v>0</v>
      </c>
      <c r="L14" s="28">
        <v>9</v>
      </c>
      <c r="M14" s="7" t="s">
        <v>125</v>
      </c>
      <c r="N14" s="7" t="s">
        <v>128</v>
      </c>
      <c r="O14" s="17" t="b">
        <v>0</v>
      </c>
    </row>
    <row r="15" spans="2:15">
      <c r="G15" s="28">
        <v>10</v>
      </c>
      <c r="H15" s="7" t="s">
        <v>128</v>
      </c>
      <c r="I15" s="7" t="s">
        <v>128</v>
      </c>
      <c r="J15" s="17" t="b">
        <f>H15=I15</f>
        <v>1</v>
      </c>
      <c r="L15" s="28">
        <v>10</v>
      </c>
      <c r="M15" s="7" t="s">
        <v>128</v>
      </c>
      <c r="N15" s="7" t="s">
        <v>125</v>
      </c>
      <c r="O15" s="17" t="b">
        <v>0</v>
      </c>
    </row>
    <row r="16" spans="2:15">
      <c r="G16" s="28">
        <v>11</v>
      </c>
      <c r="H16" s="7" t="s">
        <v>128</v>
      </c>
      <c r="I16" s="7" t="s">
        <v>125</v>
      </c>
      <c r="J16" s="17" t="b">
        <f>H16=I16</f>
        <v>0</v>
      </c>
      <c r="L16" s="28">
        <v>11</v>
      </c>
      <c r="M16" s="7" t="s">
        <v>128</v>
      </c>
      <c r="N16" s="7" t="s">
        <v>128</v>
      </c>
      <c r="O16" s="17" t="b">
        <v>1</v>
      </c>
    </row>
    <row r="17" spans="7:15">
      <c r="G17" s="28">
        <v>12</v>
      </c>
      <c r="H17" s="7" t="s">
        <v>128</v>
      </c>
      <c r="I17" s="7" t="s">
        <v>128</v>
      </c>
      <c r="J17" s="17" t="b">
        <f>H17=I17</f>
        <v>1</v>
      </c>
      <c r="L17" s="28">
        <v>12</v>
      </c>
      <c r="M17" s="7" t="s">
        <v>128</v>
      </c>
      <c r="N17" s="7" t="s">
        <v>128</v>
      </c>
      <c r="O17" s="17" t="b">
        <v>1</v>
      </c>
    </row>
    <row r="18" spans="7:15">
      <c r="G18" s="28">
        <v>13</v>
      </c>
      <c r="H18" s="7" t="s">
        <v>128</v>
      </c>
      <c r="I18" s="7" t="s">
        <v>125</v>
      </c>
      <c r="J18" s="17" t="b">
        <f>H18=I18</f>
        <v>0</v>
      </c>
      <c r="L18" s="28">
        <v>13</v>
      </c>
      <c r="M18" s="7" t="s">
        <v>128</v>
      </c>
      <c r="N18" s="7" t="s">
        <v>125</v>
      </c>
      <c r="O18" s="17" t="b">
        <v>0</v>
      </c>
    </row>
    <row r="19" spans="7:15">
      <c r="G19" s="28">
        <v>14</v>
      </c>
      <c r="H19" s="7" t="s">
        <v>125</v>
      </c>
      <c r="I19" s="7" t="s">
        <v>125</v>
      </c>
      <c r="J19" s="17" t="b">
        <f>H19=I19</f>
        <v>1</v>
      </c>
      <c r="L19" s="28">
        <v>14</v>
      </c>
      <c r="M19" s="7" t="s">
        <v>125</v>
      </c>
      <c r="N19" s="7" t="s">
        <v>128</v>
      </c>
      <c r="O19" s="17" t="b">
        <v>0</v>
      </c>
    </row>
    <row r="20" spans="7:15">
      <c r="G20" s="28">
        <v>15</v>
      </c>
      <c r="H20" s="7" t="s">
        <v>128</v>
      </c>
      <c r="I20" s="7" t="s">
        <v>128</v>
      </c>
      <c r="J20" s="17" t="b">
        <f>H20=I20</f>
        <v>1</v>
      </c>
      <c r="L20" s="28">
        <v>15</v>
      </c>
      <c r="M20" s="7" t="s">
        <v>128</v>
      </c>
      <c r="N20" s="7" t="s">
        <v>128</v>
      </c>
      <c r="O20" s="17" t="b">
        <v>1</v>
      </c>
    </row>
    <row r="21" spans="7:15">
      <c r="G21" s="28">
        <v>16</v>
      </c>
      <c r="H21" s="7" t="s">
        <v>125</v>
      </c>
      <c r="I21" s="7" t="s">
        <v>125</v>
      </c>
      <c r="J21" s="17" t="b">
        <f>H21=I21</f>
        <v>1</v>
      </c>
      <c r="L21" s="28">
        <v>16</v>
      </c>
      <c r="M21" s="7" t="s">
        <v>125</v>
      </c>
      <c r="N21" s="7" t="s">
        <v>128</v>
      </c>
      <c r="O21" s="17" t="b">
        <v>0</v>
      </c>
    </row>
    <row r="22" spans="7:15">
      <c r="G22" s="28">
        <v>17</v>
      </c>
      <c r="H22" s="7" t="s">
        <v>128</v>
      </c>
      <c r="I22" s="7" t="s">
        <v>128</v>
      </c>
      <c r="J22" s="17" t="b">
        <f>H22=I22</f>
        <v>1</v>
      </c>
      <c r="L22" s="28">
        <v>17</v>
      </c>
      <c r="M22" s="7" t="s">
        <v>128</v>
      </c>
      <c r="N22" s="7" t="s">
        <v>128</v>
      </c>
      <c r="O22" s="17" t="b">
        <v>1</v>
      </c>
    </row>
    <row r="23" spans="7:15">
      <c r="G23" s="28">
        <v>18</v>
      </c>
      <c r="H23" s="7" t="s">
        <v>128</v>
      </c>
      <c r="I23" s="7" t="s">
        <v>125</v>
      </c>
      <c r="J23" s="17" t="b">
        <f>H23=I23</f>
        <v>0</v>
      </c>
      <c r="L23" s="28">
        <v>18</v>
      </c>
      <c r="M23" s="7" t="s">
        <v>128</v>
      </c>
      <c r="N23" s="7" t="s">
        <v>128</v>
      </c>
      <c r="O23" s="17" t="b">
        <v>1</v>
      </c>
    </row>
    <row r="24" spans="7:15">
      <c r="G24" s="28">
        <v>19</v>
      </c>
      <c r="H24" s="7" t="s">
        <v>128</v>
      </c>
      <c r="I24" s="7" t="s">
        <v>128</v>
      </c>
      <c r="J24" s="17" t="b">
        <f>H24=I24</f>
        <v>1</v>
      </c>
      <c r="L24" s="28">
        <v>19</v>
      </c>
      <c r="M24" s="7" t="s">
        <v>128</v>
      </c>
      <c r="N24" s="7" t="s">
        <v>128</v>
      </c>
      <c r="O24" s="17" t="b">
        <v>1</v>
      </c>
    </row>
    <row r="25" spans="7:15">
      <c r="G25" s="28">
        <v>20</v>
      </c>
      <c r="H25" s="7" t="s">
        <v>128</v>
      </c>
      <c r="I25" s="7" t="s">
        <v>128</v>
      </c>
      <c r="J25" s="17" t="b">
        <f>H25=I25</f>
        <v>1</v>
      </c>
      <c r="L25" s="28">
        <v>20</v>
      </c>
      <c r="M25" s="7" t="s">
        <v>128</v>
      </c>
      <c r="N25" s="7" t="s">
        <v>128</v>
      </c>
      <c r="O25" s="17" t="b">
        <v>1</v>
      </c>
    </row>
    <row r="26" spans="7:15">
      <c r="G26" s="29" t="s">
        <v>133</v>
      </c>
      <c r="H26" s="11">
        <f>COUNTA(H6:H25)</f>
        <v>20</v>
      </c>
      <c r="I26" s="11">
        <f>COUNTA(I6:I25)</f>
        <v>20</v>
      </c>
      <c r="J26" s="15"/>
      <c r="L26" s="29" t="s">
        <v>133</v>
      </c>
      <c r="M26" s="11">
        <f>COUNTA(M6:M25)</f>
        <v>20</v>
      </c>
      <c r="N26" s="11">
        <f>COUNTA(N6:N25)</f>
        <v>20</v>
      </c>
      <c r="O26" s="15"/>
    </row>
    <row r="27" spans="7:15">
      <c r="G27" s="16" t="s">
        <v>134</v>
      </c>
      <c r="H27" s="7">
        <f>COUNTIF(H6:H25,"G")</f>
        <v>7</v>
      </c>
      <c r="I27" s="7">
        <f>COUNTIF(I6:I25,"G")</f>
        <v>9</v>
      </c>
      <c r="J27" s="17"/>
      <c r="L27" s="16" t="s">
        <v>134</v>
      </c>
      <c r="M27" s="7">
        <f>COUNTIF(M6:M25,"G")</f>
        <v>7</v>
      </c>
      <c r="N27" s="7">
        <f>COUNTIF(N6:N25,"G")</f>
        <v>7</v>
      </c>
      <c r="O27" s="17"/>
    </row>
    <row r="28" spans="7:15">
      <c r="G28" s="16" t="s">
        <v>135</v>
      </c>
      <c r="H28" s="7">
        <f>COUNTIF(H6:H25,"B")</f>
        <v>13</v>
      </c>
      <c r="I28" s="7">
        <f>COUNTIF(I6:I25,"B")</f>
        <v>11</v>
      </c>
      <c r="J28" s="17"/>
      <c r="L28" s="16" t="s">
        <v>135</v>
      </c>
      <c r="M28" s="7">
        <f>COUNTIF(M6:M25,"B")</f>
        <v>13</v>
      </c>
      <c r="N28" s="7">
        <f>COUNTIF(N6:N25,"B")</f>
        <v>13</v>
      </c>
      <c r="O28" s="17"/>
    </row>
    <row r="29" spans="7:15">
      <c r="G29" s="16" t="s">
        <v>136</v>
      </c>
      <c r="J29" s="30">
        <f>COUNTIF(J6:J25,"TRUE")</f>
        <v>14</v>
      </c>
      <c r="L29" s="16" t="s">
        <v>136</v>
      </c>
      <c r="O29" s="30">
        <f>COUNTIF(O6:O25,"TRUE")</f>
        <v>14</v>
      </c>
    </row>
    <row r="30" spans="7:15">
      <c r="G30" s="16"/>
      <c r="J30" s="17"/>
      <c r="L30" s="16"/>
      <c r="O30" s="17"/>
    </row>
    <row r="31" spans="7:15">
      <c r="G31" s="16" t="s">
        <v>137</v>
      </c>
      <c r="H31" s="7">
        <f>H27/$H$26</f>
        <v>0.35</v>
      </c>
      <c r="I31" s="7">
        <f>I27/$I$26</f>
        <v>0.45</v>
      </c>
      <c r="J31" s="30"/>
      <c r="L31" s="16" t="s">
        <v>137</v>
      </c>
      <c r="M31" s="7">
        <f>M27/$H$26</f>
        <v>0.35</v>
      </c>
      <c r="N31" s="7">
        <f>N27/$I$26</f>
        <v>0.35</v>
      </c>
      <c r="O31" s="30"/>
    </row>
    <row r="32" spans="7:15">
      <c r="G32" s="16" t="s">
        <v>138</v>
      </c>
      <c r="H32" s="7">
        <f>H28/$H$26</f>
        <v>0.65</v>
      </c>
      <c r="I32" s="7">
        <f>I28/$I$26</f>
        <v>0.55000000000000004</v>
      </c>
      <c r="J32" s="30"/>
      <c r="L32" s="16" t="s">
        <v>138</v>
      </c>
      <c r="M32" s="7">
        <f>M28/$H$26</f>
        <v>0.65</v>
      </c>
      <c r="N32" s="7">
        <f>N28/$I$26</f>
        <v>0.65</v>
      </c>
      <c r="O32" s="30"/>
    </row>
    <row r="33" spans="7:15">
      <c r="G33" s="31" t="s">
        <v>139</v>
      </c>
      <c r="H33" s="40"/>
      <c r="I33" s="40"/>
      <c r="J33" s="41">
        <f>J29/I26</f>
        <v>0.7</v>
      </c>
      <c r="L33" s="31" t="s">
        <v>139</v>
      </c>
      <c r="M33" s="40"/>
      <c r="N33" s="40"/>
      <c r="O33" s="41">
        <f>O29/N26</f>
        <v>0.7</v>
      </c>
    </row>
    <row r="34" spans="7:15">
      <c r="G34" s="29"/>
      <c r="H34" s="10"/>
      <c r="I34" s="10"/>
      <c r="J34" s="15"/>
      <c r="L34" s="29"/>
      <c r="M34" s="10"/>
      <c r="N34" s="10"/>
      <c r="O34" s="15"/>
    </row>
    <row r="35" spans="7:15">
      <c r="G35" s="16" t="s">
        <v>140</v>
      </c>
      <c r="J35" s="42" t="s">
        <v>141</v>
      </c>
      <c r="L35" s="16" t="s">
        <v>140</v>
      </c>
      <c r="O35" s="42" t="s">
        <v>141</v>
      </c>
    </row>
    <row r="36" spans="7:15">
      <c r="G36" s="16" t="s">
        <v>142</v>
      </c>
      <c r="J36" s="225" t="s">
        <v>143</v>
      </c>
      <c r="L36" s="16" t="s">
        <v>142</v>
      </c>
      <c r="O36" s="225" t="s">
        <v>143</v>
      </c>
    </row>
    <row r="37" spans="7:15">
      <c r="G37" s="16"/>
      <c r="J37" s="225"/>
      <c r="L37" s="16"/>
      <c r="O37" s="225"/>
    </row>
    <row r="38" spans="7:15" s="33" customFormat="1" ht="29.25" customHeight="1">
      <c r="G38" s="34" t="s">
        <v>144</v>
      </c>
      <c r="H38" s="37">
        <f>J33</f>
        <v>0.7</v>
      </c>
      <c r="I38" s="38"/>
      <c r="J38" s="35"/>
      <c r="L38" s="34" t="s">
        <v>144</v>
      </c>
      <c r="M38" s="37">
        <f>O33</f>
        <v>0.7</v>
      </c>
      <c r="N38" s="38"/>
      <c r="O38" s="35"/>
    </row>
    <row r="39" spans="7:15" s="33" customFormat="1" ht="31.5" customHeight="1">
      <c r="G39" s="34" t="s">
        <v>145</v>
      </c>
      <c r="H39" s="39" t="s">
        <v>146</v>
      </c>
      <c r="I39" s="38">
        <f>(H31*I31)+(H32*I32)</f>
        <v>0.51500000000000001</v>
      </c>
      <c r="J39" s="35"/>
      <c r="L39" s="34" t="s">
        <v>145</v>
      </c>
      <c r="M39" s="39" t="s">
        <v>146</v>
      </c>
      <c r="N39" s="38">
        <f>(M31*N31)+(M32*N32)</f>
        <v>0.54500000000000004</v>
      </c>
      <c r="O39" s="35"/>
    </row>
    <row r="40" spans="7:15" s="33" customFormat="1" ht="38.25" customHeight="1">
      <c r="G40" s="36" t="s">
        <v>147</v>
      </c>
      <c r="H40" s="38"/>
      <c r="I40" s="38">
        <f>(H38-I39)/(1-I39)</f>
        <v>0.38144329896907203</v>
      </c>
      <c r="J40" s="35"/>
      <c r="L40" s="36" t="s">
        <v>147</v>
      </c>
      <c r="M40" s="38"/>
      <c r="N40" s="38">
        <f>(M38-N39)/(1-N39)</f>
        <v>0.3406593406593405</v>
      </c>
      <c r="O40" s="35"/>
    </row>
    <row r="41" spans="7:15">
      <c r="G41" s="16"/>
      <c r="J41" s="17"/>
      <c r="L41" s="16"/>
      <c r="O41" s="17"/>
    </row>
    <row r="42" spans="7:15">
      <c r="G42" s="16"/>
      <c r="J42" s="17"/>
      <c r="L42" s="16"/>
      <c r="O42" s="17"/>
    </row>
    <row r="43" spans="7:15">
      <c r="G43" s="29" t="s">
        <v>148</v>
      </c>
      <c r="H43" s="10"/>
      <c r="I43" s="10"/>
      <c r="J43" s="15"/>
      <c r="L43" s="29" t="s">
        <v>148</v>
      </c>
      <c r="M43" s="10"/>
      <c r="N43" s="10"/>
      <c r="O43" s="15"/>
    </row>
    <row r="44" spans="7:15" ht="57" customHeight="1">
      <c r="G44" s="222" t="s">
        <v>149</v>
      </c>
      <c r="H44" s="223"/>
      <c r="I44" s="223"/>
      <c r="J44" s="224"/>
      <c r="K44" s="43"/>
      <c r="L44" s="222" t="s">
        <v>150</v>
      </c>
      <c r="M44" s="223"/>
      <c r="N44" s="223"/>
      <c r="O44" s="224"/>
    </row>
  </sheetData>
  <mergeCells count="6">
    <mergeCell ref="G2:J3"/>
    <mergeCell ref="G44:J44"/>
    <mergeCell ref="L2:O3"/>
    <mergeCell ref="L44:O44"/>
    <mergeCell ref="J36:J37"/>
    <mergeCell ref="O36:O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AC0D-BC97-4E41-8EB6-0D6B096AE9C6}">
  <sheetPr>
    <pageSetUpPr fitToPage="1"/>
  </sheetPr>
  <dimension ref="A1:K51"/>
  <sheetViews>
    <sheetView topLeftCell="A16" workbookViewId="0">
      <selection activeCell="H28" sqref="H28"/>
    </sheetView>
  </sheetViews>
  <sheetFormatPr defaultRowHeight="15"/>
  <cols>
    <col min="1" max="1" width="25.28515625" customWidth="1"/>
    <col min="2" max="2" width="16.42578125" bestFit="1" customWidth="1"/>
    <col min="3" max="3" width="24.28515625" customWidth="1"/>
    <col min="4" max="4" width="14.28515625" bestFit="1" customWidth="1"/>
    <col min="5" max="5" width="20.28515625" customWidth="1"/>
    <col min="6" max="6" width="17.7109375" customWidth="1"/>
    <col min="7" max="7" width="24.42578125" customWidth="1"/>
    <col min="8" max="8" width="14.28515625" bestFit="1" customWidth="1"/>
    <col min="9" max="9" width="12.42578125" bestFit="1" customWidth="1"/>
    <col min="10" max="10" width="14.28515625" bestFit="1" customWidth="1"/>
    <col min="11" max="11" width="9.5703125" customWidth="1"/>
  </cols>
  <sheetData>
    <row r="1" spans="1:6">
      <c r="A1" s="2" t="s">
        <v>151</v>
      </c>
    </row>
    <row r="2" spans="1:6" ht="18.75">
      <c r="A2" s="119" t="s">
        <v>152</v>
      </c>
    </row>
    <row r="3" spans="1:6">
      <c r="A3" t="s">
        <v>153</v>
      </c>
    </row>
    <row r="5" spans="1:6">
      <c r="A5" s="67" t="s">
        <v>154</v>
      </c>
    </row>
    <row r="6" spans="1:6" ht="34.5" customHeight="1">
      <c r="A6" s="67" t="s">
        <v>155</v>
      </c>
    </row>
    <row r="7" spans="1:6" ht="9" customHeight="1"/>
    <row r="8" spans="1:6">
      <c r="A8" s="77" t="s">
        <v>156</v>
      </c>
    </row>
    <row r="10" spans="1:6">
      <c r="A10" s="77" t="s">
        <v>157</v>
      </c>
    </row>
    <row r="11" spans="1:6">
      <c r="A11" s="77"/>
    </row>
    <row r="12" spans="1:6">
      <c r="B12" t="s">
        <v>158</v>
      </c>
    </row>
    <row r="13" spans="1:6">
      <c r="A13" s="22" t="s">
        <v>159</v>
      </c>
      <c r="B13" s="111" t="s">
        <v>160</v>
      </c>
      <c r="C13" s="111" t="s">
        <v>161</v>
      </c>
      <c r="D13" s="111" t="s">
        <v>162</v>
      </c>
      <c r="E13" s="110" t="s">
        <v>163</v>
      </c>
      <c r="F13" s="118" t="s">
        <v>133</v>
      </c>
    </row>
    <row r="14" spans="1:6">
      <c r="A14" s="109" t="s">
        <v>164</v>
      </c>
      <c r="B14" s="117">
        <v>51</v>
      </c>
      <c r="C14" s="117">
        <v>24</v>
      </c>
      <c r="D14" s="117">
        <v>14</v>
      </c>
      <c r="E14" s="116">
        <v>10</v>
      </c>
      <c r="F14" s="115">
        <f>SUM(B14:E14)</f>
        <v>99</v>
      </c>
    </row>
    <row r="15" spans="1:6">
      <c r="A15" s="109" t="s">
        <v>165</v>
      </c>
      <c r="B15" s="117">
        <v>14</v>
      </c>
      <c r="C15" s="117">
        <v>30</v>
      </c>
      <c r="D15" s="117">
        <v>40</v>
      </c>
      <c r="E15" s="116">
        <v>12</v>
      </c>
      <c r="F15" s="115">
        <f>SUM(B15:E15)</f>
        <v>96</v>
      </c>
    </row>
    <row r="16" spans="1:6">
      <c r="A16" s="109" t="s">
        <v>166</v>
      </c>
      <c r="B16" s="117">
        <v>20</v>
      </c>
      <c r="C16" s="117">
        <v>37</v>
      </c>
      <c r="D16" s="117">
        <v>18</v>
      </c>
      <c r="E16" s="116">
        <v>15</v>
      </c>
      <c r="F16" s="115">
        <f>SUM(B16:E16)</f>
        <v>90</v>
      </c>
    </row>
    <row r="17" spans="1:11" ht="15.75" thickBot="1">
      <c r="A17" s="99" t="s">
        <v>133</v>
      </c>
      <c r="B17" s="114">
        <f>SUM(B14:B16)</f>
        <v>85</v>
      </c>
      <c r="C17" s="114">
        <f>SUM(C14:C16)</f>
        <v>91</v>
      </c>
      <c r="D17" s="114">
        <f>SUM(D14:D16)</f>
        <v>72</v>
      </c>
      <c r="E17" s="114">
        <f>SUM(E14:E16)</f>
        <v>37</v>
      </c>
      <c r="F17" s="113">
        <f>SUM(F14:F16)</f>
        <v>285</v>
      </c>
      <c r="G17" t="s">
        <v>167</v>
      </c>
      <c r="H17" s="7"/>
    </row>
    <row r="18" spans="1:11" ht="8.25" customHeight="1"/>
    <row r="19" spans="1:11" ht="8.25" customHeight="1"/>
    <row r="20" spans="1:11">
      <c r="A20" s="77" t="s">
        <v>168</v>
      </c>
      <c r="B20" s="77"/>
      <c r="C20" s="77"/>
      <c r="D20" s="77"/>
    </row>
    <row r="21" spans="1:11" ht="8.25" customHeight="1">
      <c r="A21" s="77"/>
      <c r="B21" s="77"/>
      <c r="C21" s="77"/>
      <c r="D21" s="77"/>
    </row>
    <row r="22" spans="1:11">
      <c r="A22" s="22"/>
      <c r="B22" s="111" t="s">
        <v>169</v>
      </c>
      <c r="C22" s="111" t="s">
        <v>170</v>
      </c>
      <c r="D22" s="8" t="s">
        <v>171</v>
      </c>
      <c r="G22" s="112" t="s">
        <v>172</v>
      </c>
    </row>
    <row r="23" spans="1:11">
      <c r="A23" s="17" t="s">
        <v>173</v>
      </c>
      <c r="B23" s="105">
        <f>B14</f>
        <v>51</v>
      </c>
      <c r="C23" s="104">
        <f>F14*B17/F17</f>
        <v>29.526315789473685</v>
      </c>
      <c r="D23" s="103">
        <f>((B23-C23)^2)/C23</f>
        <v>15.617224880382773</v>
      </c>
      <c r="G23" s="22" t="s">
        <v>159</v>
      </c>
      <c r="H23" s="111" t="s">
        <v>160</v>
      </c>
      <c r="I23" s="111" t="s">
        <v>161</v>
      </c>
      <c r="J23" s="111" t="s">
        <v>162</v>
      </c>
      <c r="K23" s="110" t="s">
        <v>163</v>
      </c>
    </row>
    <row r="24" spans="1:11">
      <c r="A24" s="17" t="s">
        <v>174</v>
      </c>
      <c r="B24" s="105">
        <f>C14</f>
        <v>24</v>
      </c>
      <c r="C24" s="104">
        <f>F14*C17/F17</f>
        <v>31.610526315789475</v>
      </c>
      <c r="D24" s="103">
        <f>((B24-C24)^2)/C24</f>
        <v>1.8323045375676958</v>
      </c>
      <c r="G24" s="109" t="s">
        <v>164</v>
      </c>
      <c r="H24" s="108">
        <f>F14*B17/F17</f>
        <v>29.526315789473685</v>
      </c>
      <c r="I24" s="108">
        <f>F14*C17/F17</f>
        <v>31.610526315789475</v>
      </c>
      <c r="J24" s="108">
        <f>F14*D17/F17</f>
        <v>25.010526315789473</v>
      </c>
      <c r="K24" s="107">
        <f>F14*E17/F17</f>
        <v>12.852631578947369</v>
      </c>
    </row>
    <row r="25" spans="1:11">
      <c r="A25" s="17" t="s">
        <v>175</v>
      </c>
      <c r="B25" s="105">
        <f>D14</f>
        <v>14</v>
      </c>
      <c r="C25" s="104">
        <f>F14*D17/F17</f>
        <v>25.010526315789473</v>
      </c>
      <c r="D25" s="103">
        <f>((B25-C25)^2)/C25</f>
        <v>4.8472266524898098</v>
      </c>
      <c r="G25" s="109" t="s">
        <v>165</v>
      </c>
      <c r="H25" s="108">
        <f>F15*B17/F17</f>
        <v>28.631578947368421</v>
      </c>
      <c r="I25" s="108">
        <f>F15*C17/F17</f>
        <v>30.652631578947368</v>
      </c>
      <c r="J25" s="108">
        <f>F15*D17/F17</f>
        <v>24.252631578947369</v>
      </c>
      <c r="K25" s="107">
        <f>F15*E17/F17</f>
        <v>12.463157894736842</v>
      </c>
    </row>
    <row r="26" spans="1:11">
      <c r="A26" s="17" t="s">
        <v>176</v>
      </c>
      <c r="B26" s="105">
        <f>E14</f>
        <v>10</v>
      </c>
      <c r="C26" s="104">
        <f>F14*E17/F17</f>
        <v>12.852631578947369</v>
      </c>
      <c r="D26" s="103">
        <f>((B26-C26)^2)/C26</f>
        <v>0.63313935945514921</v>
      </c>
      <c r="G26" s="109" t="s">
        <v>166</v>
      </c>
      <c r="H26" s="108">
        <f>F16*B17/F17</f>
        <v>26.842105263157894</v>
      </c>
      <c r="I26" s="108">
        <f>F16*C17/F17</f>
        <v>28.736842105263158</v>
      </c>
      <c r="J26" s="108">
        <f>F16*D17/F17</f>
        <v>22.736842105263158</v>
      </c>
      <c r="K26" s="107">
        <f>F16*E17/F17</f>
        <v>11.684210526315789</v>
      </c>
    </row>
    <row r="27" spans="1:11">
      <c r="A27" s="17" t="s">
        <v>177</v>
      </c>
      <c r="B27" s="105">
        <f>B15</f>
        <v>14</v>
      </c>
      <c r="C27" s="104">
        <f>F15*B17/F17</f>
        <v>28.631578947368421</v>
      </c>
      <c r="D27" s="103">
        <f>((B27-C27)^2)/C27</f>
        <v>7.477167182662539</v>
      </c>
    </row>
    <row r="28" spans="1:11">
      <c r="A28" s="17" t="s">
        <v>178</v>
      </c>
      <c r="B28" s="105">
        <f>C15</f>
        <v>30</v>
      </c>
      <c r="C28" s="104">
        <f>F15*C17/F17</f>
        <v>30.652631578947368</v>
      </c>
      <c r="D28" s="103">
        <f>((B28-C28)^2)/C28</f>
        <v>1.3895315211104658E-2</v>
      </c>
      <c r="G28" s="106" t="s">
        <v>77</v>
      </c>
      <c r="H28" s="43">
        <f>_xlfn.CHISQ.TEST(B14:E16,H24:K26)</f>
        <v>2.1367009091097217E-8</v>
      </c>
    </row>
    <row r="29" spans="1:11">
      <c r="A29" s="17" t="s">
        <v>179</v>
      </c>
      <c r="B29" s="105">
        <f>D15</f>
        <v>40</v>
      </c>
      <c r="C29" s="104">
        <f>F15*D17/F17</f>
        <v>24.252631578947369</v>
      </c>
      <c r="D29" s="103">
        <f>((B29-C29)^2)/C29</f>
        <v>10.224853801169589</v>
      </c>
    </row>
    <row r="30" spans="1:11">
      <c r="A30" s="17" t="s">
        <v>180</v>
      </c>
      <c r="B30" s="105">
        <f>E15</f>
        <v>12</v>
      </c>
      <c r="C30" s="104">
        <f>F15*E17/F17</f>
        <v>12.463157894736842</v>
      </c>
      <c r="D30" s="103">
        <f>((B30-C30)^2)/C30</f>
        <v>1.7211948790896135E-2</v>
      </c>
    </row>
    <row r="31" spans="1:11">
      <c r="A31" s="17" t="s">
        <v>181</v>
      </c>
      <c r="B31" s="105">
        <f>B16</f>
        <v>20</v>
      </c>
      <c r="C31" s="104">
        <f>F16*B17/F17</f>
        <v>26.842105263157894</v>
      </c>
      <c r="D31" s="103">
        <f>((B31-C31)^2)/C31</f>
        <v>1.7440660474716199</v>
      </c>
    </row>
    <row r="32" spans="1:11">
      <c r="A32" s="17" t="s">
        <v>182</v>
      </c>
      <c r="B32" s="105">
        <f>C16</f>
        <v>37</v>
      </c>
      <c r="C32" s="104">
        <f>F16*C17/F17</f>
        <v>28.736842105263158</v>
      </c>
      <c r="D32" s="103">
        <f>((B32-C32)^2)/C32</f>
        <v>2.3760362444572971</v>
      </c>
    </row>
    <row r="33" spans="1:6">
      <c r="A33" s="17" t="s">
        <v>183</v>
      </c>
      <c r="B33" s="105">
        <f>D16</f>
        <v>18</v>
      </c>
      <c r="C33" s="104">
        <f>F16*D17/F17</f>
        <v>22.736842105263158</v>
      </c>
      <c r="D33" s="103">
        <f>((B33-C33)^2)/C33</f>
        <v>0.98684210526315785</v>
      </c>
    </row>
    <row r="34" spans="1:6" ht="15.75" thickBot="1">
      <c r="A34" s="22" t="s">
        <v>184</v>
      </c>
      <c r="B34" s="102">
        <f>E16</f>
        <v>15</v>
      </c>
      <c r="C34" s="101">
        <f>F16*E17/F17</f>
        <v>11.684210526315789</v>
      </c>
      <c r="D34" s="100">
        <f>((B34-C34)^2)/C34</f>
        <v>0.94096728307254629</v>
      </c>
    </row>
    <row r="35" spans="1:6" ht="15.75" thickBot="1">
      <c r="A35" s="99" t="s">
        <v>133</v>
      </c>
      <c r="B35" s="55"/>
      <c r="C35" s="16"/>
      <c r="D35" s="98">
        <f>SUM(D23:D34)</f>
        <v>46.710935357994174</v>
      </c>
      <c r="E35" t="s">
        <v>185</v>
      </c>
    </row>
    <row r="36" spans="1:6" ht="10.5" customHeight="1"/>
    <row r="37" spans="1:6">
      <c r="A37" t="s">
        <v>186</v>
      </c>
    </row>
    <row r="38" spans="1:6" ht="9.75" customHeight="1"/>
    <row r="39" spans="1:6">
      <c r="A39" s="77" t="s">
        <v>187</v>
      </c>
    </row>
    <row r="40" spans="1:6">
      <c r="A40" s="3" t="s">
        <v>188</v>
      </c>
      <c r="B40" s="97" t="s">
        <v>189</v>
      </c>
    </row>
    <row r="41" spans="1:6">
      <c r="A41" s="3"/>
    </row>
    <row r="42" spans="1:6">
      <c r="A42" s="96" t="s">
        <v>190</v>
      </c>
      <c r="B42" s="95"/>
      <c r="C42" t="s">
        <v>191</v>
      </c>
    </row>
    <row r="43" spans="1:6">
      <c r="A43" t="s">
        <v>192</v>
      </c>
    </row>
    <row r="44" spans="1:6" ht="18" thickBot="1">
      <c r="A44" t="s">
        <v>193</v>
      </c>
    </row>
    <row r="45" spans="1:6" ht="15.75" thickBot="1">
      <c r="A45" s="94" t="s">
        <v>194</v>
      </c>
      <c r="B45" s="93">
        <f>_xlfn.CHISQ.DIST.RT(D35, 6)</f>
        <v>2.1367009091097217E-8</v>
      </c>
      <c r="C45" t="s">
        <v>195</v>
      </c>
      <c r="E45" s="92" t="s">
        <v>196</v>
      </c>
      <c r="F45" s="91"/>
    </row>
    <row r="46" spans="1:6" ht="15.75" thickBot="1">
      <c r="B46" s="90">
        <f>B45</f>
        <v>2.1367009091097217E-8</v>
      </c>
      <c r="C46" t="s">
        <v>197</v>
      </c>
      <c r="E46" s="89" t="s">
        <v>198</v>
      </c>
      <c r="F46" s="88"/>
    </row>
    <row r="47" spans="1:6">
      <c r="A47" s="2" t="s">
        <v>199</v>
      </c>
    </row>
    <row r="48" spans="1:6" ht="15.75" thickBot="1">
      <c r="A48" t="s">
        <v>200</v>
      </c>
      <c r="B48" s="65" t="s">
        <v>201</v>
      </c>
    </row>
    <row r="49" spans="1:5">
      <c r="A49" s="87" t="s">
        <v>202</v>
      </c>
      <c r="B49" s="86"/>
      <c r="C49" s="86"/>
      <c r="D49" s="86"/>
      <c r="E49" s="85"/>
    </row>
    <row r="50" spans="1:5">
      <c r="A50" s="84" t="s">
        <v>203</v>
      </c>
      <c r="B50" s="83"/>
      <c r="C50" s="83"/>
      <c r="D50" s="83"/>
      <c r="E50" s="82"/>
    </row>
    <row r="51" spans="1:5" ht="15.75" thickBot="1">
      <c r="A51" s="81" t="s">
        <v>204</v>
      </c>
      <c r="B51" s="80"/>
      <c r="C51" s="80"/>
      <c r="D51" s="80"/>
      <c r="E51" s="79"/>
    </row>
  </sheetData>
  <printOptions gridLines="1"/>
  <pageMargins left="0.7" right="0.7" top="0.25" bottom="0.25" header="0.3" footer="0.3"/>
  <pageSetup scale="7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78AC-7404-4864-BB72-1C3307C23B0F}">
  <sheetPr>
    <pageSetUpPr fitToPage="1"/>
  </sheetPr>
  <dimension ref="A1:R64"/>
  <sheetViews>
    <sheetView workbookViewId="0">
      <selection activeCell="K47" sqref="K47"/>
    </sheetView>
  </sheetViews>
  <sheetFormatPr defaultColWidth="8.85546875" defaultRowHeight="15"/>
  <cols>
    <col min="2" max="2" width="13.85546875" customWidth="1"/>
    <col min="3" max="3" width="15.7109375" customWidth="1"/>
    <col min="4" max="4" width="11.140625" customWidth="1"/>
    <col min="5" max="5" width="12.42578125" customWidth="1"/>
    <col min="6" max="6" width="11.42578125" customWidth="1"/>
    <col min="7" max="9" width="4.28515625" customWidth="1"/>
    <col min="10" max="10" width="11.42578125" customWidth="1"/>
    <col min="11" max="11" width="12.7109375" bestFit="1" customWidth="1"/>
    <col min="12" max="13" width="4.28515625" customWidth="1"/>
    <col min="14" max="14" width="12" bestFit="1" customWidth="1"/>
    <col min="15" max="15" width="20.85546875" bestFit="1" customWidth="1"/>
  </cols>
  <sheetData>
    <row r="1" spans="1:12">
      <c r="A1" s="2" t="s">
        <v>151</v>
      </c>
    </row>
    <row r="2" spans="1:12" ht="18.75">
      <c r="A2" s="119" t="s">
        <v>205</v>
      </c>
    </row>
    <row r="4" spans="1:12">
      <c r="A4" t="s">
        <v>156</v>
      </c>
    </row>
    <row r="5" spans="1:12">
      <c r="B5" t="s">
        <v>206</v>
      </c>
      <c r="G5" s="123"/>
      <c r="J5" s="73" t="s">
        <v>207</v>
      </c>
      <c r="K5" s="73"/>
      <c r="L5" s="73"/>
    </row>
    <row r="6" spans="1:12" ht="7.5" customHeight="1">
      <c r="G6" s="123"/>
    </row>
    <row r="7" spans="1:12">
      <c r="A7" s="3" t="s">
        <v>208</v>
      </c>
      <c r="B7" s="30"/>
      <c r="C7" s="128"/>
      <c r="D7" s="73"/>
      <c r="G7" s="123"/>
    </row>
    <row r="8" spans="1:12">
      <c r="A8" s="3"/>
      <c r="B8" s="7"/>
      <c r="G8" s="123"/>
    </row>
    <row r="9" spans="1:12">
      <c r="B9" s="30" t="s">
        <v>209</v>
      </c>
      <c r="C9" s="105" t="s">
        <v>210</v>
      </c>
      <c r="G9" s="123"/>
    </row>
    <row r="10" spans="1:12" ht="17.25">
      <c r="B10" s="127" t="s">
        <v>211</v>
      </c>
      <c r="C10" s="126" t="s">
        <v>212</v>
      </c>
      <c r="D10" s="125" t="s">
        <v>213</v>
      </c>
      <c r="E10" s="124" t="s">
        <v>214</v>
      </c>
      <c r="G10" s="123"/>
    </row>
    <row r="11" spans="1:12">
      <c r="A11">
        <v>1</v>
      </c>
      <c r="B11" s="17">
        <v>20.5</v>
      </c>
      <c r="C11" s="55">
        <v>28</v>
      </c>
      <c r="D11">
        <f>B11*C11</f>
        <v>574</v>
      </c>
      <c r="E11">
        <f>B11^2</f>
        <v>420.25</v>
      </c>
      <c r="G11" s="123"/>
    </row>
    <row r="12" spans="1:12">
      <c r="A12">
        <v>2</v>
      </c>
      <c r="B12" s="17">
        <v>17.5</v>
      </c>
      <c r="C12" s="55">
        <v>23</v>
      </c>
      <c r="D12">
        <f t="shared" ref="D12:D42" si="0">B12*C12</f>
        <v>402.5</v>
      </c>
      <c r="E12">
        <f t="shared" ref="E12:E42" si="1">B12^2</f>
        <v>306.25</v>
      </c>
      <c r="G12" s="123"/>
    </row>
    <row r="13" spans="1:12">
      <c r="A13">
        <v>3</v>
      </c>
      <c r="B13" s="17">
        <v>18.399999999999999</v>
      </c>
      <c r="C13" s="55">
        <v>25.1</v>
      </c>
      <c r="D13">
        <f t="shared" si="0"/>
        <v>461.84</v>
      </c>
      <c r="E13">
        <f t="shared" si="1"/>
        <v>338.55999999999995</v>
      </c>
      <c r="G13" s="123"/>
    </row>
    <row r="14" spans="1:12">
      <c r="A14">
        <v>4</v>
      </c>
      <c r="B14" s="17">
        <v>17.5</v>
      </c>
      <c r="C14" s="55">
        <v>23</v>
      </c>
      <c r="D14">
        <f t="shared" si="0"/>
        <v>402.5</v>
      </c>
      <c r="E14">
        <f t="shared" si="1"/>
        <v>306.25</v>
      </c>
      <c r="G14" s="123"/>
    </row>
    <row r="15" spans="1:12">
      <c r="A15">
        <v>5</v>
      </c>
      <c r="B15" s="17">
        <v>19</v>
      </c>
      <c r="C15" s="55">
        <v>26</v>
      </c>
      <c r="D15">
        <f t="shared" si="0"/>
        <v>494</v>
      </c>
      <c r="E15">
        <f t="shared" si="1"/>
        <v>361</v>
      </c>
      <c r="G15" s="123"/>
    </row>
    <row r="16" spans="1:12">
      <c r="A16">
        <v>6</v>
      </c>
      <c r="B16" s="17">
        <v>17</v>
      </c>
      <c r="C16" s="55">
        <v>22.7</v>
      </c>
      <c r="D16">
        <f t="shared" si="0"/>
        <v>385.9</v>
      </c>
      <c r="E16">
        <f t="shared" si="1"/>
        <v>289</v>
      </c>
      <c r="G16" s="123"/>
    </row>
    <row r="17" spans="1:18">
      <c r="A17">
        <v>7</v>
      </c>
      <c r="B17" s="17">
        <v>20</v>
      </c>
      <c r="C17" s="55">
        <v>26</v>
      </c>
      <c r="D17">
        <f t="shared" si="0"/>
        <v>520</v>
      </c>
      <c r="E17">
        <f t="shared" si="1"/>
        <v>400</v>
      </c>
      <c r="F17" s="1" t="s">
        <v>215</v>
      </c>
      <c r="G17" s="123"/>
    </row>
    <row r="18" spans="1:18">
      <c r="A18">
        <v>8</v>
      </c>
      <c r="B18" s="17">
        <v>18</v>
      </c>
      <c r="C18" s="55">
        <v>25</v>
      </c>
      <c r="D18">
        <f t="shared" si="0"/>
        <v>450</v>
      </c>
      <c r="E18">
        <f t="shared" si="1"/>
        <v>324</v>
      </c>
      <c r="G18" s="123"/>
    </row>
    <row r="19" spans="1:18">
      <c r="A19">
        <v>9</v>
      </c>
      <c r="B19" s="17">
        <v>18.5</v>
      </c>
      <c r="C19" s="55">
        <v>24.5</v>
      </c>
      <c r="D19">
        <f t="shared" si="0"/>
        <v>453.25</v>
      </c>
      <c r="E19">
        <f t="shared" si="1"/>
        <v>342.25</v>
      </c>
      <c r="G19" s="123"/>
    </row>
    <row r="20" spans="1:18">
      <c r="A20">
        <v>10</v>
      </c>
      <c r="B20" s="17">
        <v>17</v>
      </c>
      <c r="C20" s="55">
        <v>23</v>
      </c>
      <c r="D20">
        <f t="shared" si="0"/>
        <v>391</v>
      </c>
      <c r="E20">
        <f t="shared" si="1"/>
        <v>289</v>
      </c>
      <c r="G20" s="123"/>
    </row>
    <row r="21" spans="1:18">
      <c r="A21">
        <v>11</v>
      </c>
      <c r="B21" s="17">
        <v>19</v>
      </c>
      <c r="C21" s="55">
        <v>26</v>
      </c>
      <c r="D21">
        <f t="shared" si="0"/>
        <v>494</v>
      </c>
      <c r="E21">
        <f t="shared" si="1"/>
        <v>361</v>
      </c>
      <c r="G21" s="123"/>
    </row>
    <row r="22" spans="1:18">
      <c r="A22">
        <v>12</v>
      </c>
      <c r="B22" s="17">
        <v>20</v>
      </c>
      <c r="C22" s="55">
        <v>26</v>
      </c>
      <c r="D22">
        <f t="shared" si="0"/>
        <v>520</v>
      </c>
      <c r="E22">
        <f t="shared" si="1"/>
        <v>400</v>
      </c>
      <c r="G22" s="123"/>
    </row>
    <row r="23" spans="1:18">
      <c r="A23">
        <v>13</v>
      </c>
      <c r="B23" s="17">
        <v>20</v>
      </c>
      <c r="C23" s="55">
        <v>26</v>
      </c>
      <c r="D23">
        <f t="shared" si="0"/>
        <v>520</v>
      </c>
      <c r="E23">
        <f t="shared" si="1"/>
        <v>400</v>
      </c>
      <c r="G23" s="123"/>
    </row>
    <row r="24" spans="1:18">
      <c r="A24">
        <v>14</v>
      </c>
      <c r="B24" s="17">
        <v>19</v>
      </c>
      <c r="C24" s="55">
        <v>26.5</v>
      </c>
      <c r="D24">
        <f t="shared" si="0"/>
        <v>503.5</v>
      </c>
      <c r="E24">
        <f t="shared" si="1"/>
        <v>361</v>
      </c>
      <c r="G24" s="123"/>
    </row>
    <row r="25" spans="1:18">
      <c r="A25">
        <v>15</v>
      </c>
      <c r="B25" s="17">
        <v>19</v>
      </c>
      <c r="C25" s="55">
        <v>25.8</v>
      </c>
      <c r="D25">
        <f t="shared" si="0"/>
        <v>490.2</v>
      </c>
      <c r="E25">
        <f t="shared" si="1"/>
        <v>361</v>
      </c>
      <c r="G25" s="123"/>
    </row>
    <row r="26" spans="1:18">
      <c r="A26">
        <v>16</v>
      </c>
      <c r="B26" s="17">
        <v>18</v>
      </c>
      <c r="C26" s="55">
        <v>26</v>
      </c>
      <c r="D26">
        <f t="shared" si="0"/>
        <v>468</v>
      </c>
      <c r="E26">
        <f t="shared" si="1"/>
        <v>324</v>
      </c>
      <c r="G26" s="123"/>
    </row>
    <row r="27" spans="1:18" ht="15.75" thickBot="1">
      <c r="A27">
        <v>17</v>
      </c>
      <c r="B27" s="17">
        <v>19.5</v>
      </c>
      <c r="C27" s="55">
        <v>26.5</v>
      </c>
      <c r="D27">
        <f t="shared" si="0"/>
        <v>516.75</v>
      </c>
      <c r="E27">
        <f t="shared" si="1"/>
        <v>380.25</v>
      </c>
      <c r="G27" s="122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</row>
    <row r="28" spans="1:18" ht="15.75" thickTop="1">
      <c r="A28">
        <v>18</v>
      </c>
      <c r="B28" s="17">
        <v>17.600000000000001</v>
      </c>
      <c r="C28" s="55">
        <v>24.9</v>
      </c>
      <c r="D28">
        <f t="shared" si="0"/>
        <v>438.24</v>
      </c>
      <c r="E28">
        <f t="shared" si="1"/>
        <v>309.76000000000005</v>
      </c>
      <c r="O28" t="s">
        <v>216</v>
      </c>
    </row>
    <row r="29" spans="1:18">
      <c r="A29">
        <v>19</v>
      </c>
      <c r="B29" s="17">
        <v>20.5</v>
      </c>
      <c r="C29" s="55">
        <v>27.5</v>
      </c>
      <c r="D29">
        <f t="shared" si="0"/>
        <v>563.75</v>
      </c>
      <c r="E29">
        <f t="shared" si="1"/>
        <v>420.25</v>
      </c>
    </row>
    <row r="30" spans="1:18">
      <c r="A30">
        <v>20</v>
      </c>
      <c r="B30" s="17">
        <v>20</v>
      </c>
      <c r="C30" s="55">
        <v>26.5</v>
      </c>
      <c r="D30">
        <f t="shared" si="0"/>
        <v>530</v>
      </c>
      <c r="E30">
        <f t="shared" si="1"/>
        <v>400</v>
      </c>
    </row>
    <row r="31" spans="1:18">
      <c r="A31">
        <v>21</v>
      </c>
      <c r="B31" s="17">
        <v>20.5</v>
      </c>
      <c r="C31" s="55">
        <v>28</v>
      </c>
      <c r="D31">
        <f t="shared" si="0"/>
        <v>574</v>
      </c>
      <c r="E31">
        <f t="shared" si="1"/>
        <v>420.25</v>
      </c>
      <c r="J31" t="s">
        <v>217</v>
      </c>
    </row>
    <row r="32" spans="1:18" ht="15.75" thickBot="1">
      <c r="A32">
        <v>22</v>
      </c>
      <c r="B32" s="17">
        <v>16.25</v>
      </c>
      <c r="C32" s="55">
        <v>21.5</v>
      </c>
      <c r="D32">
        <f t="shared" si="0"/>
        <v>349.375</v>
      </c>
      <c r="E32">
        <f t="shared" si="1"/>
        <v>264.0625</v>
      </c>
    </row>
    <row r="33" spans="1:18">
      <c r="A33">
        <v>23</v>
      </c>
      <c r="B33" s="17">
        <v>18.25</v>
      </c>
      <c r="C33" s="55">
        <v>25.5</v>
      </c>
      <c r="D33">
        <f t="shared" si="0"/>
        <v>465.375</v>
      </c>
      <c r="E33">
        <f t="shared" si="1"/>
        <v>333.0625</v>
      </c>
      <c r="J33" s="143" t="s">
        <v>218</v>
      </c>
      <c r="K33" s="143"/>
    </row>
    <row r="34" spans="1:18">
      <c r="A34">
        <v>24</v>
      </c>
      <c r="B34" s="17">
        <v>19</v>
      </c>
      <c r="C34" s="55">
        <v>26.5</v>
      </c>
      <c r="D34">
        <f t="shared" si="0"/>
        <v>503.5</v>
      </c>
      <c r="E34">
        <f t="shared" si="1"/>
        <v>361</v>
      </c>
      <c r="J34" t="s">
        <v>219</v>
      </c>
      <c r="K34">
        <v>0.89672317030380821</v>
      </c>
    </row>
    <row r="35" spans="1:18">
      <c r="A35">
        <v>25</v>
      </c>
      <c r="B35" s="17">
        <v>20</v>
      </c>
      <c r="C35" s="55">
        <v>28</v>
      </c>
      <c r="D35">
        <f t="shared" si="0"/>
        <v>560</v>
      </c>
      <c r="E35">
        <f t="shared" si="1"/>
        <v>400</v>
      </c>
      <c r="J35" t="s">
        <v>220</v>
      </c>
      <c r="K35">
        <v>0.80411244415971261</v>
      </c>
    </row>
    <row r="36" spans="1:18">
      <c r="A36">
        <v>26</v>
      </c>
      <c r="B36" s="17">
        <v>21</v>
      </c>
      <c r="C36" s="55">
        <v>29.6</v>
      </c>
      <c r="D36">
        <f t="shared" si="0"/>
        <v>621.6</v>
      </c>
      <c r="E36">
        <f t="shared" si="1"/>
        <v>441</v>
      </c>
      <c r="J36" t="s">
        <v>221</v>
      </c>
      <c r="K36">
        <v>0.79758285896503633</v>
      </c>
    </row>
    <row r="37" spans="1:18">
      <c r="A37">
        <v>27</v>
      </c>
      <c r="B37" s="17">
        <v>20</v>
      </c>
      <c r="C37" s="55">
        <v>27.5</v>
      </c>
      <c r="D37">
        <f t="shared" si="0"/>
        <v>550</v>
      </c>
      <c r="E37">
        <f t="shared" si="1"/>
        <v>400</v>
      </c>
      <c r="J37" t="s">
        <v>222</v>
      </c>
      <c r="K37">
        <v>0.85001838198764856</v>
      </c>
    </row>
    <row r="38" spans="1:18" ht="15.75" thickBot="1">
      <c r="A38">
        <v>28</v>
      </c>
      <c r="B38" s="17">
        <v>19.600000000000001</v>
      </c>
      <c r="C38" s="55">
        <v>25.7</v>
      </c>
      <c r="D38">
        <f t="shared" si="0"/>
        <v>503.72</v>
      </c>
      <c r="E38">
        <f t="shared" si="1"/>
        <v>384.16000000000008</v>
      </c>
      <c r="J38" s="121" t="s">
        <v>223</v>
      </c>
      <c r="K38" s="121">
        <v>32</v>
      </c>
    </row>
    <row r="39" spans="1:18">
      <c r="A39">
        <v>29</v>
      </c>
      <c r="B39" s="17">
        <v>18</v>
      </c>
      <c r="C39" s="55">
        <v>23.5</v>
      </c>
      <c r="D39">
        <f t="shared" si="0"/>
        <v>423</v>
      </c>
      <c r="E39">
        <f t="shared" si="1"/>
        <v>324</v>
      </c>
    </row>
    <row r="40" spans="1:18" ht="15.75" thickBot="1">
      <c r="A40">
        <v>30</v>
      </c>
      <c r="B40" s="17">
        <v>20.5</v>
      </c>
      <c r="C40" s="55">
        <v>29</v>
      </c>
      <c r="D40">
        <f t="shared" si="0"/>
        <v>594.5</v>
      </c>
      <c r="E40">
        <f t="shared" si="1"/>
        <v>420.25</v>
      </c>
      <c r="J40" t="s">
        <v>224</v>
      </c>
    </row>
    <row r="41" spans="1:18">
      <c r="A41">
        <v>31</v>
      </c>
      <c r="B41" s="17">
        <v>19</v>
      </c>
      <c r="C41" s="55">
        <v>27</v>
      </c>
      <c r="D41">
        <f t="shared" si="0"/>
        <v>513</v>
      </c>
      <c r="E41">
        <f t="shared" si="1"/>
        <v>361</v>
      </c>
      <c r="J41" s="134"/>
      <c r="K41" s="134" t="s">
        <v>225</v>
      </c>
      <c r="L41" s="134" t="s">
        <v>226</v>
      </c>
      <c r="M41" s="134" t="s">
        <v>227</v>
      </c>
      <c r="N41" s="134" t="s">
        <v>228</v>
      </c>
      <c r="O41" s="134" t="s">
        <v>229</v>
      </c>
    </row>
    <row r="42" spans="1:18">
      <c r="A42">
        <v>32</v>
      </c>
      <c r="B42" s="17">
        <v>18.5</v>
      </c>
      <c r="C42" s="55">
        <v>27</v>
      </c>
      <c r="D42">
        <f t="shared" si="0"/>
        <v>499.5</v>
      </c>
      <c r="E42">
        <f t="shared" si="1"/>
        <v>342.25</v>
      </c>
      <c r="J42" t="s">
        <v>230</v>
      </c>
      <c r="K42">
        <v>1</v>
      </c>
      <c r="L42">
        <v>88.979062508493016</v>
      </c>
      <c r="M42">
        <v>88.979062508493016</v>
      </c>
      <c r="N42">
        <v>123.14908530718432</v>
      </c>
      <c r="O42" s="142">
        <v>3.836681736960427E-12</v>
      </c>
    </row>
    <row r="43" spans="1:18" ht="15.75" thickBot="1">
      <c r="A43" s="6" t="s">
        <v>133</v>
      </c>
      <c r="B43" s="141">
        <f>SUM(B11:B42)</f>
        <v>606.6</v>
      </c>
      <c r="C43" s="140">
        <f>SUM(C11:C42)</f>
        <v>826.80000000000007</v>
      </c>
      <c r="D43" s="139">
        <f>SUM(D11:D42)</f>
        <v>15737</v>
      </c>
      <c r="E43" s="138">
        <f>SUM(E11:E42)</f>
        <v>11544.855</v>
      </c>
      <c r="J43" t="s">
        <v>231</v>
      </c>
      <c r="K43">
        <v>30</v>
      </c>
      <c r="L43">
        <v>21.675937491507</v>
      </c>
      <c r="M43">
        <v>0.72253124971689997</v>
      </c>
    </row>
    <row r="44" spans="1:18" ht="16.5" thickTop="1" thickBot="1">
      <c r="A44" s="137" t="s">
        <v>232</v>
      </c>
      <c r="B44" s="136">
        <f>AVERAGE(B11:B42)</f>
        <v>18.956250000000001</v>
      </c>
      <c r="C44" s="135">
        <f>AVERAGE(C11:C42)</f>
        <v>25.837500000000002</v>
      </c>
      <c r="D44" s="132"/>
      <c r="E44" s="132"/>
      <c r="J44" s="121" t="s">
        <v>91</v>
      </c>
      <c r="K44" s="121">
        <v>31</v>
      </c>
      <c r="L44" s="121">
        <v>110.65500000000002</v>
      </c>
      <c r="M44" s="121"/>
      <c r="N44" s="121"/>
      <c r="O44" s="121"/>
    </row>
    <row r="45" spans="1:18" ht="16.5" thickTop="1" thickBot="1"/>
    <row r="46" spans="1:18">
      <c r="J46" s="134"/>
      <c r="K46" s="134" t="s">
        <v>233</v>
      </c>
      <c r="L46" s="134" t="s">
        <v>222</v>
      </c>
      <c r="M46" s="134" t="s">
        <v>234</v>
      </c>
      <c r="N46" s="134" t="s">
        <v>235</v>
      </c>
      <c r="O46" s="134" t="s">
        <v>236</v>
      </c>
      <c r="P46" s="134" t="s">
        <v>237</v>
      </c>
      <c r="Q46" s="134" t="s">
        <v>238</v>
      </c>
      <c r="R46" s="134" t="s">
        <v>239</v>
      </c>
    </row>
    <row r="47" spans="1:18">
      <c r="J47" t="s">
        <v>240</v>
      </c>
      <c r="K47">
        <v>-0.52866286180187672</v>
      </c>
      <c r="L47">
        <v>2.3806643013942863</v>
      </c>
      <c r="M47">
        <v>-0.22206527039207255</v>
      </c>
      <c r="N47">
        <v>0.82576789250672245</v>
      </c>
      <c r="O47">
        <v>-5.3906279922390556</v>
      </c>
      <c r="P47">
        <v>4.3333022686353022</v>
      </c>
      <c r="Q47">
        <v>-5.3906279922390556</v>
      </c>
      <c r="R47">
        <v>4.3333022686353022</v>
      </c>
    </row>
    <row r="48" spans="1:18" ht="15.75" thickBot="1">
      <c r="J48" s="121" t="s">
        <v>211</v>
      </c>
      <c r="K48" s="121">
        <v>1.3908955021062646</v>
      </c>
      <c r="L48" s="121">
        <v>0.1253368880313637</v>
      </c>
      <c r="M48" s="121">
        <v>11.097255755689527</v>
      </c>
      <c r="N48" s="121">
        <v>3.8366817369604132E-12</v>
      </c>
      <c r="O48" s="121">
        <v>1.1349234279212981</v>
      </c>
      <c r="P48" s="121">
        <v>1.646867576291231</v>
      </c>
      <c r="Q48" s="121">
        <v>1.1349234279212981</v>
      </c>
      <c r="R48" s="121">
        <v>1.646867576291231</v>
      </c>
    </row>
    <row r="51" spans="2:6" ht="15.75" thickBot="1">
      <c r="B51" s="1" t="s">
        <v>241</v>
      </c>
      <c r="C51" s="4" t="s">
        <v>242</v>
      </c>
    </row>
    <row r="52" spans="2:6" ht="15.75" thickBot="1">
      <c r="C52" s="133">
        <f>(D43-((B43*C43)/A42))/(E43-(A42*(B44^2)))</f>
        <v>1.3908955021062877</v>
      </c>
      <c r="F52" s="132"/>
    </row>
    <row r="53" spans="2:6">
      <c r="E53" s="132"/>
      <c r="F53" s="50"/>
    </row>
    <row r="57" spans="2:6" ht="15.75" thickBot="1">
      <c r="B57" s="1" t="s">
        <v>243</v>
      </c>
      <c r="C57" s="4" t="s">
        <v>244</v>
      </c>
    </row>
    <row r="58" spans="2:6" ht="15.75" thickBot="1">
      <c r="C58" s="131">
        <f>C44-(C52*B44)</f>
        <v>-0.5286628618023137</v>
      </c>
    </row>
    <row r="63" spans="2:6" ht="15.75" thickBot="1"/>
    <row r="64" spans="2:6" ht="15.75" thickBot="1">
      <c r="B64" s="130" t="s">
        <v>245</v>
      </c>
      <c r="C64" s="129" t="s">
        <v>246</v>
      </c>
    </row>
  </sheetData>
  <printOptions gridLines="1"/>
  <pageMargins left="0.25" right="0.25" top="0.75" bottom="0.75" header="0.3" footer="0.3"/>
  <pageSetup scale="63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Equation.3" shapeId="11265" r:id="rId3">
          <objectPr defaultSize="0" autoPict="0" r:id="rId4">
            <anchor moveWithCells="1" sizeWithCells="1">
              <from>
                <xdr:col>1</xdr:col>
                <xdr:colOff>447675</xdr:colOff>
                <xdr:row>45</xdr:row>
                <xdr:rowOff>104775</xdr:rowOff>
              </from>
              <to>
                <xdr:col>5</xdr:col>
                <xdr:colOff>714375</xdr:colOff>
                <xdr:row>49</xdr:row>
                <xdr:rowOff>152400</xdr:rowOff>
              </to>
            </anchor>
          </objectPr>
        </oleObject>
      </mc:Choice>
      <mc:Fallback>
        <oleObject progId="Equation.3" shapeId="11265" r:id="rId3"/>
      </mc:Fallback>
    </mc:AlternateContent>
    <mc:AlternateContent xmlns:mc="http://schemas.openxmlformats.org/markup-compatibility/2006">
      <mc:Choice Requires="x14">
        <oleObject progId="Equation.3" shapeId="11266" r:id="rId5">
          <objectPr defaultSize="0" autoPict="0" r:id="rId6">
            <anchor moveWithCells="1" sizeWithCells="1">
              <from>
                <xdr:col>1</xdr:col>
                <xdr:colOff>542925</xdr:colOff>
                <xdr:row>53</xdr:row>
                <xdr:rowOff>0</xdr:rowOff>
              </from>
              <to>
                <xdr:col>4</xdr:col>
                <xdr:colOff>28575</xdr:colOff>
                <xdr:row>55</xdr:row>
                <xdr:rowOff>104775</xdr:rowOff>
              </to>
            </anchor>
          </objectPr>
        </oleObject>
      </mc:Choice>
      <mc:Fallback>
        <oleObject progId="Equation.3" shapeId="11266" r:id="rId5"/>
      </mc:Fallback>
    </mc:AlternateContent>
    <mc:AlternateContent xmlns:mc="http://schemas.openxmlformats.org/markup-compatibility/2006">
      <mc:Choice Requires="x14">
        <oleObject progId="Equation.3" shapeId="11267" r:id="rId7">
          <objectPr defaultSize="0" autoPict="0" r:id="rId8">
            <anchor moveWithCells="1" sizeWithCells="1">
              <from>
                <xdr:col>1</xdr:col>
                <xdr:colOff>104775</xdr:colOff>
                <xdr:row>59</xdr:row>
                <xdr:rowOff>142875</xdr:rowOff>
              </from>
              <to>
                <xdr:col>3</xdr:col>
                <xdr:colOff>647700</xdr:colOff>
                <xdr:row>62</xdr:row>
                <xdr:rowOff>85725</xdr:rowOff>
              </to>
            </anchor>
          </objectPr>
        </oleObject>
      </mc:Choice>
      <mc:Fallback>
        <oleObject progId="Equation.3" shapeId="11267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F5FF-EB7D-431D-A55F-25CA152AF8A5}">
  <dimension ref="A1:R18"/>
  <sheetViews>
    <sheetView workbookViewId="0">
      <selection activeCell="R10" sqref="R10"/>
    </sheetView>
  </sheetViews>
  <sheetFormatPr defaultRowHeight="15"/>
  <cols>
    <col min="1" max="1" width="44.5703125" customWidth="1"/>
    <col min="2" max="2" width="10.140625" customWidth="1"/>
    <col min="3" max="3" width="10" customWidth="1"/>
  </cols>
  <sheetData>
    <row r="1" spans="1:18">
      <c r="A1" t="s">
        <v>247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</row>
    <row r="2" spans="1:18">
      <c r="A2" t="s">
        <v>248</v>
      </c>
      <c r="B2" s="7">
        <f>FACT(B1)</f>
        <v>1</v>
      </c>
      <c r="C2" s="7">
        <f>FACT(C1)</f>
        <v>2</v>
      </c>
      <c r="D2" s="7">
        <f>FACT(D1)</f>
        <v>6</v>
      </c>
      <c r="E2" s="7">
        <f>FACT(E1)</f>
        <v>24</v>
      </c>
      <c r="F2" s="7">
        <f t="shared" ref="F2:P2" si="0">FACT(F1)</f>
        <v>120</v>
      </c>
      <c r="G2" s="7">
        <f t="shared" si="0"/>
        <v>720</v>
      </c>
      <c r="H2" s="7">
        <f t="shared" si="0"/>
        <v>5040</v>
      </c>
      <c r="I2" s="7">
        <f t="shared" si="0"/>
        <v>40320</v>
      </c>
      <c r="J2" s="7">
        <f t="shared" si="0"/>
        <v>362880</v>
      </c>
      <c r="K2" s="7">
        <f t="shared" si="0"/>
        <v>3628800</v>
      </c>
      <c r="L2" s="7">
        <f t="shared" si="0"/>
        <v>39916800</v>
      </c>
      <c r="M2" s="7">
        <f t="shared" si="0"/>
        <v>479001600</v>
      </c>
      <c r="N2" s="7">
        <f t="shared" si="0"/>
        <v>6227020800</v>
      </c>
      <c r="O2" s="7">
        <f t="shared" si="0"/>
        <v>87178291200</v>
      </c>
      <c r="P2" s="7">
        <f t="shared" si="0"/>
        <v>1307674368000</v>
      </c>
    </row>
    <row r="3" spans="1:18">
      <c r="A3" t="s">
        <v>249</v>
      </c>
      <c r="B3" s="7">
        <f>FACT($B$17-B1)</f>
        <v>87178291200</v>
      </c>
      <c r="C3" s="7">
        <f t="shared" ref="C3:P3" si="1">FACT($B$17-C1)</f>
        <v>6227020800</v>
      </c>
      <c r="D3" s="7">
        <f t="shared" si="1"/>
        <v>479001600</v>
      </c>
      <c r="E3" s="7">
        <f t="shared" si="1"/>
        <v>39916800</v>
      </c>
      <c r="F3" s="7">
        <f t="shared" si="1"/>
        <v>3628800</v>
      </c>
      <c r="G3" s="7">
        <f t="shared" si="1"/>
        <v>362880</v>
      </c>
      <c r="H3" s="7">
        <f t="shared" si="1"/>
        <v>40320</v>
      </c>
      <c r="I3" s="7">
        <f t="shared" si="1"/>
        <v>5040</v>
      </c>
      <c r="J3" s="7">
        <f t="shared" si="1"/>
        <v>720</v>
      </c>
      <c r="K3" s="7">
        <f t="shared" si="1"/>
        <v>120</v>
      </c>
      <c r="L3" s="7">
        <f t="shared" si="1"/>
        <v>24</v>
      </c>
      <c r="M3" s="7">
        <f t="shared" si="1"/>
        <v>6</v>
      </c>
      <c r="N3" s="7">
        <f t="shared" si="1"/>
        <v>2</v>
      </c>
      <c r="O3" s="7">
        <f t="shared" si="1"/>
        <v>1</v>
      </c>
      <c r="P3" s="7">
        <f t="shared" si="1"/>
        <v>1</v>
      </c>
    </row>
    <row r="4" spans="1:18">
      <c r="A4" t="s">
        <v>250</v>
      </c>
      <c r="B4" s="7">
        <f>B2*B3</f>
        <v>87178291200</v>
      </c>
      <c r="C4" s="7">
        <f t="shared" ref="C4:P4" si="2">C2*C3</f>
        <v>12454041600</v>
      </c>
      <c r="D4" s="7">
        <f t="shared" si="2"/>
        <v>2874009600</v>
      </c>
      <c r="E4" s="7">
        <f t="shared" si="2"/>
        <v>958003200</v>
      </c>
      <c r="F4" s="7">
        <f t="shared" si="2"/>
        <v>435456000</v>
      </c>
      <c r="G4" s="7">
        <f t="shared" si="2"/>
        <v>261273600</v>
      </c>
      <c r="H4" s="7">
        <f t="shared" si="2"/>
        <v>203212800</v>
      </c>
      <c r="I4" s="7">
        <f t="shared" si="2"/>
        <v>203212800</v>
      </c>
      <c r="J4" s="7">
        <f t="shared" si="2"/>
        <v>261273600</v>
      </c>
      <c r="K4" s="7">
        <f t="shared" si="2"/>
        <v>435456000</v>
      </c>
      <c r="L4" s="7">
        <f t="shared" si="2"/>
        <v>958003200</v>
      </c>
      <c r="M4" s="7">
        <f t="shared" si="2"/>
        <v>2874009600</v>
      </c>
      <c r="N4" s="7">
        <f t="shared" si="2"/>
        <v>12454041600</v>
      </c>
      <c r="O4" s="7">
        <f t="shared" si="2"/>
        <v>87178291200</v>
      </c>
      <c r="P4" s="7">
        <f t="shared" si="2"/>
        <v>1307674368000</v>
      </c>
    </row>
    <row r="5" spans="1:18" ht="18">
      <c r="A5" t="s">
        <v>251</v>
      </c>
      <c r="B5" s="7">
        <f>$B$18/B4</f>
        <v>15</v>
      </c>
      <c r="C5" s="7">
        <f t="shared" ref="C5:P5" si="3">$B$18/C4</f>
        <v>105</v>
      </c>
      <c r="D5" s="7">
        <f t="shared" si="3"/>
        <v>455</v>
      </c>
      <c r="E5" s="7">
        <f t="shared" si="3"/>
        <v>1365</v>
      </c>
      <c r="F5" s="7">
        <f t="shared" si="3"/>
        <v>3003</v>
      </c>
      <c r="G5" s="7">
        <f t="shared" si="3"/>
        <v>5005</v>
      </c>
      <c r="H5" s="7">
        <f t="shared" si="3"/>
        <v>6435</v>
      </c>
      <c r="I5" s="7">
        <f t="shared" si="3"/>
        <v>6435</v>
      </c>
      <c r="J5" s="7">
        <f t="shared" si="3"/>
        <v>5005</v>
      </c>
      <c r="K5" s="7">
        <f t="shared" si="3"/>
        <v>3003</v>
      </c>
      <c r="L5" s="7">
        <f t="shared" si="3"/>
        <v>1365</v>
      </c>
      <c r="M5" s="7">
        <f t="shared" si="3"/>
        <v>455</v>
      </c>
      <c r="N5" s="7">
        <f t="shared" si="3"/>
        <v>105</v>
      </c>
      <c r="O5" s="7">
        <f t="shared" si="3"/>
        <v>15</v>
      </c>
      <c r="P5" s="7">
        <f t="shared" si="3"/>
        <v>1</v>
      </c>
    </row>
    <row r="6" spans="1:18" ht="17.25">
      <c r="A6" t="s">
        <v>252</v>
      </c>
      <c r="B6" s="7">
        <f>$B$15^B1</f>
        <v>0.25</v>
      </c>
      <c r="C6" s="7">
        <f t="shared" ref="C6:P6" si="4">$B$15^C1</f>
        <v>6.25E-2</v>
      </c>
      <c r="D6" s="7">
        <f t="shared" si="4"/>
        <v>1.5625E-2</v>
      </c>
      <c r="E6" s="7">
        <f t="shared" si="4"/>
        <v>3.90625E-3</v>
      </c>
      <c r="F6" s="7">
        <f t="shared" si="4"/>
        <v>9.765625E-4</v>
      </c>
      <c r="G6" s="7">
        <f t="shared" si="4"/>
        <v>2.44140625E-4</v>
      </c>
      <c r="H6" s="7">
        <f t="shared" si="4"/>
        <v>6.103515625E-5</v>
      </c>
      <c r="I6" s="7">
        <f t="shared" si="4"/>
        <v>1.52587890625E-5</v>
      </c>
      <c r="J6" s="7">
        <f t="shared" si="4"/>
        <v>3.814697265625E-6</v>
      </c>
      <c r="K6" s="7">
        <f t="shared" si="4"/>
        <v>9.5367431640625E-7</v>
      </c>
      <c r="L6" s="7">
        <f t="shared" si="4"/>
        <v>2.384185791015625E-7</v>
      </c>
      <c r="M6" s="7">
        <f t="shared" si="4"/>
        <v>5.9604644775390625E-8</v>
      </c>
      <c r="N6" s="7">
        <f t="shared" si="4"/>
        <v>1.4901161193847656E-8</v>
      </c>
      <c r="O6" s="7">
        <f t="shared" si="4"/>
        <v>3.7252902984619141E-9</v>
      </c>
      <c r="P6" s="7">
        <f t="shared" si="4"/>
        <v>9.3132257461547852E-10</v>
      </c>
    </row>
    <row r="7" spans="1:18">
      <c r="A7" t="s">
        <v>253</v>
      </c>
      <c r="B7" s="7">
        <f>$B$17-B1</f>
        <v>14</v>
      </c>
      <c r="C7" s="7">
        <f t="shared" ref="C7:P7" si="5">$B$17-C1</f>
        <v>13</v>
      </c>
      <c r="D7" s="7">
        <f t="shared" si="5"/>
        <v>12</v>
      </c>
      <c r="E7" s="7">
        <f t="shared" si="5"/>
        <v>11</v>
      </c>
      <c r="F7" s="7">
        <f t="shared" si="5"/>
        <v>10</v>
      </c>
      <c r="G7" s="7">
        <f t="shared" si="5"/>
        <v>9</v>
      </c>
      <c r="H7" s="7">
        <f t="shared" si="5"/>
        <v>8</v>
      </c>
      <c r="I7" s="7">
        <f t="shared" si="5"/>
        <v>7</v>
      </c>
      <c r="J7" s="7">
        <f t="shared" si="5"/>
        <v>6</v>
      </c>
      <c r="K7" s="7">
        <f t="shared" si="5"/>
        <v>5</v>
      </c>
      <c r="L7" s="7">
        <f t="shared" si="5"/>
        <v>4</v>
      </c>
      <c r="M7" s="7">
        <f t="shared" si="5"/>
        <v>3</v>
      </c>
      <c r="N7" s="7">
        <f t="shared" si="5"/>
        <v>2</v>
      </c>
      <c r="O7" s="7">
        <f t="shared" si="5"/>
        <v>1</v>
      </c>
      <c r="P7" s="7">
        <f t="shared" si="5"/>
        <v>0</v>
      </c>
    </row>
    <row r="8" spans="1:18" ht="17.25">
      <c r="A8" t="s">
        <v>254</v>
      </c>
      <c r="B8" s="7">
        <f>$B$16^B7</f>
        <v>1.7817948013544083E-2</v>
      </c>
      <c r="C8" s="7">
        <f t="shared" ref="C8:P8" si="6">$B$16^C7</f>
        <v>2.3757264018058777E-2</v>
      </c>
      <c r="D8" s="7">
        <f t="shared" si="6"/>
        <v>3.1676352024078369E-2</v>
      </c>
      <c r="E8" s="7">
        <f t="shared" si="6"/>
        <v>4.2235136032104492E-2</v>
      </c>
      <c r="F8" s="7">
        <f t="shared" si="6"/>
        <v>5.6313514709472656E-2</v>
      </c>
      <c r="G8" s="7">
        <f t="shared" si="6"/>
        <v>7.5084686279296875E-2</v>
      </c>
      <c r="H8" s="7">
        <f t="shared" si="6"/>
        <v>0.1001129150390625</v>
      </c>
      <c r="I8" s="7">
        <f t="shared" si="6"/>
        <v>0.13348388671875</v>
      </c>
      <c r="J8" s="7">
        <f t="shared" si="6"/>
        <v>0.177978515625</v>
      </c>
      <c r="K8" s="7">
        <f t="shared" si="6"/>
        <v>0.2373046875</v>
      </c>
      <c r="L8" s="7">
        <f t="shared" si="6"/>
        <v>0.31640625</v>
      </c>
      <c r="M8" s="7">
        <f t="shared" si="6"/>
        <v>0.421875</v>
      </c>
      <c r="N8" s="7">
        <f t="shared" si="6"/>
        <v>0.5625</v>
      </c>
      <c r="O8" s="7">
        <f t="shared" si="6"/>
        <v>0.75</v>
      </c>
      <c r="P8" s="7">
        <f t="shared" si="6"/>
        <v>1</v>
      </c>
    </row>
    <row r="9" spans="1:18">
      <c r="A9" t="s">
        <v>255</v>
      </c>
      <c r="B9">
        <f>B5*B6*B8</f>
        <v>6.681730505079031E-2</v>
      </c>
      <c r="C9">
        <f t="shared" ref="C9:P9" si="7">C5*C6*C8</f>
        <v>0.15590704511851072</v>
      </c>
      <c r="D9">
        <f t="shared" si="7"/>
        <v>0.22519906517118216</v>
      </c>
      <c r="E9">
        <f t="shared" si="7"/>
        <v>0.22519906517118216</v>
      </c>
      <c r="F9">
        <f t="shared" si="7"/>
        <v>0.16514598112553358</v>
      </c>
      <c r="G9">
        <f t="shared" si="7"/>
        <v>9.17477672919631E-2</v>
      </c>
      <c r="H9">
        <f t="shared" si="7"/>
        <v>3.9320471696555614E-2</v>
      </c>
      <c r="I9">
        <f t="shared" si="7"/>
        <v>1.3106823898851871E-2</v>
      </c>
      <c r="J9" s="73">
        <f t="shared" si="7"/>
        <v>3.3980654552578926E-3</v>
      </c>
      <c r="K9" s="73">
        <f t="shared" si="7"/>
        <v>6.7961309105157852E-4</v>
      </c>
      <c r="L9" s="73">
        <f t="shared" si="7"/>
        <v>1.0297168046236038E-4</v>
      </c>
      <c r="M9" s="73">
        <f t="shared" si="7"/>
        <v>1.1441297829151154E-5</v>
      </c>
      <c r="N9" s="73">
        <f t="shared" si="7"/>
        <v>8.800998330116272E-7</v>
      </c>
      <c r="O9" s="73">
        <f t="shared" si="7"/>
        <v>4.1909515857696533E-8</v>
      </c>
      <c r="P9" s="73">
        <f t="shared" si="7"/>
        <v>9.3132257461547852E-10</v>
      </c>
      <c r="R9" t="s">
        <v>256</v>
      </c>
    </row>
    <row r="13" spans="1:18">
      <c r="A13" t="s">
        <v>257</v>
      </c>
    </row>
    <row r="14" spans="1:18">
      <c r="A14" t="s">
        <v>258</v>
      </c>
    </row>
    <row r="15" spans="1:18">
      <c r="A15" t="s">
        <v>259</v>
      </c>
      <c r="B15">
        <v>0.25</v>
      </c>
    </row>
    <row r="16" spans="1:18">
      <c r="A16" t="s">
        <v>260</v>
      </c>
      <c r="B16">
        <v>0.75</v>
      </c>
    </row>
    <row r="17" spans="1:2">
      <c r="A17" t="s">
        <v>261</v>
      </c>
      <c r="B17">
        <v>15</v>
      </c>
    </row>
    <row r="18" spans="1:2">
      <c r="A18" t="s">
        <v>262</v>
      </c>
      <c r="B18">
        <f>FACT(B17)</f>
        <v>1307674368000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A76-4685-4344-8E35-71AD9FB40B00}">
  <dimension ref="A1:I125"/>
  <sheetViews>
    <sheetView workbookViewId="0">
      <selection activeCell="C3" sqref="C3"/>
    </sheetView>
  </sheetViews>
  <sheetFormatPr defaultColWidth="8.85546875" defaultRowHeight="15"/>
  <cols>
    <col min="1" max="1" width="12.42578125" style="7" customWidth="1"/>
    <col min="2" max="2" width="11.28515625" style="7" bestFit="1" customWidth="1"/>
    <col min="3" max="3" width="11.28515625" style="7" customWidth="1"/>
    <col min="4" max="4" width="24.7109375" style="7" customWidth="1"/>
    <col min="5" max="5" width="26" style="7" bestFit="1" customWidth="1"/>
  </cols>
  <sheetData>
    <row r="1" spans="1:7" ht="18.75">
      <c r="A1" s="144" t="s">
        <v>263</v>
      </c>
    </row>
    <row r="2" spans="1:7" ht="35.25" customHeight="1">
      <c r="A2" s="145" t="s">
        <v>264</v>
      </c>
      <c r="B2" s="146" t="s">
        <v>265</v>
      </c>
      <c r="C2" s="8" t="s">
        <v>266</v>
      </c>
      <c r="D2" s="12" t="s">
        <v>267</v>
      </c>
      <c r="E2" s="12" t="s">
        <v>268</v>
      </c>
    </row>
    <row r="3" spans="1:7">
      <c r="A3" s="147">
        <v>1916</v>
      </c>
      <c r="B3" s="148">
        <v>5743</v>
      </c>
      <c r="C3" s="149"/>
      <c r="D3" s="149"/>
      <c r="E3" s="7" t="e">
        <v>#N/A</v>
      </c>
    </row>
    <row r="4" spans="1:7">
      <c r="A4" s="147">
        <v>1917</v>
      </c>
      <c r="B4" s="148">
        <v>4678</v>
      </c>
      <c r="C4" s="148">
        <v>5743</v>
      </c>
      <c r="D4" s="7" t="e">
        <v>#N/A</v>
      </c>
      <c r="E4" s="120">
        <f>B3</f>
        <v>5743</v>
      </c>
    </row>
    <row r="5" spans="1:7">
      <c r="A5" s="147">
        <v>1918</v>
      </c>
      <c r="B5" s="148">
        <v>4558</v>
      </c>
      <c r="C5" s="148">
        <v>4678</v>
      </c>
      <c r="D5" s="7" t="e">
        <v>#N/A</v>
      </c>
      <c r="E5" s="7">
        <f t="shared" ref="E5:E68" si="0">0.2*B4+0.8*E4</f>
        <v>5530.0000000000009</v>
      </c>
    </row>
    <row r="6" spans="1:7">
      <c r="A6" s="147">
        <v>1919</v>
      </c>
      <c r="B6" s="148">
        <v>5978</v>
      </c>
      <c r="C6" s="148">
        <v>4558</v>
      </c>
      <c r="D6" s="7" t="e">
        <v>#N/A</v>
      </c>
      <c r="E6" s="7">
        <f t="shared" si="0"/>
        <v>5335.6000000000013</v>
      </c>
      <c r="G6" s="63"/>
    </row>
    <row r="7" spans="1:7">
      <c r="A7" s="147">
        <v>1920</v>
      </c>
      <c r="B7" s="148">
        <v>6244</v>
      </c>
      <c r="C7" s="148">
        <v>5978</v>
      </c>
      <c r="D7" s="7" t="e">
        <v>#N/A</v>
      </c>
      <c r="E7" s="7">
        <f t="shared" si="0"/>
        <v>5464.0800000000017</v>
      </c>
      <c r="G7" s="63"/>
    </row>
    <row r="8" spans="1:7">
      <c r="A8" s="147">
        <v>1921</v>
      </c>
      <c r="B8" s="148">
        <v>5396</v>
      </c>
      <c r="C8" s="148">
        <v>6244</v>
      </c>
      <c r="D8" s="120">
        <f t="shared" ref="D8:D71" si="1">AVERAGE(B3:B7)</f>
        <v>5440.2</v>
      </c>
      <c r="E8" s="7">
        <f t="shared" si="0"/>
        <v>5620.0640000000021</v>
      </c>
      <c r="G8" s="63"/>
    </row>
    <row r="9" spans="1:7">
      <c r="A9" s="147">
        <v>1922</v>
      </c>
      <c r="B9" s="148">
        <v>7135</v>
      </c>
      <c r="C9" s="148">
        <v>5396</v>
      </c>
      <c r="D9" s="120">
        <f t="shared" si="1"/>
        <v>5370.8</v>
      </c>
      <c r="E9" s="7">
        <f t="shared" si="0"/>
        <v>5575.2512000000015</v>
      </c>
      <c r="G9" s="63"/>
    </row>
    <row r="10" spans="1:7">
      <c r="A10" s="147">
        <v>1923</v>
      </c>
      <c r="B10" s="148">
        <v>9139</v>
      </c>
      <c r="C10" s="148">
        <v>7135</v>
      </c>
      <c r="D10" s="120">
        <f t="shared" si="1"/>
        <v>5862.2</v>
      </c>
      <c r="E10" s="7">
        <f t="shared" si="0"/>
        <v>5887.200960000001</v>
      </c>
      <c r="G10" s="63"/>
    </row>
    <row r="11" spans="1:7">
      <c r="A11" s="147">
        <v>1924</v>
      </c>
      <c r="B11" s="148">
        <v>9191</v>
      </c>
      <c r="C11" s="148">
        <v>9139</v>
      </c>
      <c r="D11" s="120">
        <f t="shared" si="1"/>
        <v>6778.4</v>
      </c>
      <c r="E11" s="7">
        <f t="shared" si="0"/>
        <v>6537.5607680000012</v>
      </c>
      <c r="G11" s="63"/>
    </row>
    <row r="12" spans="1:7">
      <c r="A12" s="147">
        <v>1925</v>
      </c>
      <c r="B12" s="148">
        <v>8086</v>
      </c>
      <c r="C12" s="148">
        <v>9191</v>
      </c>
      <c r="D12" s="120">
        <f t="shared" si="1"/>
        <v>7421</v>
      </c>
      <c r="E12" s="7">
        <f t="shared" si="0"/>
        <v>7068.2486144000013</v>
      </c>
      <c r="G12" s="63"/>
    </row>
    <row r="13" spans="1:7">
      <c r="A13" s="147">
        <v>1926</v>
      </c>
      <c r="B13" s="148">
        <v>11347</v>
      </c>
      <c r="C13" s="148">
        <v>8086</v>
      </c>
      <c r="D13" s="120">
        <f t="shared" si="1"/>
        <v>7789.4</v>
      </c>
      <c r="E13" s="7">
        <f t="shared" si="0"/>
        <v>7271.7988915200012</v>
      </c>
      <c r="G13" s="63"/>
    </row>
    <row r="14" spans="1:7">
      <c r="A14" s="147">
        <v>1927</v>
      </c>
      <c r="B14" s="148">
        <v>14861</v>
      </c>
      <c r="C14" s="148">
        <v>11347</v>
      </c>
      <c r="D14" s="120">
        <f t="shared" si="1"/>
        <v>8979.6</v>
      </c>
      <c r="E14" s="7">
        <f t="shared" si="0"/>
        <v>8086.8391132160014</v>
      </c>
      <c r="G14" s="63"/>
    </row>
    <row r="15" spans="1:7">
      <c r="A15" s="147">
        <v>1928</v>
      </c>
      <c r="B15" s="148">
        <v>14854</v>
      </c>
      <c r="C15" s="148">
        <v>14861</v>
      </c>
      <c r="D15" s="120">
        <f t="shared" si="1"/>
        <v>10524.8</v>
      </c>
      <c r="E15" s="7">
        <f t="shared" si="0"/>
        <v>9441.6712905728018</v>
      </c>
      <c r="G15" s="63"/>
    </row>
    <row r="16" spans="1:7">
      <c r="A16" s="147">
        <v>1929</v>
      </c>
      <c r="B16" s="148">
        <v>19041</v>
      </c>
      <c r="C16" s="148">
        <v>14854</v>
      </c>
      <c r="D16" s="120">
        <f t="shared" si="1"/>
        <v>11667.8</v>
      </c>
      <c r="E16" s="7">
        <f t="shared" si="0"/>
        <v>10524.137032458242</v>
      </c>
      <c r="G16" s="63"/>
    </row>
    <row r="17" spans="1:7">
      <c r="A17" s="147">
        <v>1930</v>
      </c>
      <c r="B17" s="148">
        <v>18527</v>
      </c>
      <c r="C17" s="148">
        <v>19041</v>
      </c>
      <c r="D17" s="120">
        <f t="shared" si="1"/>
        <v>13637.8</v>
      </c>
      <c r="E17" s="7">
        <f t="shared" si="0"/>
        <v>12227.509625966595</v>
      </c>
      <c r="G17" s="63"/>
    </row>
    <row r="18" spans="1:7">
      <c r="A18" s="147">
        <v>1931</v>
      </c>
      <c r="B18" s="148">
        <v>14109</v>
      </c>
      <c r="C18" s="148">
        <v>18527</v>
      </c>
      <c r="D18" s="120">
        <f t="shared" si="1"/>
        <v>15726</v>
      </c>
      <c r="E18" s="7">
        <f t="shared" si="0"/>
        <v>13487.407700773276</v>
      </c>
      <c r="G18" s="63"/>
    </row>
    <row r="19" spans="1:7">
      <c r="A19" s="147">
        <v>1932</v>
      </c>
      <c r="B19" s="148">
        <v>12658</v>
      </c>
      <c r="C19" s="148">
        <v>14109</v>
      </c>
      <c r="D19" s="120">
        <f t="shared" si="1"/>
        <v>16278.4</v>
      </c>
      <c r="E19" s="7">
        <f t="shared" si="0"/>
        <v>13611.726160618622</v>
      </c>
      <c r="G19" s="63"/>
    </row>
    <row r="20" spans="1:7">
      <c r="A20" s="147">
        <v>1933</v>
      </c>
      <c r="B20" s="148">
        <v>7520</v>
      </c>
      <c r="C20" s="148">
        <v>12658</v>
      </c>
      <c r="D20" s="120">
        <f t="shared" si="1"/>
        <v>15837.8</v>
      </c>
      <c r="E20" s="7">
        <f t="shared" si="0"/>
        <v>13420.980928494899</v>
      </c>
      <c r="G20" s="63"/>
    </row>
    <row r="21" spans="1:7">
      <c r="A21" s="147">
        <v>1934</v>
      </c>
      <c r="B21" s="148">
        <v>9189</v>
      </c>
      <c r="C21" s="148">
        <v>7520</v>
      </c>
      <c r="D21" s="120">
        <f t="shared" si="1"/>
        <v>14371</v>
      </c>
      <c r="E21" s="7">
        <f t="shared" si="0"/>
        <v>12240.78474279592</v>
      </c>
      <c r="G21" s="63"/>
    </row>
    <row r="22" spans="1:7">
      <c r="A22" s="147">
        <v>1935</v>
      </c>
      <c r="B22" s="148">
        <v>8995</v>
      </c>
      <c r="C22" s="148">
        <v>9189</v>
      </c>
      <c r="D22" s="120">
        <f t="shared" si="1"/>
        <v>12400.6</v>
      </c>
      <c r="E22" s="7">
        <f t="shared" si="0"/>
        <v>11630.427794236737</v>
      </c>
      <c r="G22" s="63"/>
    </row>
    <row r="23" spans="1:7">
      <c r="A23" s="147">
        <v>1936</v>
      </c>
      <c r="B23" s="148">
        <v>9083</v>
      </c>
      <c r="C23" s="148">
        <v>8995</v>
      </c>
      <c r="D23" s="120">
        <f t="shared" si="1"/>
        <v>10494.2</v>
      </c>
      <c r="E23" s="7">
        <f t="shared" si="0"/>
        <v>11103.342235389389</v>
      </c>
      <c r="G23" s="63"/>
    </row>
    <row r="24" spans="1:7">
      <c r="A24" s="147">
        <v>1937</v>
      </c>
      <c r="B24" s="148">
        <v>11475</v>
      </c>
      <c r="C24" s="148">
        <v>9083</v>
      </c>
      <c r="D24" s="120">
        <f t="shared" si="1"/>
        <v>9489</v>
      </c>
      <c r="E24" s="7">
        <f t="shared" si="0"/>
        <v>10699.273788311511</v>
      </c>
      <c r="G24" s="63"/>
    </row>
    <row r="25" spans="1:7">
      <c r="A25" s="147">
        <v>1938</v>
      </c>
      <c r="B25" s="148">
        <v>12359</v>
      </c>
      <c r="C25" s="148">
        <v>11475</v>
      </c>
      <c r="D25" s="120">
        <f t="shared" si="1"/>
        <v>9252.4</v>
      </c>
      <c r="E25" s="7">
        <f t="shared" si="0"/>
        <v>10854.419030649209</v>
      </c>
      <c r="G25" s="63"/>
    </row>
    <row r="26" spans="1:7">
      <c r="A26" s="147">
        <v>1939</v>
      </c>
      <c r="B26" s="148">
        <v>9083</v>
      </c>
      <c r="C26" s="148">
        <v>12359</v>
      </c>
      <c r="D26" s="120">
        <f t="shared" si="1"/>
        <v>10220.200000000001</v>
      </c>
      <c r="E26" s="7">
        <f t="shared" si="0"/>
        <v>11155.335224519367</v>
      </c>
      <c r="G26" s="63"/>
    </row>
    <row r="27" spans="1:7">
      <c r="A27" s="147">
        <v>1940</v>
      </c>
      <c r="B27" s="148">
        <v>6946</v>
      </c>
      <c r="C27" s="148">
        <v>9083</v>
      </c>
      <c r="D27" s="120">
        <f t="shared" si="1"/>
        <v>10199</v>
      </c>
      <c r="E27" s="7">
        <f t="shared" si="0"/>
        <v>10740.868179615494</v>
      </c>
      <c r="G27" s="63"/>
    </row>
    <row r="28" spans="1:7">
      <c r="A28" s="147">
        <v>1941</v>
      </c>
      <c r="B28" s="148">
        <v>7080</v>
      </c>
      <c r="C28" s="148">
        <v>6946</v>
      </c>
      <c r="D28" s="120">
        <f t="shared" si="1"/>
        <v>9789.2000000000007</v>
      </c>
      <c r="E28" s="7">
        <f t="shared" si="0"/>
        <v>9981.8945436923968</v>
      </c>
      <c r="G28" s="63"/>
    </row>
    <row r="29" spans="1:7">
      <c r="A29" s="147">
        <v>1942</v>
      </c>
      <c r="B29" s="148">
        <v>7577</v>
      </c>
      <c r="C29" s="148">
        <v>7080</v>
      </c>
      <c r="D29" s="120">
        <f t="shared" si="1"/>
        <v>9388.6</v>
      </c>
      <c r="E29" s="7">
        <f t="shared" si="0"/>
        <v>9401.5156349539175</v>
      </c>
      <c r="G29" s="63"/>
    </row>
    <row r="30" spans="1:7">
      <c r="A30" s="147">
        <v>1943</v>
      </c>
      <c r="B30" s="148">
        <v>6777</v>
      </c>
      <c r="C30" s="148">
        <v>7577</v>
      </c>
      <c r="D30" s="120">
        <f t="shared" si="1"/>
        <v>8609</v>
      </c>
      <c r="E30" s="7">
        <f t="shared" si="0"/>
        <v>9036.6125079631347</v>
      </c>
      <c r="G30" s="63"/>
    </row>
    <row r="31" spans="1:7">
      <c r="A31" s="147">
        <v>1944</v>
      </c>
      <c r="B31" s="148">
        <v>8207</v>
      </c>
      <c r="C31" s="148">
        <v>6777</v>
      </c>
      <c r="D31" s="120">
        <f t="shared" si="1"/>
        <v>7492.6</v>
      </c>
      <c r="E31" s="7">
        <f t="shared" si="0"/>
        <v>8584.6900063705089</v>
      </c>
      <c r="G31" s="63"/>
    </row>
    <row r="32" spans="1:7">
      <c r="A32" s="147">
        <v>1945</v>
      </c>
      <c r="B32" s="148">
        <v>13637</v>
      </c>
      <c r="C32" s="148">
        <v>8207</v>
      </c>
      <c r="D32" s="120">
        <f t="shared" si="1"/>
        <v>7317.4</v>
      </c>
      <c r="E32" s="7">
        <f t="shared" si="0"/>
        <v>8509.1520050964082</v>
      </c>
      <c r="G32" s="63"/>
    </row>
    <row r="33" spans="1:7">
      <c r="A33" s="147">
        <v>1946</v>
      </c>
      <c r="B33" s="148">
        <v>17441</v>
      </c>
      <c r="C33" s="148">
        <v>13637</v>
      </c>
      <c r="D33" s="120">
        <f t="shared" si="1"/>
        <v>8655.6</v>
      </c>
      <c r="E33" s="7">
        <f t="shared" si="0"/>
        <v>9534.7216040771273</v>
      </c>
      <c r="G33" s="63"/>
    </row>
    <row r="34" spans="1:7">
      <c r="A34" s="147">
        <v>1947</v>
      </c>
      <c r="B34" s="148">
        <v>17266</v>
      </c>
      <c r="C34" s="148">
        <v>17441</v>
      </c>
      <c r="D34" s="120">
        <f t="shared" si="1"/>
        <v>10727.8</v>
      </c>
      <c r="E34" s="7">
        <f t="shared" si="0"/>
        <v>11115.977283261702</v>
      </c>
      <c r="G34" s="63"/>
    </row>
    <row r="35" spans="1:7">
      <c r="A35" s="147">
        <v>1948</v>
      </c>
      <c r="B35" s="148">
        <v>15869</v>
      </c>
      <c r="C35" s="148">
        <v>17266</v>
      </c>
      <c r="D35" s="120">
        <f t="shared" si="1"/>
        <v>12665.6</v>
      </c>
      <c r="E35" s="7">
        <f t="shared" si="0"/>
        <v>12345.981826609363</v>
      </c>
      <c r="G35" s="63"/>
    </row>
    <row r="36" spans="1:7">
      <c r="A36" s="147">
        <v>1949</v>
      </c>
      <c r="B36" s="148">
        <v>14846</v>
      </c>
      <c r="C36" s="148">
        <v>15869</v>
      </c>
      <c r="D36" s="120">
        <f t="shared" si="1"/>
        <v>14484</v>
      </c>
      <c r="E36" s="7">
        <f t="shared" si="0"/>
        <v>13050.58546128749</v>
      </c>
      <c r="G36" s="63"/>
    </row>
    <row r="37" spans="1:7">
      <c r="A37" s="147">
        <v>1950</v>
      </c>
      <c r="B37" s="148">
        <v>14948</v>
      </c>
      <c r="C37" s="148">
        <v>14846</v>
      </c>
      <c r="D37" s="120">
        <f t="shared" si="1"/>
        <v>15811.8</v>
      </c>
      <c r="E37" s="7">
        <f t="shared" si="0"/>
        <v>13409.668369029994</v>
      </c>
      <c r="G37" s="63"/>
    </row>
    <row r="38" spans="1:7">
      <c r="A38" s="147">
        <v>1951</v>
      </c>
      <c r="B38" s="148">
        <v>11616</v>
      </c>
      <c r="C38" s="148">
        <v>14948</v>
      </c>
      <c r="D38" s="120">
        <f t="shared" si="1"/>
        <v>16074</v>
      </c>
      <c r="E38" s="7">
        <f t="shared" si="0"/>
        <v>13717.334695223997</v>
      </c>
      <c r="G38" s="63"/>
    </row>
    <row r="39" spans="1:7">
      <c r="A39" s="147">
        <v>1952</v>
      </c>
      <c r="B39" s="148">
        <v>13309</v>
      </c>
      <c r="C39" s="148">
        <v>11616</v>
      </c>
      <c r="D39" s="120">
        <f t="shared" si="1"/>
        <v>14909</v>
      </c>
      <c r="E39" s="7">
        <f t="shared" si="0"/>
        <v>13297.0677561792</v>
      </c>
      <c r="G39" s="63"/>
    </row>
    <row r="40" spans="1:7">
      <c r="A40" s="147">
        <v>1953</v>
      </c>
      <c r="B40" s="148">
        <v>9918</v>
      </c>
      <c r="C40" s="148">
        <v>13309</v>
      </c>
      <c r="D40" s="120">
        <f t="shared" si="1"/>
        <v>14117.6</v>
      </c>
      <c r="E40" s="7">
        <f t="shared" si="0"/>
        <v>13299.454204943362</v>
      </c>
      <c r="G40" s="63"/>
    </row>
    <row r="41" spans="1:7">
      <c r="A41" s="147">
        <v>1954</v>
      </c>
      <c r="B41" s="148">
        <v>9717</v>
      </c>
      <c r="C41" s="148">
        <v>9918</v>
      </c>
      <c r="D41" s="120">
        <f t="shared" si="1"/>
        <v>12927.4</v>
      </c>
      <c r="E41" s="7">
        <f t="shared" si="0"/>
        <v>12623.163363954691</v>
      </c>
      <c r="G41" s="63"/>
    </row>
    <row r="42" spans="1:7">
      <c r="A42" s="147">
        <v>1955</v>
      </c>
      <c r="B42" s="148">
        <v>11374</v>
      </c>
      <c r="C42" s="148">
        <v>9717</v>
      </c>
      <c r="D42" s="120">
        <f t="shared" si="1"/>
        <v>11901.6</v>
      </c>
      <c r="E42" s="7">
        <f t="shared" si="0"/>
        <v>12041.930691163752</v>
      </c>
      <c r="G42" s="63"/>
    </row>
    <row r="43" spans="1:7">
      <c r="A43" s="147">
        <v>1956</v>
      </c>
      <c r="B43" s="148">
        <v>9001</v>
      </c>
      <c r="C43" s="148">
        <v>11374</v>
      </c>
      <c r="D43" s="120">
        <f t="shared" si="1"/>
        <v>11186.8</v>
      </c>
      <c r="E43" s="7">
        <f t="shared" si="0"/>
        <v>11908.344552931001</v>
      </c>
      <c r="G43" s="63"/>
    </row>
    <row r="44" spans="1:7">
      <c r="A44" s="147">
        <v>1957</v>
      </c>
      <c r="B44" s="148">
        <v>8598</v>
      </c>
      <c r="C44" s="148">
        <v>9001</v>
      </c>
      <c r="D44" s="120">
        <f t="shared" si="1"/>
        <v>10663.8</v>
      </c>
      <c r="E44" s="7">
        <f t="shared" si="0"/>
        <v>11326.875642344801</v>
      </c>
      <c r="G44" s="63"/>
    </row>
    <row r="45" spans="1:7">
      <c r="A45" s="147">
        <v>1958</v>
      </c>
      <c r="B45" s="148">
        <v>12726</v>
      </c>
      <c r="C45" s="148">
        <v>8598</v>
      </c>
      <c r="D45" s="120">
        <f t="shared" si="1"/>
        <v>9721.6</v>
      </c>
      <c r="E45" s="7">
        <f t="shared" si="0"/>
        <v>10781.100513875841</v>
      </c>
      <c r="G45" s="63"/>
    </row>
    <row r="46" spans="1:7">
      <c r="A46" s="147">
        <v>1959</v>
      </c>
      <c r="B46" s="148">
        <v>11146</v>
      </c>
      <c r="C46" s="148">
        <v>12726</v>
      </c>
      <c r="D46" s="120">
        <f t="shared" si="1"/>
        <v>10283.200000000001</v>
      </c>
      <c r="E46" s="7">
        <f t="shared" si="0"/>
        <v>11170.080411100675</v>
      </c>
      <c r="G46" s="63"/>
    </row>
    <row r="47" spans="1:7">
      <c r="A47" s="147">
        <v>1960</v>
      </c>
      <c r="B47" s="148">
        <v>10250</v>
      </c>
      <c r="C47" s="148">
        <v>11146</v>
      </c>
      <c r="D47" s="120">
        <f t="shared" si="1"/>
        <v>10569</v>
      </c>
      <c r="E47" s="7">
        <f t="shared" si="0"/>
        <v>11165.264328880541</v>
      </c>
      <c r="G47" s="63"/>
    </row>
    <row r="48" spans="1:7">
      <c r="A48" s="147">
        <v>1961</v>
      </c>
      <c r="B48" s="148">
        <v>8629</v>
      </c>
      <c r="C48" s="148">
        <v>10250</v>
      </c>
      <c r="D48" s="120">
        <f t="shared" si="1"/>
        <v>10344.200000000001</v>
      </c>
      <c r="E48" s="7">
        <f t="shared" si="0"/>
        <v>10982.211463104433</v>
      </c>
      <c r="G48" s="63"/>
    </row>
    <row r="49" spans="1:7">
      <c r="A49" s="147">
        <v>1962</v>
      </c>
      <c r="B49" s="148">
        <v>7528</v>
      </c>
      <c r="C49" s="148">
        <v>8629</v>
      </c>
      <c r="D49" s="120">
        <f t="shared" si="1"/>
        <v>10269.799999999999</v>
      </c>
      <c r="E49" s="7">
        <f t="shared" si="0"/>
        <v>10511.569170483548</v>
      </c>
      <c r="G49" s="63"/>
    </row>
    <row r="50" spans="1:7">
      <c r="A50" s="147">
        <v>1963</v>
      </c>
      <c r="B50" s="148">
        <v>12093</v>
      </c>
      <c r="C50" s="148">
        <v>7528</v>
      </c>
      <c r="D50" s="120">
        <f t="shared" si="1"/>
        <v>10055.799999999999</v>
      </c>
      <c r="E50" s="7">
        <f t="shared" si="0"/>
        <v>9914.8553363868396</v>
      </c>
      <c r="G50" s="63"/>
    </row>
    <row r="51" spans="1:7">
      <c r="A51" s="147">
        <v>1964</v>
      </c>
      <c r="B51" s="148">
        <v>9280</v>
      </c>
      <c r="C51" s="148">
        <v>12093</v>
      </c>
      <c r="D51" s="120">
        <f t="shared" si="1"/>
        <v>9929.2000000000007</v>
      </c>
      <c r="E51" s="7">
        <f t="shared" si="0"/>
        <v>10350.484269109473</v>
      </c>
      <c r="G51" s="63"/>
    </row>
    <row r="52" spans="1:7">
      <c r="A52" s="147">
        <v>1965</v>
      </c>
      <c r="B52" s="148">
        <v>7727</v>
      </c>
      <c r="C52" s="148">
        <v>9280</v>
      </c>
      <c r="D52" s="120">
        <f t="shared" si="1"/>
        <v>9556</v>
      </c>
      <c r="E52" s="7">
        <f t="shared" si="0"/>
        <v>10136.387415287578</v>
      </c>
      <c r="G52" s="63"/>
    </row>
    <row r="53" spans="1:7">
      <c r="A53" s="147">
        <v>1966</v>
      </c>
      <c r="B53" s="148">
        <v>7851</v>
      </c>
      <c r="C53" s="148">
        <v>7727</v>
      </c>
      <c r="D53" s="120">
        <f t="shared" si="1"/>
        <v>9051.4</v>
      </c>
      <c r="E53" s="7">
        <f t="shared" si="0"/>
        <v>9654.509932230063</v>
      </c>
      <c r="G53" s="63"/>
    </row>
    <row r="54" spans="1:7">
      <c r="A54" s="147">
        <v>1967</v>
      </c>
      <c r="B54" s="148">
        <v>11634</v>
      </c>
      <c r="C54" s="148">
        <v>7851</v>
      </c>
      <c r="D54" s="120">
        <f t="shared" si="1"/>
        <v>8895.7999999999993</v>
      </c>
      <c r="E54" s="7">
        <f t="shared" si="0"/>
        <v>9293.8079457840504</v>
      </c>
      <c r="G54" s="63"/>
    </row>
    <row r="55" spans="1:7">
      <c r="A55" s="147">
        <v>1968</v>
      </c>
      <c r="B55" s="148">
        <v>12725</v>
      </c>
      <c r="C55" s="148">
        <v>11634</v>
      </c>
      <c r="D55" s="120">
        <f t="shared" si="1"/>
        <v>9717</v>
      </c>
      <c r="E55" s="7">
        <f t="shared" si="0"/>
        <v>9761.8463566272403</v>
      </c>
      <c r="G55" s="63"/>
    </row>
    <row r="56" spans="1:7">
      <c r="A56" s="147">
        <v>1969</v>
      </c>
      <c r="B56" s="148">
        <v>20427</v>
      </c>
      <c r="C56" s="148">
        <v>12725</v>
      </c>
      <c r="D56" s="120">
        <f t="shared" si="1"/>
        <v>9843.4</v>
      </c>
      <c r="E56" s="7">
        <f t="shared" si="0"/>
        <v>10354.477085301793</v>
      </c>
      <c r="G56" s="63"/>
    </row>
    <row r="57" spans="1:7">
      <c r="A57" s="147">
        <v>1970</v>
      </c>
      <c r="B57" s="148">
        <v>20534</v>
      </c>
      <c r="C57" s="148">
        <v>20427</v>
      </c>
      <c r="D57" s="120">
        <f t="shared" si="1"/>
        <v>12072.8</v>
      </c>
      <c r="E57" s="7">
        <f t="shared" si="0"/>
        <v>12368.981668241435</v>
      </c>
      <c r="G57" s="63"/>
    </row>
    <row r="58" spans="1:7">
      <c r="A58" s="147">
        <v>1971</v>
      </c>
      <c r="B58" s="148">
        <v>20407</v>
      </c>
      <c r="C58" s="148">
        <v>20534</v>
      </c>
      <c r="D58" s="120">
        <f t="shared" si="1"/>
        <v>14634.2</v>
      </c>
      <c r="E58" s="7">
        <f t="shared" si="0"/>
        <v>14001.985334593148</v>
      </c>
      <c r="G58" s="63"/>
    </row>
    <row r="59" spans="1:7">
      <c r="A59" s="147">
        <v>1972</v>
      </c>
      <c r="B59" s="148">
        <v>16872</v>
      </c>
      <c r="C59" s="148">
        <v>20407</v>
      </c>
      <c r="D59" s="120">
        <f t="shared" si="1"/>
        <v>17145.400000000001</v>
      </c>
      <c r="E59" s="7">
        <f t="shared" si="0"/>
        <v>15282.988267674518</v>
      </c>
      <c r="G59" s="63"/>
    </row>
    <row r="60" spans="1:7">
      <c r="A60" s="147">
        <v>1973</v>
      </c>
      <c r="B60" s="148">
        <v>16896</v>
      </c>
      <c r="C60" s="148">
        <v>16872</v>
      </c>
      <c r="D60" s="120">
        <f t="shared" si="1"/>
        <v>18193</v>
      </c>
      <c r="E60" s="7">
        <f t="shared" si="0"/>
        <v>15600.790614139614</v>
      </c>
      <c r="G60" s="63"/>
    </row>
    <row r="61" spans="1:7">
      <c r="A61" s="147">
        <v>1974</v>
      </c>
      <c r="B61" s="148">
        <v>12536</v>
      </c>
      <c r="C61" s="148">
        <v>16896</v>
      </c>
      <c r="D61" s="120">
        <f t="shared" si="1"/>
        <v>19027.2</v>
      </c>
      <c r="E61" s="7">
        <f t="shared" si="0"/>
        <v>15859.832491311692</v>
      </c>
      <c r="G61" s="63"/>
    </row>
    <row r="62" spans="1:7">
      <c r="A62" s="147">
        <v>1975</v>
      </c>
      <c r="B62" s="148">
        <v>12776</v>
      </c>
      <c r="C62" s="148">
        <v>12536</v>
      </c>
      <c r="D62" s="120">
        <f t="shared" si="1"/>
        <v>17449</v>
      </c>
      <c r="E62" s="7">
        <f t="shared" si="0"/>
        <v>15195.065993049355</v>
      </c>
      <c r="G62" s="63"/>
    </row>
    <row r="63" spans="1:7">
      <c r="A63" s="147">
        <v>1976</v>
      </c>
      <c r="B63" s="148">
        <v>12669</v>
      </c>
      <c r="C63" s="148">
        <v>12776</v>
      </c>
      <c r="D63" s="120">
        <f t="shared" si="1"/>
        <v>15897.4</v>
      </c>
      <c r="E63" s="7">
        <f t="shared" si="0"/>
        <v>14711.252794439486</v>
      </c>
      <c r="G63" s="63"/>
    </row>
    <row r="64" spans="1:7">
      <c r="A64" s="147">
        <v>1977</v>
      </c>
      <c r="B64" s="148">
        <v>17776</v>
      </c>
      <c r="C64" s="148">
        <v>12669</v>
      </c>
      <c r="D64" s="120">
        <f t="shared" si="1"/>
        <v>14349.8</v>
      </c>
      <c r="E64" s="7">
        <f t="shared" si="0"/>
        <v>14302.80223555159</v>
      </c>
      <c r="G64" s="63"/>
    </row>
    <row r="65" spans="1:7">
      <c r="A65" s="147">
        <v>1978</v>
      </c>
      <c r="B65" s="148">
        <v>18601</v>
      </c>
      <c r="C65" s="148">
        <v>17776</v>
      </c>
      <c r="D65" s="120">
        <f t="shared" si="1"/>
        <v>14530.6</v>
      </c>
      <c r="E65" s="7">
        <f t="shared" si="0"/>
        <v>14997.441788441272</v>
      </c>
      <c r="G65" s="63"/>
    </row>
    <row r="66" spans="1:7">
      <c r="A66" s="147">
        <v>1979</v>
      </c>
      <c r="B66" s="148">
        <v>20353</v>
      </c>
      <c r="C66" s="148">
        <v>18601</v>
      </c>
      <c r="D66" s="120">
        <f t="shared" si="1"/>
        <v>14871.6</v>
      </c>
      <c r="E66" s="7">
        <f t="shared" si="0"/>
        <v>15718.15343075302</v>
      </c>
      <c r="G66" s="63"/>
    </row>
    <row r="67" spans="1:7">
      <c r="A67" s="147">
        <v>1980</v>
      </c>
      <c r="B67" s="148">
        <v>14898</v>
      </c>
      <c r="C67" s="148">
        <v>20353</v>
      </c>
      <c r="D67" s="120">
        <f t="shared" si="1"/>
        <v>16435</v>
      </c>
      <c r="E67" s="7">
        <f t="shared" si="0"/>
        <v>16645.122744602417</v>
      </c>
      <c r="G67" s="63"/>
    </row>
    <row r="68" spans="1:7">
      <c r="A68" s="147">
        <v>1981</v>
      </c>
      <c r="B68" s="148">
        <v>9752</v>
      </c>
      <c r="C68" s="148">
        <v>14898</v>
      </c>
      <c r="D68" s="120">
        <f t="shared" si="1"/>
        <v>16859.400000000001</v>
      </c>
      <c r="E68" s="7">
        <f t="shared" si="0"/>
        <v>16295.698195681935</v>
      </c>
      <c r="G68" s="63"/>
    </row>
    <row r="69" spans="1:7">
      <c r="A69" s="147">
        <v>1982</v>
      </c>
      <c r="B69" s="148">
        <v>15423</v>
      </c>
      <c r="C69" s="148">
        <v>9752</v>
      </c>
      <c r="D69" s="120">
        <f t="shared" si="1"/>
        <v>16276</v>
      </c>
      <c r="E69" s="7">
        <f t="shared" ref="E69:E95" si="2">0.2*B68+0.8*E68</f>
        <v>14986.958556545547</v>
      </c>
      <c r="G69" s="63"/>
    </row>
    <row r="70" spans="1:7">
      <c r="A70" s="147">
        <v>1983</v>
      </c>
      <c r="B70" s="148">
        <v>18268</v>
      </c>
      <c r="C70" s="148">
        <v>15423</v>
      </c>
      <c r="D70" s="120">
        <f t="shared" si="1"/>
        <v>15805.4</v>
      </c>
      <c r="E70" s="7">
        <f t="shared" si="2"/>
        <v>15074.166845236439</v>
      </c>
      <c r="G70" s="63"/>
    </row>
    <row r="71" spans="1:7">
      <c r="A71" s="147">
        <v>1984</v>
      </c>
      <c r="B71" s="148">
        <v>26346</v>
      </c>
      <c r="C71" s="148">
        <v>18268</v>
      </c>
      <c r="D71" s="120">
        <f t="shared" si="1"/>
        <v>15738.8</v>
      </c>
      <c r="E71" s="7">
        <f t="shared" si="2"/>
        <v>15712.933476189153</v>
      </c>
      <c r="G71" s="63"/>
    </row>
    <row r="72" spans="1:7">
      <c r="A72" s="147">
        <v>1985</v>
      </c>
      <c r="B72" s="148">
        <v>26686</v>
      </c>
      <c r="C72" s="148">
        <v>26346</v>
      </c>
      <c r="D72" s="120">
        <f t="shared" ref="D72:D95" si="3">AVERAGE(B67:B71)</f>
        <v>16937.400000000001</v>
      </c>
      <c r="E72" s="7">
        <f t="shared" si="2"/>
        <v>17839.546780951325</v>
      </c>
      <c r="G72" s="63"/>
    </row>
    <row r="73" spans="1:7">
      <c r="A73" s="147">
        <v>1986</v>
      </c>
      <c r="B73" s="148">
        <v>23239</v>
      </c>
      <c r="C73" s="148">
        <v>26686</v>
      </c>
      <c r="D73" s="120">
        <f t="shared" si="3"/>
        <v>19295</v>
      </c>
      <c r="E73" s="7">
        <f t="shared" si="2"/>
        <v>19608.837424761063</v>
      </c>
      <c r="G73" s="63"/>
    </row>
    <row r="74" spans="1:7">
      <c r="A74" s="147">
        <v>1987</v>
      </c>
      <c r="B74" s="148">
        <v>25439</v>
      </c>
      <c r="C74" s="148">
        <v>23239</v>
      </c>
      <c r="D74" s="120">
        <f t="shared" si="3"/>
        <v>21992.400000000001</v>
      </c>
      <c r="E74" s="7">
        <f t="shared" si="2"/>
        <v>20334.86993980885</v>
      </c>
      <c r="G74" s="63"/>
    </row>
    <row r="75" spans="1:7">
      <c r="A75" s="147">
        <v>1988</v>
      </c>
      <c r="B75" s="148">
        <v>25476</v>
      </c>
      <c r="C75" s="148">
        <v>25439</v>
      </c>
      <c r="D75" s="120">
        <f t="shared" si="3"/>
        <v>23995.599999999999</v>
      </c>
      <c r="E75" s="7">
        <f t="shared" si="2"/>
        <v>21355.695951847079</v>
      </c>
      <c r="G75" s="63"/>
    </row>
    <row r="76" spans="1:7">
      <c r="A76" s="147">
        <v>1989</v>
      </c>
      <c r="B76" s="148">
        <v>30765</v>
      </c>
      <c r="C76" s="148">
        <v>25476</v>
      </c>
      <c r="D76" s="120">
        <f t="shared" si="3"/>
        <v>25437.200000000001</v>
      </c>
      <c r="E76" s="7">
        <f t="shared" si="2"/>
        <v>22179.756761477664</v>
      </c>
      <c r="G76" s="63"/>
    </row>
    <row r="77" spans="1:7">
      <c r="A77" s="147">
        <v>1990</v>
      </c>
      <c r="B77" s="148">
        <v>27701</v>
      </c>
      <c r="C77" s="148">
        <v>30765</v>
      </c>
      <c r="D77" s="120">
        <f t="shared" si="3"/>
        <v>26321</v>
      </c>
      <c r="E77" s="7">
        <f t="shared" si="2"/>
        <v>23896.805409182132</v>
      </c>
      <c r="G77" s="63"/>
    </row>
    <row r="78" spans="1:7">
      <c r="A78" s="147">
        <v>1991</v>
      </c>
      <c r="B78" s="148">
        <v>27883</v>
      </c>
      <c r="C78" s="148">
        <v>27701</v>
      </c>
      <c r="D78" s="120">
        <f t="shared" si="3"/>
        <v>26524</v>
      </c>
      <c r="E78" s="7">
        <f t="shared" si="2"/>
        <v>24657.644327345708</v>
      </c>
      <c r="G78" s="63"/>
    </row>
    <row r="79" spans="1:7">
      <c r="A79" s="147">
        <v>1992</v>
      </c>
      <c r="B79" s="148">
        <v>26256</v>
      </c>
      <c r="C79" s="148">
        <v>27883</v>
      </c>
      <c r="D79" s="120">
        <f t="shared" si="3"/>
        <v>27452.799999999999</v>
      </c>
      <c r="E79" s="7">
        <f t="shared" si="2"/>
        <v>25302.715461876571</v>
      </c>
      <c r="G79" s="63"/>
    </row>
    <row r="80" spans="1:7">
      <c r="A80" s="147">
        <v>1993</v>
      </c>
      <c r="B80" s="148">
        <v>32363</v>
      </c>
      <c r="C80" s="148">
        <v>26256</v>
      </c>
      <c r="D80" s="120">
        <f t="shared" si="3"/>
        <v>27616.2</v>
      </c>
      <c r="E80" s="7">
        <f t="shared" si="2"/>
        <v>25493.37236950126</v>
      </c>
      <c r="G80" s="63"/>
    </row>
    <row r="81" spans="1:7">
      <c r="A81" s="147">
        <v>1994</v>
      </c>
      <c r="B81" s="148">
        <v>31275</v>
      </c>
      <c r="C81" s="148">
        <v>32363</v>
      </c>
      <c r="D81" s="120">
        <f t="shared" si="3"/>
        <v>28993.599999999999</v>
      </c>
      <c r="E81" s="7">
        <f t="shared" si="2"/>
        <v>26867.297895601012</v>
      </c>
      <c r="G81" s="63"/>
    </row>
    <row r="82" spans="1:7">
      <c r="A82" s="147">
        <v>1995</v>
      </c>
      <c r="B82" s="148">
        <v>26643</v>
      </c>
      <c r="C82" s="148">
        <v>31275</v>
      </c>
      <c r="D82" s="120">
        <f t="shared" si="3"/>
        <v>29095.599999999999</v>
      </c>
      <c r="E82" s="7">
        <f t="shared" si="2"/>
        <v>27748.838316480811</v>
      </c>
      <c r="G82" s="63"/>
    </row>
    <row r="83" spans="1:7">
      <c r="A83" s="147">
        <v>1996</v>
      </c>
      <c r="B83" s="148">
        <v>27396</v>
      </c>
      <c r="C83" s="148">
        <v>26643</v>
      </c>
      <c r="D83" s="120">
        <f t="shared" si="3"/>
        <v>28884</v>
      </c>
      <c r="E83" s="7">
        <f t="shared" si="2"/>
        <v>27527.67065318465</v>
      </c>
      <c r="G83" s="63"/>
    </row>
    <row r="84" spans="1:7">
      <c r="A84" s="147">
        <v>1997</v>
      </c>
      <c r="B84" s="148">
        <v>27041</v>
      </c>
      <c r="C84" s="148">
        <v>27396</v>
      </c>
      <c r="D84" s="120">
        <f t="shared" si="3"/>
        <v>28786.6</v>
      </c>
      <c r="E84" s="7">
        <f t="shared" si="2"/>
        <v>27501.336522547721</v>
      </c>
      <c r="G84" s="63"/>
    </row>
    <row r="85" spans="1:7">
      <c r="A85" s="147">
        <v>1998</v>
      </c>
      <c r="B85" s="148">
        <v>31990</v>
      </c>
      <c r="C85" s="148">
        <v>27041</v>
      </c>
      <c r="D85" s="120">
        <f t="shared" si="3"/>
        <v>28943.599999999999</v>
      </c>
      <c r="E85" s="7">
        <f t="shared" si="2"/>
        <v>27409.269218038178</v>
      </c>
      <c r="G85" s="63"/>
    </row>
    <row r="86" spans="1:7">
      <c r="A86" s="147">
        <v>1999</v>
      </c>
      <c r="B86" s="148">
        <v>34739</v>
      </c>
      <c r="C86" s="148">
        <v>31990</v>
      </c>
      <c r="D86" s="120">
        <f t="shared" si="3"/>
        <v>28869</v>
      </c>
      <c r="E86" s="7">
        <f t="shared" si="2"/>
        <v>28325.415374430544</v>
      </c>
      <c r="G86" s="63"/>
    </row>
    <row r="87" spans="1:7">
      <c r="A87" s="147">
        <v>2000</v>
      </c>
      <c r="B87" s="148">
        <v>34438</v>
      </c>
      <c r="C87" s="148">
        <v>34739</v>
      </c>
      <c r="D87" s="120">
        <f t="shared" si="3"/>
        <v>29561.8</v>
      </c>
      <c r="E87" s="7">
        <f t="shared" si="2"/>
        <v>29608.132299544435</v>
      </c>
      <c r="G87" s="63"/>
    </row>
    <row r="88" spans="1:7">
      <c r="A88" s="147">
        <v>2001</v>
      </c>
      <c r="B88" s="148">
        <v>34314</v>
      </c>
      <c r="C88" s="148">
        <v>34438</v>
      </c>
      <c r="D88" s="120">
        <f t="shared" si="3"/>
        <v>31120.799999999999</v>
      </c>
      <c r="E88" s="7">
        <f t="shared" si="2"/>
        <v>30574.105839635551</v>
      </c>
      <c r="G88" s="63"/>
    </row>
    <row r="89" spans="1:7">
      <c r="A89" s="147">
        <v>2002</v>
      </c>
      <c r="B89" s="148">
        <v>33248</v>
      </c>
      <c r="C89" s="148">
        <v>34314</v>
      </c>
      <c r="D89" s="120">
        <f t="shared" si="3"/>
        <v>32504.400000000001</v>
      </c>
      <c r="E89" s="7">
        <f t="shared" si="2"/>
        <v>31322.084671708442</v>
      </c>
      <c r="G89" s="63"/>
    </row>
    <row r="90" spans="1:7">
      <c r="A90" s="147">
        <v>2003</v>
      </c>
      <c r="B90" s="148">
        <v>36576</v>
      </c>
      <c r="C90" s="148">
        <v>33248</v>
      </c>
      <c r="D90" s="120">
        <f t="shared" si="3"/>
        <v>33745.800000000003</v>
      </c>
      <c r="E90" s="7">
        <f t="shared" si="2"/>
        <v>31707.267737366754</v>
      </c>
      <c r="G90" s="63"/>
    </row>
    <row r="91" spans="1:7">
      <c r="A91" s="147">
        <v>2004</v>
      </c>
      <c r="B91" s="148">
        <v>38660</v>
      </c>
      <c r="C91" s="148">
        <v>36576</v>
      </c>
      <c r="D91" s="120">
        <f t="shared" si="3"/>
        <v>34663</v>
      </c>
      <c r="E91" s="7">
        <f t="shared" si="2"/>
        <v>32681.014189893405</v>
      </c>
      <c r="G91" s="63"/>
    </row>
    <row r="92" spans="1:7">
      <c r="A92" s="147">
        <v>2005</v>
      </c>
      <c r="B92" s="148">
        <v>38272</v>
      </c>
      <c r="C92" s="148">
        <v>38660</v>
      </c>
      <c r="D92" s="120">
        <f t="shared" si="3"/>
        <v>35447.199999999997</v>
      </c>
      <c r="E92" s="7">
        <f t="shared" si="2"/>
        <v>33876.81135191473</v>
      </c>
      <c r="G92" s="63"/>
    </row>
    <row r="93" spans="1:7">
      <c r="A93" s="147">
        <v>2006</v>
      </c>
      <c r="B93" s="148">
        <v>38558</v>
      </c>
      <c r="C93" s="148">
        <v>38272</v>
      </c>
      <c r="D93" s="120">
        <f t="shared" si="3"/>
        <v>36214</v>
      </c>
      <c r="E93" s="7">
        <f t="shared" si="2"/>
        <v>34755.849081531785</v>
      </c>
      <c r="G93" s="63"/>
    </row>
    <row r="94" spans="1:7" ht="15.75" thickBot="1">
      <c r="A94" s="147">
        <v>2007</v>
      </c>
      <c r="B94" s="148">
        <v>40154</v>
      </c>
      <c r="C94" s="148">
        <v>38558</v>
      </c>
      <c r="D94" s="120">
        <f t="shared" si="3"/>
        <v>37062.800000000003</v>
      </c>
      <c r="E94" s="7">
        <f t="shared" si="2"/>
        <v>35516.279265225428</v>
      </c>
      <c r="F94" t="s">
        <v>269</v>
      </c>
      <c r="G94" s="63"/>
    </row>
    <row r="95" spans="1:7">
      <c r="A95" s="147">
        <v>2008</v>
      </c>
      <c r="B95" s="7" t="s">
        <v>270</v>
      </c>
      <c r="C95" s="7">
        <v>40154</v>
      </c>
      <c r="D95" s="150">
        <f t="shared" si="3"/>
        <v>38444</v>
      </c>
      <c r="E95" s="151">
        <f t="shared" si="2"/>
        <v>36443.823412180347</v>
      </c>
      <c r="G95" s="63"/>
    </row>
    <row r="96" spans="1:7">
      <c r="D96" s="152" t="s">
        <v>271</v>
      </c>
      <c r="E96" s="153" t="s">
        <v>272</v>
      </c>
    </row>
    <row r="97" spans="1:5" ht="15.75" thickBot="1">
      <c r="D97" s="154" t="s">
        <v>273</v>
      </c>
      <c r="E97" s="155" t="s">
        <v>274</v>
      </c>
    </row>
    <row r="99" spans="1:5">
      <c r="A99" s="78" t="s">
        <v>275</v>
      </c>
    </row>
    <row r="100" spans="1:5">
      <c r="A100" s="7" t="s">
        <v>276</v>
      </c>
    </row>
    <row r="101" spans="1:5">
      <c r="A101" s="7" t="s">
        <v>277</v>
      </c>
    </row>
    <row r="103" spans="1:5">
      <c r="A103" s="7" t="s">
        <v>217</v>
      </c>
    </row>
    <row r="104" spans="1:5" ht="15.75" thickBot="1"/>
    <row r="105" spans="1:5">
      <c r="A105" s="134" t="s">
        <v>218</v>
      </c>
      <c r="B105" s="134"/>
    </row>
    <row r="106" spans="1:5">
      <c r="A106" s="7" t="s">
        <v>219</v>
      </c>
      <c r="B106" s="7">
        <v>0.95588389561358478</v>
      </c>
    </row>
    <row r="107" spans="1:5">
      <c r="A107" s="7" t="s">
        <v>220</v>
      </c>
      <c r="B107" s="7">
        <v>0.91371402189340256</v>
      </c>
    </row>
    <row r="108" spans="1:5">
      <c r="A108" s="7" t="s">
        <v>221</v>
      </c>
      <c r="B108" s="7">
        <v>0.91274451652141841</v>
      </c>
    </row>
    <row r="109" spans="1:5">
      <c r="A109" s="7" t="s">
        <v>222</v>
      </c>
      <c r="B109" s="7">
        <v>2836.8725631899611</v>
      </c>
    </row>
    <row r="110" spans="1:5" ht="15.75" thickBot="1">
      <c r="A110" s="156" t="s">
        <v>223</v>
      </c>
      <c r="B110" s="156">
        <v>91</v>
      </c>
    </row>
    <row r="112" spans="1:5" ht="15.75" thickBot="1">
      <c r="A112" s="7" t="s">
        <v>224</v>
      </c>
    </row>
    <row r="113" spans="1:9">
      <c r="A113" s="134"/>
      <c r="B113" s="134" t="s">
        <v>225</v>
      </c>
      <c r="C113" s="134" t="s">
        <v>226</v>
      </c>
      <c r="D113" s="134" t="s">
        <v>227</v>
      </c>
      <c r="E113" s="134" t="s">
        <v>228</v>
      </c>
      <c r="F113" s="134" t="s">
        <v>229</v>
      </c>
    </row>
    <row r="114" spans="1:9">
      <c r="A114" s="7" t="s">
        <v>230</v>
      </c>
      <c r="B114" s="7">
        <v>1</v>
      </c>
      <c r="C114" s="7">
        <v>7584722987.3156261</v>
      </c>
      <c r="D114" s="7">
        <v>7584722987.3156261</v>
      </c>
      <c r="E114" s="7">
        <v>942.45379994475707</v>
      </c>
      <c r="F114">
        <v>3.9310678290548064E-49</v>
      </c>
    </row>
    <row r="115" spans="1:9">
      <c r="A115" s="7" t="s">
        <v>231</v>
      </c>
      <c r="B115" s="7">
        <v>89</v>
      </c>
      <c r="C115" s="7">
        <v>716258288.64041817</v>
      </c>
      <c r="D115" s="7">
        <v>8047845.9397799792</v>
      </c>
    </row>
    <row r="116" spans="1:9" ht="15.75" thickBot="1">
      <c r="A116" s="156" t="s">
        <v>91</v>
      </c>
      <c r="B116" s="156">
        <v>90</v>
      </c>
      <c r="C116" s="156">
        <v>8300981275.9560442</v>
      </c>
      <c r="D116" s="156"/>
      <c r="E116" s="156"/>
      <c r="F116" s="121"/>
    </row>
    <row r="117" spans="1:9" ht="15.75" thickBot="1"/>
    <row r="118" spans="1:9">
      <c r="A118" s="134"/>
      <c r="B118" s="134" t="s">
        <v>233</v>
      </c>
      <c r="C118" s="134" t="s">
        <v>222</v>
      </c>
      <c r="D118" s="134" t="s">
        <v>234</v>
      </c>
      <c r="E118" s="134" t="s">
        <v>235</v>
      </c>
      <c r="F118" s="134" t="s">
        <v>236</v>
      </c>
      <c r="G118" s="134" t="s">
        <v>237</v>
      </c>
      <c r="H118" s="134" t="s">
        <v>238</v>
      </c>
      <c r="I118" s="134" t="s">
        <v>239</v>
      </c>
    </row>
    <row r="119" spans="1:9">
      <c r="A119" s="157" t="s">
        <v>240</v>
      </c>
      <c r="B119" s="157">
        <v>686.99136440937582</v>
      </c>
      <c r="C119" s="7">
        <v>607.64409079617747</v>
      </c>
      <c r="D119" s="7">
        <v>1.1305818238259044</v>
      </c>
      <c r="E119" s="7">
        <v>0.2612686872015576</v>
      </c>
      <c r="F119">
        <v>-520.38450088349191</v>
      </c>
      <c r="G119">
        <v>1894.3672297022435</v>
      </c>
      <c r="H119">
        <v>-520.38450088349191</v>
      </c>
      <c r="I119">
        <v>1894.3672297022435</v>
      </c>
    </row>
    <row r="120" spans="1:9" ht="15.75" thickBot="1">
      <c r="A120" s="158" t="s">
        <v>278</v>
      </c>
      <c r="B120" s="158">
        <v>0.9813682364421038</v>
      </c>
      <c r="C120" s="156">
        <v>3.1967005982047367E-2</v>
      </c>
      <c r="D120" s="156">
        <v>30.699410416891688</v>
      </c>
      <c r="E120" s="156">
        <v>3.931067829054694E-49</v>
      </c>
      <c r="F120" s="121">
        <v>0.9178504764687857</v>
      </c>
      <c r="G120" s="121">
        <v>1.044885996415422</v>
      </c>
      <c r="H120" s="121">
        <v>0.9178504764687857</v>
      </c>
      <c r="I120" s="121">
        <v>1.044885996415422</v>
      </c>
    </row>
    <row r="122" spans="1:9">
      <c r="A122" s="7" t="s">
        <v>279</v>
      </c>
    </row>
    <row r="123" spans="1:9">
      <c r="A123" s="159" t="s">
        <v>280</v>
      </c>
      <c r="B123" s="7">
        <v>40154</v>
      </c>
    </row>
    <row r="124" spans="1:9" ht="15.75" thickBot="1">
      <c r="A124" s="7" t="s">
        <v>281</v>
      </c>
    </row>
    <row r="125" spans="1:9" ht="15.75" thickBot="1">
      <c r="A125" s="7" t="s">
        <v>282</v>
      </c>
      <c r="B125" s="160">
        <f>686.991364+0.98136824*(40154)</f>
        <v>40092.851672960001</v>
      </c>
      <c r="C125" s="128" t="s">
        <v>283</v>
      </c>
      <c r="D125" s="12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EA2F-30D6-4075-836E-964211895D69}">
  <sheetPr>
    <pageSetUpPr fitToPage="1"/>
  </sheetPr>
  <dimension ref="A1:R31"/>
  <sheetViews>
    <sheetView tabSelected="1" workbookViewId="0">
      <selection activeCell="I35" sqref="I35"/>
    </sheetView>
  </sheetViews>
  <sheetFormatPr defaultColWidth="8.85546875" defaultRowHeight="12.75"/>
  <cols>
    <col min="1" max="1" width="11.28515625" style="165" customWidth="1"/>
    <col min="2" max="2" width="8.140625" style="164" customWidth="1"/>
    <col min="3" max="3" width="5.7109375" style="164" bestFit="1" customWidth="1"/>
    <col min="4" max="4" width="7.140625" style="164" customWidth="1"/>
    <col min="5" max="5" width="7.42578125" style="164" customWidth="1"/>
    <col min="6" max="6" width="7.7109375" style="164" customWidth="1"/>
    <col min="7" max="10" width="8.85546875" style="164"/>
    <col min="11" max="11" width="1.85546875" style="164" customWidth="1"/>
    <col min="12" max="12" width="10.42578125" style="164" bestFit="1" customWidth="1"/>
    <col min="13" max="13" width="10.85546875" style="164" bestFit="1" customWidth="1"/>
    <col min="14" max="14" width="10.42578125" style="164" customWidth="1"/>
    <col min="15" max="16384" width="8.85546875" style="164"/>
  </cols>
  <sheetData>
    <row r="1" spans="1:18" s="162" customFormat="1" ht="18.75">
      <c r="A1" s="161" t="s">
        <v>284</v>
      </c>
    </row>
    <row r="2" spans="1:18" s="162" customFormat="1" ht="18.75">
      <c r="A2" s="161" t="s">
        <v>285</v>
      </c>
    </row>
    <row r="3" spans="1:18" ht="12" customHeight="1">
      <c r="A3" s="163"/>
    </row>
    <row r="4" spans="1:18" ht="13.5" thickBot="1">
      <c r="A4" s="165" t="s">
        <v>286</v>
      </c>
      <c r="G4" s="166" t="s">
        <v>287</v>
      </c>
      <c r="K4" s="167"/>
      <c r="M4" s="166" t="s">
        <v>288</v>
      </c>
      <c r="R4" s="164" t="s">
        <v>289</v>
      </c>
    </row>
    <row r="5" spans="1:18">
      <c r="B5" s="226" t="s">
        <v>290</v>
      </c>
      <c r="C5" s="227"/>
      <c r="D5" s="228"/>
      <c r="E5" s="229" t="s">
        <v>291</v>
      </c>
      <c r="F5" s="229"/>
      <c r="H5" s="168" t="s">
        <v>292</v>
      </c>
      <c r="K5" s="167"/>
      <c r="N5" s="168" t="s">
        <v>292</v>
      </c>
    </row>
    <row r="6" spans="1:18" ht="13.5" thickBot="1">
      <c r="A6" s="169" t="s">
        <v>290</v>
      </c>
      <c r="B6" s="170">
        <v>1</v>
      </c>
      <c r="C6" s="169">
        <v>2</v>
      </c>
      <c r="D6" s="171">
        <v>3</v>
      </c>
      <c r="G6" s="172" t="s">
        <v>293</v>
      </c>
      <c r="H6" s="173" t="s">
        <v>294</v>
      </c>
      <c r="I6" s="172" t="s">
        <v>295</v>
      </c>
      <c r="J6" s="172" t="s">
        <v>296</v>
      </c>
      <c r="K6" s="174"/>
      <c r="L6" s="175"/>
      <c r="M6" s="176" t="s">
        <v>297</v>
      </c>
      <c r="N6" s="177" t="s">
        <v>298</v>
      </c>
      <c r="O6" s="172" t="s">
        <v>295</v>
      </c>
      <c r="P6" s="172" t="s">
        <v>296</v>
      </c>
    </row>
    <row r="7" spans="1:18">
      <c r="A7" s="165" t="s">
        <v>299</v>
      </c>
      <c r="B7" s="178">
        <v>10.4</v>
      </c>
      <c r="C7" s="164">
        <v>10.42</v>
      </c>
      <c r="D7" s="179">
        <v>10.44</v>
      </c>
      <c r="G7" s="180">
        <f>MAX(B7:D7)-MIN(B7:D7)</f>
        <v>3.9999999999999147E-2</v>
      </c>
      <c r="H7" s="181">
        <f>G27</f>
        <v>4.650000000000043E-2</v>
      </c>
      <c r="I7" s="181">
        <f>$H$29</f>
        <v>0.1195050000000011</v>
      </c>
      <c r="J7" s="164">
        <v>0</v>
      </c>
      <c r="K7" s="167"/>
      <c r="M7" s="180">
        <f>AVERAGE(B7:D7)</f>
        <v>10.42</v>
      </c>
      <c r="N7" s="181">
        <f>$M$27</f>
        <v>10.320333333333332</v>
      </c>
      <c r="O7" s="181">
        <f>$N$29</f>
        <v>10.367763333333333</v>
      </c>
      <c r="P7" s="181">
        <f>$N$30</f>
        <v>10.272903333333332</v>
      </c>
    </row>
    <row r="8" spans="1:18">
      <c r="A8" s="165" t="s">
        <v>300</v>
      </c>
      <c r="B8" s="178">
        <v>10.3</v>
      </c>
      <c r="C8" s="164">
        <v>10.36</v>
      </c>
      <c r="D8" s="179">
        <v>10.35</v>
      </c>
      <c r="G8" s="180">
        <f t="shared" ref="G8:G26" si="0">MAX(B8:D8)-MIN(B8:D8)</f>
        <v>5.9999999999998721E-2</v>
      </c>
      <c r="H8" s="181">
        <v>4.650000000000043E-2</v>
      </c>
      <c r="I8" s="181">
        <f t="shared" ref="I8:I26" si="1">$H$29</f>
        <v>0.1195050000000011</v>
      </c>
      <c r="J8" s="164">
        <v>0</v>
      </c>
      <c r="K8" s="167"/>
      <c r="M8" s="180">
        <f t="shared" ref="M8:M26" si="2">AVERAGE(B8:D8)</f>
        <v>10.336666666666666</v>
      </c>
      <c r="N8" s="181">
        <f t="shared" ref="N8:N26" si="3">$M$27</f>
        <v>10.320333333333332</v>
      </c>
      <c r="O8" s="181">
        <f t="shared" ref="O8:O26" si="4">$N$29</f>
        <v>10.367763333333333</v>
      </c>
      <c r="P8" s="181">
        <f t="shared" ref="P8:P26" si="5">$N$30</f>
        <v>10.272903333333332</v>
      </c>
    </row>
    <row r="9" spans="1:18">
      <c r="A9" s="165" t="s">
        <v>301</v>
      </c>
      <c r="B9" s="178">
        <v>10.199999999999999</v>
      </c>
      <c r="C9" s="164">
        <v>10.24</v>
      </c>
      <c r="D9" s="179">
        <v>10.210000000000001</v>
      </c>
      <c r="G9" s="180">
        <f t="shared" si="0"/>
        <v>4.0000000000000924E-2</v>
      </c>
      <c r="H9" s="181">
        <v>4.650000000000043E-2</v>
      </c>
      <c r="I9" s="181">
        <f t="shared" si="1"/>
        <v>0.1195050000000011</v>
      </c>
      <c r="J9" s="164">
        <v>0</v>
      </c>
      <c r="K9" s="167"/>
      <c r="M9" s="180">
        <f t="shared" si="2"/>
        <v>10.216666666666667</v>
      </c>
      <c r="N9" s="181">
        <f t="shared" si="3"/>
        <v>10.320333333333332</v>
      </c>
      <c r="O9" s="181">
        <f t="shared" si="4"/>
        <v>10.367763333333333</v>
      </c>
      <c r="P9" s="181">
        <f t="shared" si="5"/>
        <v>10.272903333333332</v>
      </c>
    </row>
    <row r="10" spans="1:18">
      <c r="A10" s="165" t="s">
        <v>302</v>
      </c>
      <c r="B10" s="178">
        <v>10.199999999999999</v>
      </c>
      <c r="C10" s="164">
        <v>10.220000000000001</v>
      </c>
      <c r="D10" s="179">
        <v>10.24</v>
      </c>
      <c r="G10" s="180">
        <f t="shared" si="0"/>
        <v>4.0000000000000924E-2</v>
      </c>
      <c r="H10" s="181">
        <v>4.650000000000043E-2</v>
      </c>
      <c r="I10" s="181">
        <f t="shared" si="1"/>
        <v>0.1195050000000011</v>
      </c>
      <c r="J10" s="164">
        <v>0</v>
      </c>
      <c r="K10" s="167"/>
      <c r="M10" s="180">
        <f t="shared" si="2"/>
        <v>10.220000000000001</v>
      </c>
      <c r="N10" s="181">
        <f t="shared" si="3"/>
        <v>10.320333333333332</v>
      </c>
      <c r="O10" s="181">
        <f t="shared" si="4"/>
        <v>10.367763333333333</v>
      </c>
      <c r="P10" s="181">
        <f t="shared" si="5"/>
        <v>10.272903333333332</v>
      </c>
    </row>
    <row r="11" spans="1:18">
      <c r="A11" s="165" t="s">
        <v>303</v>
      </c>
      <c r="B11" s="178">
        <v>10.4</v>
      </c>
      <c r="C11" s="164">
        <v>10.45</v>
      </c>
      <c r="D11" s="179">
        <v>10.45</v>
      </c>
      <c r="G11" s="180">
        <f t="shared" si="0"/>
        <v>4.9999999999998934E-2</v>
      </c>
      <c r="H11" s="181">
        <v>4.650000000000043E-2</v>
      </c>
      <c r="I11" s="181">
        <f t="shared" si="1"/>
        <v>0.1195050000000011</v>
      </c>
      <c r="J11" s="164">
        <v>0</v>
      </c>
      <c r="K11" s="167"/>
      <c r="M11" s="180">
        <f t="shared" si="2"/>
        <v>10.433333333333334</v>
      </c>
      <c r="N11" s="181">
        <f t="shared" si="3"/>
        <v>10.320333333333332</v>
      </c>
      <c r="O11" s="181">
        <f t="shared" si="4"/>
        <v>10.367763333333333</v>
      </c>
      <c r="P11" s="181">
        <f t="shared" si="5"/>
        <v>10.272903333333332</v>
      </c>
    </row>
    <row r="12" spans="1:18">
      <c r="A12" s="165" t="s">
        <v>304</v>
      </c>
      <c r="B12" s="178">
        <v>10.199999999999999</v>
      </c>
      <c r="C12" s="164">
        <v>10.24</v>
      </c>
      <c r="D12" s="179">
        <v>10.25</v>
      </c>
      <c r="G12" s="180">
        <f t="shared" si="0"/>
        <v>5.0000000000000711E-2</v>
      </c>
      <c r="H12" s="181">
        <v>4.650000000000043E-2</v>
      </c>
      <c r="I12" s="181">
        <f t="shared" si="1"/>
        <v>0.1195050000000011</v>
      </c>
      <c r="J12" s="164">
        <v>0</v>
      </c>
      <c r="K12" s="167"/>
      <c r="M12" s="180">
        <f t="shared" si="2"/>
        <v>10.229999999999999</v>
      </c>
      <c r="N12" s="181">
        <f t="shared" si="3"/>
        <v>10.320333333333332</v>
      </c>
      <c r="O12" s="181">
        <f t="shared" si="4"/>
        <v>10.367763333333333</v>
      </c>
      <c r="P12" s="181">
        <f t="shared" si="5"/>
        <v>10.272903333333332</v>
      </c>
    </row>
    <row r="13" spans="1:18">
      <c r="A13" s="165" t="s">
        <v>305</v>
      </c>
      <c r="B13" s="178">
        <v>10.5</v>
      </c>
      <c r="C13" s="164">
        <v>10.55</v>
      </c>
      <c r="D13" s="179">
        <v>10.54</v>
      </c>
      <c r="G13" s="180">
        <f t="shared" si="0"/>
        <v>5.0000000000000711E-2</v>
      </c>
      <c r="H13" s="181">
        <v>4.650000000000043E-2</v>
      </c>
      <c r="I13" s="181">
        <f t="shared" si="1"/>
        <v>0.1195050000000011</v>
      </c>
      <c r="J13" s="164">
        <v>0</v>
      </c>
      <c r="K13" s="167"/>
      <c r="M13" s="180">
        <f t="shared" si="2"/>
        <v>10.53</v>
      </c>
      <c r="N13" s="181">
        <f t="shared" si="3"/>
        <v>10.320333333333332</v>
      </c>
      <c r="O13" s="181">
        <f t="shared" si="4"/>
        <v>10.367763333333333</v>
      </c>
      <c r="P13" s="181">
        <f t="shared" si="5"/>
        <v>10.272903333333332</v>
      </c>
    </row>
    <row r="14" spans="1:18">
      <c r="A14" s="165" t="s">
        <v>306</v>
      </c>
      <c r="B14" s="178">
        <v>10.6</v>
      </c>
      <c r="C14" s="164">
        <v>10.65</v>
      </c>
      <c r="D14" s="179">
        <v>10.65</v>
      </c>
      <c r="G14" s="180">
        <f t="shared" si="0"/>
        <v>5.0000000000000711E-2</v>
      </c>
      <c r="H14" s="181">
        <v>4.650000000000043E-2</v>
      </c>
      <c r="I14" s="181">
        <f t="shared" si="1"/>
        <v>0.1195050000000011</v>
      </c>
      <c r="J14" s="164">
        <v>0</v>
      </c>
      <c r="K14" s="167"/>
      <c r="M14" s="180">
        <f t="shared" si="2"/>
        <v>10.633333333333333</v>
      </c>
      <c r="N14" s="181">
        <f t="shared" si="3"/>
        <v>10.320333333333332</v>
      </c>
      <c r="O14" s="181">
        <f t="shared" si="4"/>
        <v>10.367763333333333</v>
      </c>
      <c r="P14" s="181">
        <f t="shared" si="5"/>
        <v>10.272903333333332</v>
      </c>
    </row>
    <row r="15" spans="1:18">
      <c r="A15" s="165" t="s">
        <v>307</v>
      </c>
      <c r="B15" s="178">
        <v>10.1</v>
      </c>
      <c r="C15" s="164">
        <v>10.16</v>
      </c>
      <c r="D15" s="179">
        <v>10.14</v>
      </c>
      <c r="G15" s="180">
        <f t="shared" si="0"/>
        <v>6.0000000000000497E-2</v>
      </c>
      <c r="H15" s="181">
        <v>4.650000000000043E-2</v>
      </c>
      <c r="I15" s="181">
        <f t="shared" si="1"/>
        <v>0.1195050000000011</v>
      </c>
      <c r="J15" s="164">
        <v>0</v>
      </c>
      <c r="K15" s="167"/>
      <c r="M15" s="180">
        <f t="shared" si="2"/>
        <v>10.133333333333333</v>
      </c>
      <c r="N15" s="181">
        <f t="shared" si="3"/>
        <v>10.320333333333332</v>
      </c>
      <c r="O15" s="181">
        <f t="shared" si="4"/>
        <v>10.367763333333333</v>
      </c>
      <c r="P15" s="181">
        <f t="shared" si="5"/>
        <v>10.272903333333332</v>
      </c>
    </row>
    <row r="16" spans="1:18">
      <c r="A16" s="165" t="s">
        <v>308</v>
      </c>
      <c r="B16" s="178">
        <v>10.5</v>
      </c>
      <c r="C16" s="164">
        <v>10.52</v>
      </c>
      <c r="D16" s="179">
        <v>10.51</v>
      </c>
      <c r="G16" s="180">
        <f t="shared" si="0"/>
        <v>1.9999999999999574E-2</v>
      </c>
      <c r="H16" s="181">
        <v>4.650000000000043E-2</v>
      </c>
      <c r="I16" s="181">
        <f t="shared" si="1"/>
        <v>0.1195050000000011</v>
      </c>
      <c r="J16" s="164">
        <v>0</v>
      </c>
      <c r="K16" s="167"/>
      <c r="M16" s="180">
        <f t="shared" si="2"/>
        <v>10.51</v>
      </c>
      <c r="N16" s="181">
        <f t="shared" si="3"/>
        <v>10.320333333333332</v>
      </c>
      <c r="O16" s="181">
        <f t="shared" si="4"/>
        <v>10.367763333333333</v>
      </c>
      <c r="P16" s="181">
        <f t="shared" si="5"/>
        <v>10.272903333333332</v>
      </c>
    </row>
    <row r="17" spans="1:16">
      <c r="A17" s="165" t="s">
        <v>309</v>
      </c>
      <c r="B17" s="178">
        <v>10.199999999999999</v>
      </c>
      <c r="C17" s="164">
        <v>10.25</v>
      </c>
      <c r="D17" s="179">
        <v>10.220000000000001</v>
      </c>
      <c r="G17" s="180">
        <f t="shared" si="0"/>
        <v>5.0000000000000711E-2</v>
      </c>
      <c r="H17" s="181">
        <v>4.650000000000043E-2</v>
      </c>
      <c r="I17" s="181">
        <f t="shared" si="1"/>
        <v>0.1195050000000011</v>
      </c>
      <c r="J17" s="164">
        <v>0</v>
      </c>
      <c r="K17" s="167"/>
      <c r="M17" s="180">
        <f t="shared" si="2"/>
        <v>10.223333333333334</v>
      </c>
      <c r="N17" s="181">
        <f t="shared" si="3"/>
        <v>10.320333333333332</v>
      </c>
      <c r="O17" s="181">
        <f t="shared" si="4"/>
        <v>10.367763333333333</v>
      </c>
      <c r="P17" s="181">
        <f t="shared" si="5"/>
        <v>10.272903333333332</v>
      </c>
    </row>
    <row r="18" spans="1:16">
      <c r="A18" s="165" t="s">
        <v>310</v>
      </c>
      <c r="B18" s="178">
        <v>10.1</v>
      </c>
      <c r="C18" s="164">
        <v>10.15</v>
      </c>
      <c r="D18" s="179">
        <v>10.11</v>
      </c>
      <c r="G18" s="180">
        <f t="shared" si="0"/>
        <v>5.0000000000000711E-2</v>
      </c>
      <c r="H18" s="181">
        <v>4.650000000000043E-2</v>
      </c>
      <c r="I18" s="181">
        <f t="shared" si="1"/>
        <v>0.1195050000000011</v>
      </c>
      <c r="J18" s="164">
        <v>0</v>
      </c>
      <c r="K18" s="167"/>
      <c r="M18" s="180">
        <f t="shared" si="2"/>
        <v>10.119999999999999</v>
      </c>
      <c r="N18" s="181">
        <f t="shared" si="3"/>
        <v>10.320333333333332</v>
      </c>
      <c r="O18" s="181">
        <f t="shared" si="4"/>
        <v>10.367763333333333</v>
      </c>
      <c r="P18" s="181">
        <f t="shared" si="5"/>
        <v>10.272903333333332</v>
      </c>
    </row>
    <row r="19" spans="1:16">
      <c r="A19" s="165" t="s">
        <v>311</v>
      </c>
      <c r="B19" s="178">
        <v>10.199999999999999</v>
      </c>
      <c r="C19" s="164">
        <v>10.26</v>
      </c>
      <c r="D19" s="179">
        <v>10.25</v>
      </c>
      <c r="G19" s="180">
        <f t="shared" si="0"/>
        <v>6.0000000000000497E-2</v>
      </c>
      <c r="H19" s="181">
        <v>4.650000000000043E-2</v>
      </c>
      <c r="I19" s="181">
        <f t="shared" si="1"/>
        <v>0.1195050000000011</v>
      </c>
      <c r="J19" s="164">
        <v>0</v>
      </c>
      <c r="K19" s="167"/>
      <c r="M19" s="180">
        <f t="shared" si="2"/>
        <v>10.236666666666666</v>
      </c>
      <c r="N19" s="181">
        <f t="shared" si="3"/>
        <v>10.320333333333332</v>
      </c>
      <c r="O19" s="181">
        <f t="shared" si="4"/>
        <v>10.367763333333333</v>
      </c>
      <c r="P19" s="181">
        <f t="shared" si="5"/>
        <v>10.272903333333332</v>
      </c>
    </row>
    <row r="20" spans="1:16">
      <c r="A20" s="165" t="s">
        <v>312</v>
      </c>
      <c r="B20" s="178">
        <v>10.1</v>
      </c>
      <c r="C20" s="164">
        <v>10.15</v>
      </c>
      <c r="D20" s="179">
        <v>10.11</v>
      </c>
      <c r="G20" s="180">
        <f t="shared" si="0"/>
        <v>5.0000000000000711E-2</v>
      </c>
      <c r="H20" s="181">
        <v>4.650000000000043E-2</v>
      </c>
      <c r="I20" s="181">
        <f t="shared" si="1"/>
        <v>0.1195050000000011</v>
      </c>
      <c r="J20" s="164">
        <v>0</v>
      </c>
      <c r="K20" s="167"/>
      <c r="M20" s="180">
        <f t="shared" si="2"/>
        <v>10.119999999999999</v>
      </c>
      <c r="N20" s="181">
        <f t="shared" si="3"/>
        <v>10.320333333333332</v>
      </c>
      <c r="O20" s="181">
        <f t="shared" si="4"/>
        <v>10.367763333333333</v>
      </c>
      <c r="P20" s="181">
        <f t="shared" si="5"/>
        <v>10.272903333333332</v>
      </c>
    </row>
    <row r="21" spans="1:16">
      <c r="A21" s="165" t="s">
        <v>313</v>
      </c>
      <c r="B21" s="178">
        <v>10.6</v>
      </c>
      <c r="C21" s="164">
        <v>10.65</v>
      </c>
      <c r="D21" s="179">
        <v>10.63</v>
      </c>
      <c r="G21" s="180">
        <f t="shared" si="0"/>
        <v>5.0000000000000711E-2</v>
      </c>
      <c r="H21" s="181">
        <v>4.650000000000043E-2</v>
      </c>
      <c r="I21" s="181">
        <f t="shared" si="1"/>
        <v>0.1195050000000011</v>
      </c>
      <c r="J21" s="164">
        <v>0</v>
      </c>
      <c r="K21" s="167"/>
      <c r="M21" s="180">
        <f t="shared" si="2"/>
        <v>10.626666666666667</v>
      </c>
      <c r="N21" s="181">
        <f t="shared" si="3"/>
        <v>10.320333333333332</v>
      </c>
      <c r="O21" s="181">
        <f t="shared" si="4"/>
        <v>10.367763333333333</v>
      </c>
      <c r="P21" s="181">
        <f t="shared" si="5"/>
        <v>10.272903333333332</v>
      </c>
    </row>
    <row r="22" spans="1:16">
      <c r="A22" s="165" t="s">
        <v>314</v>
      </c>
      <c r="B22" s="178">
        <v>10.199999999999999</v>
      </c>
      <c r="C22" s="164">
        <v>10.24</v>
      </c>
      <c r="D22" s="179">
        <v>10.25</v>
      </c>
      <c r="G22" s="180">
        <f t="shared" si="0"/>
        <v>5.0000000000000711E-2</v>
      </c>
      <c r="H22" s="181">
        <v>4.650000000000043E-2</v>
      </c>
      <c r="I22" s="181">
        <f t="shared" si="1"/>
        <v>0.1195050000000011</v>
      </c>
      <c r="J22" s="164">
        <v>0</v>
      </c>
      <c r="K22" s="167"/>
      <c r="M22" s="180">
        <f t="shared" si="2"/>
        <v>10.229999999999999</v>
      </c>
      <c r="N22" s="181">
        <f t="shared" si="3"/>
        <v>10.320333333333332</v>
      </c>
      <c r="O22" s="181">
        <f t="shared" si="4"/>
        <v>10.367763333333333</v>
      </c>
      <c r="P22" s="181">
        <f t="shared" si="5"/>
        <v>10.272903333333332</v>
      </c>
    </row>
    <row r="23" spans="1:16">
      <c r="A23" s="165" t="s">
        <v>315</v>
      </c>
      <c r="B23" s="178">
        <v>10.199999999999999</v>
      </c>
      <c r="C23" s="164">
        <v>10.24</v>
      </c>
      <c r="D23" s="179">
        <v>10.23</v>
      </c>
      <c r="G23" s="180">
        <f t="shared" si="0"/>
        <v>4.0000000000000924E-2</v>
      </c>
      <c r="H23" s="181">
        <v>4.650000000000043E-2</v>
      </c>
      <c r="I23" s="181">
        <f t="shared" si="1"/>
        <v>0.1195050000000011</v>
      </c>
      <c r="J23" s="164">
        <v>0</v>
      </c>
      <c r="K23" s="167"/>
      <c r="M23" s="180">
        <f t="shared" si="2"/>
        <v>10.223333333333333</v>
      </c>
      <c r="N23" s="181">
        <f t="shared" si="3"/>
        <v>10.320333333333332</v>
      </c>
      <c r="O23" s="181">
        <f t="shared" si="4"/>
        <v>10.367763333333333</v>
      </c>
      <c r="P23" s="181">
        <f t="shared" si="5"/>
        <v>10.272903333333332</v>
      </c>
    </row>
    <row r="24" spans="1:16">
      <c r="A24" s="165" t="s">
        <v>316</v>
      </c>
      <c r="B24" s="178">
        <v>10.199999999999999</v>
      </c>
      <c r="C24" s="164">
        <v>10.220000000000001</v>
      </c>
      <c r="D24" s="179">
        <v>10.24</v>
      </c>
      <c r="G24" s="180">
        <f t="shared" si="0"/>
        <v>4.0000000000000924E-2</v>
      </c>
      <c r="H24" s="181">
        <v>4.650000000000043E-2</v>
      </c>
      <c r="I24" s="181">
        <f t="shared" si="1"/>
        <v>0.1195050000000011</v>
      </c>
      <c r="J24" s="164">
        <v>0</v>
      </c>
      <c r="K24" s="167"/>
      <c r="M24" s="180">
        <f t="shared" si="2"/>
        <v>10.220000000000001</v>
      </c>
      <c r="N24" s="181">
        <f t="shared" si="3"/>
        <v>10.320333333333332</v>
      </c>
      <c r="O24" s="181">
        <f t="shared" si="4"/>
        <v>10.367763333333333</v>
      </c>
      <c r="P24" s="181">
        <f t="shared" si="5"/>
        <v>10.272903333333332</v>
      </c>
    </row>
    <row r="25" spans="1:16">
      <c r="A25" s="165" t="s">
        <v>317</v>
      </c>
      <c r="B25" s="178">
        <v>10.6</v>
      </c>
      <c r="C25" s="164">
        <v>10.63</v>
      </c>
      <c r="D25" s="179">
        <v>10.64</v>
      </c>
      <c r="G25" s="180">
        <f t="shared" si="0"/>
        <v>4.0000000000000924E-2</v>
      </c>
      <c r="H25" s="181">
        <v>4.650000000000043E-2</v>
      </c>
      <c r="I25" s="181">
        <f t="shared" si="1"/>
        <v>0.1195050000000011</v>
      </c>
      <c r="J25" s="164">
        <v>0</v>
      </c>
      <c r="K25" s="167"/>
      <c r="M25" s="180">
        <f t="shared" si="2"/>
        <v>10.623333333333333</v>
      </c>
      <c r="N25" s="181">
        <f t="shared" si="3"/>
        <v>10.320333333333332</v>
      </c>
      <c r="O25" s="181">
        <f t="shared" si="4"/>
        <v>10.367763333333333</v>
      </c>
      <c r="P25" s="181">
        <f t="shared" si="5"/>
        <v>10.272903333333332</v>
      </c>
    </row>
    <row r="26" spans="1:16" ht="13.5" thickBot="1">
      <c r="A26" s="176" t="s">
        <v>318</v>
      </c>
      <c r="B26" s="182">
        <v>10.1</v>
      </c>
      <c r="C26" s="183">
        <v>10.14</v>
      </c>
      <c r="D26" s="184">
        <v>10.119999999999999</v>
      </c>
      <c r="E26" s="175"/>
      <c r="F26" s="175"/>
      <c r="G26" s="185">
        <f t="shared" si="0"/>
        <v>4.0000000000000924E-2</v>
      </c>
      <c r="H26" s="186">
        <v>4.650000000000043E-2</v>
      </c>
      <c r="I26" s="186">
        <f t="shared" si="1"/>
        <v>0.1195050000000011</v>
      </c>
      <c r="J26" s="175">
        <v>0</v>
      </c>
      <c r="K26" s="174"/>
      <c r="L26" s="175"/>
      <c r="M26" s="185">
        <f t="shared" si="2"/>
        <v>10.119999999999999</v>
      </c>
      <c r="N26" s="186">
        <f t="shared" si="3"/>
        <v>10.320333333333332</v>
      </c>
      <c r="O26" s="186">
        <f t="shared" si="4"/>
        <v>10.367763333333333</v>
      </c>
      <c r="P26" s="186">
        <f t="shared" si="5"/>
        <v>10.272903333333332</v>
      </c>
    </row>
    <row r="27" spans="1:16" ht="13.5" thickBot="1">
      <c r="F27" s="187" t="s">
        <v>319</v>
      </c>
      <c r="G27" s="188">
        <f>AVERAGE(G7:G26)</f>
        <v>4.650000000000043E-2</v>
      </c>
      <c r="K27" s="167"/>
      <c r="L27" s="189" t="s">
        <v>320</v>
      </c>
      <c r="M27" s="190">
        <f>AVERAGE(M7:M26)</f>
        <v>10.320333333333332</v>
      </c>
    </row>
    <row r="28" spans="1:16">
      <c r="K28" s="167"/>
    </row>
    <row r="29" spans="1:16">
      <c r="F29" s="164" t="s">
        <v>321</v>
      </c>
      <c r="H29" s="191">
        <f>2.57*G27</f>
        <v>0.1195050000000011</v>
      </c>
      <c r="K29" s="167"/>
      <c r="L29" s="164" t="s">
        <v>322</v>
      </c>
      <c r="N29" s="191">
        <f>M27+(1.02*G27)</f>
        <v>10.367763333333333</v>
      </c>
    </row>
    <row r="30" spans="1:16">
      <c r="F30" s="164" t="s">
        <v>323</v>
      </c>
      <c r="H30" s="191">
        <f>0*G27</f>
        <v>0</v>
      </c>
      <c r="K30" s="167"/>
      <c r="L30" s="164" t="s">
        <v>324</v>
      </c>
      <c r="N30" s="191">
        <f>M27-(1.02*G27)</f>
        <v>10.272903333333332</v>
      </c>
    </row>
    <row r="31" spans="1:16" ht="25.5" customHeight="1"/>
  </sheetData>
  <mergeCells count="2">
    <mergeCell ref="B5:D5"/>
    <mergeCell ref="E5:F5"/>
  </mergeCells>
  <printOptions gridLines="1"/>
  <pageMargins left="0.25" right="0.25" top="0.75" bottom="0.75" header="0.3" footer="0.3"/>
  <pageSetup scale="83"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gigot</dc:creator>
  <cp:keywords/>
  <dc:description/>
  <cp:lastModifiedBy>tyler gigot</cp:lastModifiedBy>
  <cp:revision/>
  <dcterms:created xsi:type="dcterms:W3CDTF">2021-03-25T23:11:06Z</dcterms:created>
  <dcterms:modified xsi:type="dcterms:W3CDTF">2023-08-15T22:35:08Z</dcterms:modified>
  <cp:category/>
  <cp:contentStatus/>
</cp:coreProperties>
</file>