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3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4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45" windowWidth="20400" windowHeight="7995" activeTab="3"/>
  </bookViews>
  <sheets>
    <sheet name="MyData" sheetId="10" r:id="rId1"/>
    <sheet name="נתונים ידניים" sheetId="79" r:id="rId2"/>
    <sheet name="נתוני יסוד" sheetId="25" r:id="rId3"/>
    <sheet name="main" sheetId="20" r:id="rId4"/>
    <sheet name="דווח ביטוחים" sheetId="68" r:id="rId5"/>
    <sheet name="סכומי ביטוח " sheetId="76" r:id="rId6"/>
    <sheet name="קה&quot;ש" sheetId="28" r:id="rId7"/>
    <sheet name="ריכוז סכומי ביטוח" sheetId="74" r:id="rId8"/>
    <sheet name="הערות" sheetId="29" r:id="rId9"/>
    <sheet name="פרוט כיסויים בפוליסות " sheetId="75" r:id="rId10"/>
    <sheet name="תחזית" sheetId="34" r:id="rId11"/>
    <sheet name="תחזית ה" sheetId="56" r:id="rId12"/>
    <sheet name="תחזית מסלקה" sheetId="80" r:id="rId13"/>
    <sheet name="ראשי" sheetId="73" r:id="rId14"/>
    <sheet name="קצבה מזכה 2016" sheetId="31" r:id="rId15"/>
    <sheet name="סיכומי מקורות" sheetId="33" r:id="rId16"/>
    <sheet name="השוואה בחירתית" sheetId="57" r:id="rId17"/>
    <sheet name="השוואות מזעור" sheetId="58" r:id="rId18"/>
    <sheet name="כולל מקס אחרת" sheetId="59" r:id="rId19"/>
    <sheet name="זקיפות מס" sheetId="60" r:id="rId20"/>
    <sheet name="חישוב פתוח" sheetId="61" r:id="rId21"/>
    <sheet name="קצבה מוכרת וקצבה" sheetId="63" r:id="rId22"/>
    <sheet name="מקסימום פנסיה עם קצבה פטורה" sheetId="64" r:id="rId23"/>
    <sheet name="מקסימום הון" sheetId="65" r:id="rId24"/>
    <sheet name="פיצויים פטורים והוני" sheetId="66" r:id="rId25"/>
    <sheet name="פיצויים פטורים וקצבה" sheetId="67" r:id="rId26"/>
    <sheet name="פיצויים פטורים והוני מיכאל" sheetId="48" r:id="rId27"/>
    <sheet name="קצבה פטורה והוני" sheetId="49" r:id="rId28"/>
    <sheet name="מקס פטור וקצבה" sheetId="50" r:id="rId29"/>
    <sheet name="חישוביי ביניים" sheetId="51" r:id="rId30"/>
    <sheet name="מיסוי פנסיה" sheetId="52" r:id="rId31"/>
    <sheet name="פנסיות מול ח&quot;פ" sheetId="53" r:id="rId32"/>
    <sheet name="הדדית" sheetId="54" r:id="rId33"/>
    <sheet name="תוס' פיצויים" sheetId="55" r:id="rId34"/>
    <sheet name="RicusKrenHishtalmut" sheetId="30" r:id="rId35"/>
    <sheet name="RicusPolice" sheetId="1" r:id="rId36"/>
    <sheet name="PerutMasluleiHashkaa" sheetId="4" r:id="rId37"/>
    <sheet name="PirteiKisuiBeMutzar" sheetId="6" r:id="rId38"/>
    <sheet name="PerutYitrot_group_by" sheetId="81" r:id="rId39"/>
    <sheet name="CrosstabPerutYitrotDB" sheetId="83" r:id="rId40"/>
    <sheet name="PerutYitrot" sheetId="11" r:id="rId41"/>
    <sheet name="PerutYitraLeTkufa_till2000" sheetId="18" r:id="rId42"/>
    <sheet name="PerutYitraLeTkufa_after2000" sheetId="19" r:id="rId43"/>
    <sheet name="CrossTabYitraLeTkufa_till_2000" sheetId="70" r:id="rId44"/>
    <sheet name="CrossTabYitraLeTkufa_after_2000" sheetId="71" r:id="rId45"/>
    <sheet name="PerutYitraLeTkufa" sheetId="2" r:id="rId46"/>
    <sheet name="PerutYitraLeTkufa_crosTab" sheetId="17" r:id="rId47"/>
    <sheet name="PerutYitraLeTkufa_groupby" sheetId="69" r:id="rId48"/>
    <sheet name="Kupa" sheetId="15" r:id="rId49"/>
    <sheet name="YitraLefiGilPrisha" sheetId="14" r:id="rId50"/>
    <sheet name="PerutHafrashotLePolisa" sheetId="3" r:id="rId51"/>
    <sheet name="PerutHafkadotMetchilatShanaAvgM" sheetId="78" r:id="rId52"/>
    <sheet name="PerutHafkadotMetchilatShana" sheetId="5" r:id="rId53"/>
    <sheet name="PerutMivneDmeiNihul" sheetId="7" r:id="rId54"/>
    <sheet name="PerutPirteiHafkadaAchrona" sheetId="12" r:id="rId55"/>
    <sheet name="PerutHafkadaAchrona" sheetId="13" r:id="rId56"/>
    <sheet name="HafkadotMetchilatShanaAverages" sheetId="16" r:id="rId57"/>
    <sheet name="PirteiOved" sheetId="8" r:id="rId58"/>
    <sheet name="ClientList" sheetId="9" r:id="rId59"/>
    <sheet name="PirteiKisuiBeMutzar_procerur" sheetId="22" r:id="rId60"/>
    <sheet name="PirteiKisuiBeMutzarPrmia" sheetId="24" r:id="rId61"/>
    <sheet name="SchumeiBituahYesodi" sheetId="23" r:id="rId62"/>
    <sheet name="PirteiHaasaka" sheetId="21" r:id="rId63"/>
    <sheet name="KisuiBKerenPensiaDBWithParams" sheetId="72" r:id="rId64"/>
    <sheet name="HotzaotBafoalLehodeshDivoach" sheetId="77" r:id="rId65"/>
    <sheet name="PerutYitrotLesofShanaKodeme" sheetId="82" r:id="rId66"/>
  </sheets>
  <externalReferences>
    <externalReference r:id="rId67"/>
  </externalReferences>
  <definedNames>
    <definedName name="_xlnm._FilterDatabase" localSheetId="2" hidden="1">'נתוני יסוד'!$D$41:$F$41</definedName>
    <definedName name="perutYitraLeTkufa_till2000">PerutYitraLeTkufa_till2000!$D$6:$Q$100</definedName>
    <definedName name="_xlnm.Print_Area" localSheetId="16">'השוואה בחירתית'!$A$54:$H$96</definedName>
    <definedName name="_xlnm.Print_Titles" localSheetId="8">הערות!$3:$3</definedName>
    <definedName name="_xlnm.Print_Titles" localSheetId="6">'קה"ש'!$2:$2</definedName>
    <definedName name="_xlnm.Print_Titles" localSheetId="10">תחזית!$2:$2</definedName>
    <definedName name="_xlnm.Print_Titles" localSheetId="11">'תחזית ה'!$2:$2</definedName>
    <definedName name="Z_2DF84D25_6475_40BF_A4B4_422A9C027976_.wvu.FilterData" localSheetId="2" hidden="1">'נתוני יסוד'!$D$41:$F$41</definedName>
    <definedName name="Z_2DF84D25_6475_40BF_A4B4_422A9C027976_.wvu.PrintArea" localSheetId="16" hidden="1">'השוואה בחירתית'!$A$54:$H$96</definedName>
    <definedName name="גילבןהזוג">'נתוני יסוד'!$B$43</definedName>
    <definedName name="גילהמבוטח">'נתוני יסוד'!$E$4</definedName>
    <definedName name="חיבור" localSheetId="44">#REF!</definedName>
    <definedName name="חיבור" localSheetId="1">#REF!</definedName>
    <definedName name="חיבור" localSheetId="5">#REF!</definedName>
    <definedName name="חיבור" localSheetId="7">#REF!</definedName>
    <definedName name="חיבור">#REF!</definedName>
  </definedNames>
  <calcPr calcId="144525" calcOnSave="0" concurrentCalc="0"/>
  <pivotCaches>
    <pivotCache cacheId="8" r:id="rId68"/>
    <pivotCache cacheId="9" r:id="rId69"/>
  </pivotCaches>
</workbook>
</file>

<file path=xl/calcChain.xml><?xml version="1.0" encoding="utf-8"?>
<calcChain xmlns="http://schemas.openxmlformats.org/spreadsheetml/2006/main">
  <c r="EI10" i="20" l="1"/>
  <c r="EJ10" i="20"/>
  <c r="EK10" i="20"/>
  <c r="EL10" i="20"/>
  <c r="EM10" i="20"/>
  <c r="EN10" i="20"/>
  <c r="EO10" i="20"/>
  <c r="EP10" i="20"/>
  <c r="EQ10" i="20"/>
  <c r="EI11" i="20"/>
  <c r="EJ11" i="20"/>
  <c r="EK11" i="20"/>
  <c r="EL11" i="20"/>
  <c r="EM11" i="20"/>
  <c r="EN11" i="20"/>
  <c r="EO11" i="20"/>
  <c r="EP11" i="20"/>
  <c r="EQ11" i="20"/>
  <c r="EI12" i="20"/>
  <c r="EJ12" i="20"/>
  <c r="EK12" i="20"/>
  <c r="EL12" i="20"/>
  <c r="EM12" i="20"/>
  <c r="EN12" i="20"/>
  <c r="EO12" i="20"/>
  <c r="EP12" i="20"/>
  <c r="EQ12" i="20"/>
  <c r="EI13" i="20"/>
  <c r="EJ13" i="20"/>
  <c r="EK13" i="20"/>
  <c r="EL13" i="20"/>
  <c r="EM13" i="20"/>
  <c r="EN13" i="20"/>
  <c r="EO13" i="20"/>
  <c r="EP13" i="20"/>
  <c r="EQ13" i="20"/>
  <c r="EI14" i="20"/>
  <c r="EJ14" i="20"/>
  <c r="EK14" i="20"/>
  <c r="EL14" i="20"/>
  <c r="EM14" i="20"/>
  <c r="EN14" i="20"/>
  <c r="EO14" i="20"/>
  <c r="EP14" i="20"/>
  <c r="EQ14" i="20"/>
  <c r="EI15" i="20"/>
  <c r="EJ15" i="20"/>
  <c r="EK15" i="20"/>
  <c r="EL15" i="20"/>
  <c r="EM15" i="20"/>
  <c r="EN15" i="20"/>
  <c r="EO15" i="20"/>
  <c r="EP15" i="20"/>
  <c r="EQ15" i="20"/>
  <c r="EI16" i="20"/>
  <c r="EJ16" i="20"/>
  <c r="EK16" i="20"/>
  <c r="EL16" i="20"/>
  <c r="EM16" i="20"/>
  <c r="EN16" i="20"/>
  <c r="EO16" i="20"/>
  <c r="EP16" i="20"/>
  <c r="EQ16" i="20"/>
  <c r="EI17" i="20"/>
  <c r="EJ17" i="20"/>
  <c r="EK17" i="20"/>
  <c r="EL17" i="20"/>
  <c r="EM17" i="20"/>
  <c r="EN17" i="20"/>
  <c r="EO17" i="20"/>
  <c r="EP17" i="20"/>
  <c r="EQ17" i="20"/>
  <c r="EI18" i="20"/>
  <c r="EJ18" i="20"/>
  <c r="EK18" i="20"/>
  <c r="EL18" i="20"/>
  <c r="EM18" i="20"/>
  <c r="EN18" i="20"/>
  <c r="EO18" i="20"/>
  <c r="EP18" i="20"/>
  <c r="EQ18" i="20"/>
  <c r="EI19" i="20"/>
  <c r="EJ19" i="20"/>
  <c r="EK19" i="20"/>
  <c r="EL19" i="20"/>
  <c r="EM19" i="20"/>
  <c r="EN19" i="20"/>
  <c r="EO19" i="20"/>
  <c r="EP19" i="20"/>
  <c r="EQ19" i="20"/>
  <c r="EI20" i="20"/>
  <c r="EJ20" i="20"/>
  <c r="EK20" i="20"/>
  <c r="EL20" i="20"/>
  <c r="EM20" i="20"/>
  <c r="EN20" i="20"/>
  <c r="EO20" i="20"/>
  <c r="EP20" i="20"/>
  <c r="EQ20" i="20"/>
  <c r="EI21" i="20"/>
  <c r="EJ21" i="20"/>
  <c r="EK21" i="20"/>
  <c r="EL21" i="20"/>
  <c r="EM21" i="20"/>
  <c r="EN21" i="20"/>
  <c r="EO21" i="20"/>
  <c r="EP21" i="20"/>
  <c r="EQ21" i="20"/>
  <c r="EI22" i="20"/>
  <c r="EJ22" i="20"/>
  <c r="EK22" i="20"/>
  <c r="EL22" i="20"/>
  <c r="EM22" i="20"/>
  <c r="EN22" i="20"/>
  <c r="EO22" i="20"/>
  <c r="EP22" i="20"/>
  <c r="EQ22" i="20"/>
  <c r="EI23" i="20"/>
  <c r="EJ23" i="20"/>
  <c r="EK23" i="20"/>
  <c r="EL23" i="20"/>
  <c r="EM23" i="20"/>
  <c r="EN23" i="20"/>
  <c r="EO23" i="20"/>
  <c r="EP23" i="20"/>
  <c r="EQ23" i="20"/>
  <c r="EI24" i="20"/>
  <c r="EJ24" i="20"/>
  <c r="EK24" i="20"/>
  <c r="EL24" i="20"/>
  <c r="EM24" i="20"/>
  <c r="EN24" i="20"/>
  <c r="EO24" i="20"/>
  <c r="EP24" i="20"/>
  <c r="EQ24" i="20"/>
  <c r="EI25" i="20"/>
  <c r="EJ25" i="20"/>
  <c r="EK25" i="20"/>
  <c r="EL25" i="20"/>
  <c r="EM25" i="20"/>
  <c r="EN25" i="20"/>
  <c r="EO25" i="20"/>
  <c r="EP25" i="20"/>
  <c r="EQ25" i="20"/>
  <c r="EI26" i="20"/>
  <c r="EJ26" i="20"/>
  <c r="EK26" i="20"/>
  <c r="EL26" i="20"/>
  <c r="EM26" i="20"/>
  <c r="EN26" i="20"/>
  <c r="EO26" i="20"/>
  <c r="EP26" i="20"/>
  <c r="EQ26" i="20"/>
  <c r="EI27" i="20"/>
  <c r="EJ27" i="20"/>
  <c r="EK27" i="20"/>
  <c r="EL27" i="20"/>
  <c r="EM27" i="20"/>
  <c r="EN27" i="20"/>
  <c r="EO27" i="20"/>
  <c r="EP27" i="20"/>
  <c r="EQ27" i="20"/>
  <c r="EI28" i="20"/>
  <c r="EJ28" i="20"/>
  <c r="EK28" i="20"/>
  <c r="EL28" i="20"/>
  <c r="EM28" i="20"/>
  <c r="EN28" i="20"/>
  <c r="EO28" i="20"/>
  <c r="EP28" i="20"/>
  <c r="EQ28" i="20"/>
  <c r="EI29" i="20"/>
  <c r="EJ29" i="20"/>
  <c r="EK29" i="20"/>
  <c r="EL29" i="20"/>
  <c r="EM29" i="20"/>
  <c r="EN29" i="20"/>
  <c r="EO29" i="20"/>
  <c r="EP29" i="20"/>
  <c r="EQ29" i="20"/>
  <c r="EI30" i="20"/>
  <c r="EJ30" i="20"/>
  <c r="EK30" i="20"/>
  <c r="EL30" i="20"/>
  <c r="EM30" i="20"/>
  <c r="EN30" i="20"/>
  <c r="EO30" i="20"/>
  <c r="EP30" i="20"/>
  <c r="EQ30" i="20"/>
  <c r="EI31" i="20"/>
  <c r="EJ31" i="20"/>
  <c r="EK31" i="20"/>
  <c r="EL31" i="20"/>
  <c r="EM31" i="20"/>
  <c r="EN31" i="20"/>
  <c r="EO31" i="20"/>
  <c r="EP31" i="20"/>
  <c r="EQ31" i="20"/>
  <c r="EI32" i="20"/>
  <c r="EJ32" i="20"/>
  <c r="EK32" i="20"/>
  <c r="EL32" i="20"/>
  <c r="EM32" i="20"/>
  <c r="EN32" i="20"/>
  <c r="EO32" i="20"/>
  <c r="EP32" i="20"/>
  <c r="EQ32" i="20"/>
  <c r="EI33" i="20"/>
  <c r="EJ33" i="20"/>
  <c r="EK33" i="20"/>
  <c r="EL33" i="20"/>
  <c r="EM33" i="20"/>
  <c r="EN33" i="20"/>
  <c r="EO33" i="20"/>
  <c r="EP33" i="20"/>
  <c r="EQ33" i="20"/>
  <c r="EI34" i="20"/>
  <c r="EJ34" i="20"/>
  <c r="EK34" i="20"/>
  <c r="EL34" i="20"/>
  <c r="EM34" i="20"/>
  <c r="EN34" i="20"/>
  <c r="EO34" i="20"/>
  <c r="EP34" i="20"/>
  <c r="EQ34" i="20"/>
  <c r="EI35" i="20"/>
  <c r="EJ35" i="20"/>
  <c r="EK35" i="20"/>
  <c r="EL35" i="20"/>
  <c r="EM35" i="20"/>
  <c r="EN35" i="20"/>
  <c r="EO35" i="20"/>
  <c r="EP35" i="20"/>
  <c r="EQ35" i="20"/>
  <c r="EI36" i="20"/>
  <c r="EJ36" i="20"/>
  <c r="EK36" i="20"/>
  <c r="EL36" i="20"/>
  <c r="EM36" i="20"/>
  <c r="EN36" i="20"/>
  <c r="EO36" i="20"/>
  <c r="EP36" i="20"/>
  <c r="EQ36" i="20"/>
  <c r="EI37" i="20"/>
  <c r="EJ37" i="20"/>
  <c r="EK37" i="20"/>
  <c r="EL37" i="20"/>
  <c r="EM37" i="20"/>
  <c r="EN37" i="20"/>
  <c r="EO37" i="20"/>
  <c r="EP37" i="20"/>
  <c r="EQ37" i="20"/>
  <c r="EI38" i="20"/>
  <c r="EJ38" i="20"/>
  <c r="EK38" i="20"/>
  <c r="EL38" i="20"/>
  <c r="EM38" i="20"/>
  <c r="EN38" i="20"/>
  <c r="EO38" i="20"/>
  <c r="EP38" i="20"/>
  <c r="EQ38" i="20"/>
  <c r="EI39" i="20"/>
  <c r="EJ39" i="20"/>
  <c r="EK39" i="20"/>
  <c r="EL39" i="20"/>
  <c r="EM39" i="20"/>
  <c r="EN39" i="20"/>
  <c r="EO39" i="20"/>
  <c r="EP39" i="20"/>
  <c r="EQ39" i="20"/>
  <c r="EI40" i="20"/>
  <c r="EJ40" i="20"/>
  <c r="EK40" i="20"/>
  <c r="EL40" i="20"/>
  <c r="EM40" i="20"/>
  <c r="EN40" i="20"/>
  <c r="EO40" i="20"/>
  <c r="EP40" i="20"/>
  <c r="EQ40" i="20"/>
  <c r="EI41" i="20"/>
  <c r="EJ41" i="20"/>
  <c r="EK41" i="20"/>
  <c r="EL41" i="20"/>
  <c r="EM41" i="20"/>
  <c r="EN41" i="20"/>
  <c r="EO41" i="20"/>
  <c r="EP41" i="20"/>
  <c r="EQ41" i="20"/>
  <c r="EI42" i="20"/>
  <c r="EJ42" i="20"/>
  <c r="EK42" i="20"/>
  <c r="EL42" i="20"/>
  <c r="EM42" i="20"/>
  <c r="EN42" i="20"/>
  <c r="EO42" i="20"/>
  <c r="EP42" i="20"/>
  <c r="EQ42" i="20"/>
  <c r="EI43" i="20"/>
  <c r="EJ43" i="20"/>
  <c r="EK43" i="20"/>
  <c r="EL43" i="20"/>
  <c r="EM43" i="20"/>
  <c r="EN43" i="20"/>
  <c r="EO43" i="20"/>
  <c r="EP43" i="20"/>
  <c r="EQ43" i="20"/>
  <c r="EI44" i="20"/>
  <c r="EJ44" i="20"/>
  <c r="EK44" i="20"/>
  <c r="EL44" i="20"/>
  <c r="EM44" i="20"/>
  <c r="EN44" i="20"/>
  <c r="EO44" i="20"/>
  <c r="EP44" i="20"/>
  <c r="EQ44" i="20"/>
  <c r="EI45" i="20"/>
  <c r="EJ45" i="20"/>
  <c r="EK45" i="20"/>
  <c r="EL45" i="20"/>
  <c r="EM45" i="20"/>
  <c r="EN45" i="20"/>
  <c r="EO45" i="20"/>
  <c r="EP45" i="20"/>
  <c r="EQ45" i="20"/>
  <c r="EI46" i="20"/>
  <c r="EJ46" i="20"/>
  <c r="EK46" i="20"/>
  <c r="EL46" i="20"/>
  <c r="EM46" i="20"/>
  <c r="EN46" i="20"/>
  <c r="EO46" i="20"/>
  <c r="EP46" i="20"/>
  <c r="EQ46" i="20"/>
  <c r="EI47" i="20"/>
  <c r="EJ47" i="20"/>
  <c r="EK47" i="20"/>
  <c r="EL47" i="20"/>
  <c r="EM47" i="20"/>
  <c r="EN47" i="20"/>
  <c r="EO47" i="20"/>
  <c r="EP47" i="20"/>
  <c r="EQ47" i="20"/>
  <c r="EI48" i="20"/>
  <c r="EJ48" i="20"/>
  <c r="EK48" i="20"/>
  <c r="EL48" i="20"/>
  <c r="EM48" i="20"/>
  <c r="EN48" i="20"/>
  <c r="EO48" i="20"/>
  <c r="EP48" i="20"/>
  <c r="EQ48" i="20"/>
  <c r="EI49" i="20"/>
  <c r="EJ49" i="20"/>
  <c r="EK49" i="20"/>
  <c r="EL49" i="20"/>
  <c r="EM49" i="20"/>
  <c r="EN49" i="20"/>
  <c r="EO49" i="20"/>
  <c r="EP49" i="20"/>
  <c r="EQ49" i="20"/>
  <c r="EI50" i="20"/>
  <c r="EJ50" i="20"/>
  <c r="EK50" i="20"/>
  <c r="EL50" i="20"/>
  <c r="EM50" i="20"/>
  <c r="EN50" i="20"/>
  <c r="EO50" i="20"/>
  <c r="EP50" i="20"/>
  <c r="EQ50" i="20"/>
  <c r="EI51" i="20"/>
  <c r="EJ51" i="20"/>
  <c r="EK51" i="20"/>
  <c r="EL51" i="20"/>
  <c r="EM51" i="20"/>
  <c r="EN51" i="20"/>
  <c r="EO51" i="20"/>
  <c r="EP51" i="20"/>
  <c r="EQ51" i="20"/>
  <c r="EI52" i="20"/>
  <c r="EJ52" i="20"/>
  <c r="EK52" i="20"/>
  <c r="EL52" i="20"/>
  <c r="EM52" i="20"/>
  <c r="EN52" i="20"/>
  <c r="EO52" i="20"/>
  <c r="EP52" i="20"/>
  <c r="EQ52" i="20"/>
  <c r="EI53" i="20"/>
  <c r="EJ53" i="20"/>
  <c r="EK53" i="20"/>
  <c r="EL53" i="20"/>
  <c r="EM53" i="20"/>
  <c r="EN53" i="20"/>
  <c r="EO53" i="20"/>
  <c r="EP53" i="20"/>
  <c r="EQ53" i="20"/>
  <c r="EI54" i="20"/>
  <c r="EJ54" i="20"/>
  <c r="EK54" i="20"/>
  <c r="EL54" i="20"/>
  <c r="EM54" i="20"/>
  <c r="EN54" i="20"/>
  <c r="EO54" i="20"/>
  <c r="EP54" i="20"/>
  <c r="EQ54" i="20"/>
  <c r="EI55" i="20"/>
  <c r="EJ55" i="20"/>
  <c r="EK55" i="20"/>
  <c r="EL55" i="20"/>
  <c r="EM55" i="20"/>
  <c r="EN55" i="20"/>
  <c r="EO55" i="20"/>
  <c r="EP55" i="20"/>
  <c r="EQ55" i="20"/>
  <c r="EI56" i="20"/>
  <c r="EJ56" i="20"/>
  <c r="EK56" i="20"/>
  <c r="EL56" i="20"/>
  <c r="EM56" i="20"/>
  <c r="EN56" i="20"/>
  <c r="EO56" i="20"/>
  <c r="EP56" i="20"/>
  <c r="EQ56" i="20"/>
  <c r="EI57" i="20"/>
  <c r="EJ57" i="20"/>
  <c r="EK57" i="20"/>
  <c r="EL57" i="20"/>
  <c r="EM57" i="20"/>
  <c r="EN57" i="20"/>
  <c r="EO57" i="20"/>
  <c r="EP57" i="20"/>
  <c r="EQ57" i="20"/>
  <c r="EI58" i="20"/>
  <c r="EJ58" i="20"/>
  <c r="EK58" i="20"/>
  <c r="EL58" i="20"/>
  <c r="EM58" i="20"/>
  <c r="EN58" i="20"/>
  <c r="EO58" i="20"/>
  <c r="EP58" i="20"/>
  <c r="EQ58" i="20"/>
  <c r="EI59" i="20"/>
  <c r="EJ59" i="20"/>
  <c r="EK59" i="20"/>
  <c r="EL59" i="20"/>
  <c r="EM59" i="20"/>
  <c r="EN59" i="20"/>
  <c r="EO59" i="20"/>
  <c r="EP59" i="20"/>
  <c r="EQ59" i="20"/>
  <c r="EI60" i="20"/>
  <c r="EJ60" i="20"/>
  <c r="EK60" i="20"/>
  <c r="EL60" i="20"/>
  <c r="EM60" i="20"/>
  <c r="EN60" i="20"/>
  <c r="EO60" i="20"/>
  <c r="EP60" i="20"/>
  <c r="EQ60" i="20"/>
  <c r="EI61" i="20"/>
  <c r="EJ61" i="20"/>
  <c r="EK61" i="20"/>
  <c r="EL61" i="20"/>
  <c r="EM61" i="20"/>
  <c r="EN61" i="20"/>
  <c r="EO61" i="20"/>
  <c r="EP61" i="20"/>
  <c r="EQ61" i="20"/>
  <c r="EI62" i="20"/>
  <c r="EJ62" i="20"/>
  <c r="EK62" i="20"/>
  <c r="EL62" i="20"/>
  <c r="EM62" i="20"/>
  <c r="EN62" i="20"/>
  <c r="EO62" i="20"/>
  <c r="EP62" i="20"/>
  <c r="EQ62" i="20"/>
  <c r="EI63" i="20"/>
  <c r="EJ63" i="20"/>
  <c r="EK63" i="20"/>
  <c r="EL63" i="20"/>
  <c r="EM63" i="20"/>
  <c r="EN63" i="20"/>
  <c r="EO63" i="20"/>
  <c r="EP63" i="20"/>
  <c r="EQ63" i="20"/>
  <c r="EI64" i="20"/>
  <c r="EJ64" i="20"/>
  <c r="EK64" i="20"/>
  <c r="EL64" i="20"/>
  <c r="EM64" i="20"/>
  <c r="EN64" i="20"/>
  <c r="EO64" i="20"/>
  <c r="EP64" i="20"/>
  <c r="EQ64" i="20"/>
  <c r="EI65" i="20"/>
  <c r="EJ65" i="20"/>
  <c r="EK65" i="20"/>
  <c r="EL65" i="20"/>
  <c r="EM65" i="20"/>
  <c r="EN65" i="20"/>
  <c r="EO65" i="20"/>
  <c r="EP65" i="20"/>
  <c r="EQ65" i="20"/>
  <c r="EI66" i="20"/>
  <c r="EJ66" i="20"/>
  <c r="EK66" i="20"/>
  <c r="EL66" i="20"/>
  <c r="EM66" i="20"/>
  <c r="EN66" i="20"/>
  <c r="EO66" i="20"/>
  <c r="EP66" i="20"/>
  <c r="EQ66" i="20"/>
  <c r="EI67" i="20"/>
  <c r="EJ67" i="20"/>
  <c r="EK67" i="20"/>
  <c r="EL67" i="20"/>
  <c r="EM67" i="20"/>
  <c r="EN67" i="20"/>
  <c r="EO67" i="20"/>
  <c r="EP67" i="20"/>
  <c r="EQ67" i="20"/>
  <c r="EI68" i="20"/>
  <c r="EJ68" i="20"/>
  <c r="EK68" i="20"/>
  <c r="EL68" i="20"/>
  <c r="EM68" i="20"/>
  <c r="EN68" i="20"/>
  <c r="EO68" i="20"/>
  <c r="EP68" i="20"/>
  <c r="EQ68" i="20"/>
  <c r="EI69" i="20"/>
  <c r="EJ69" i="20"/>
  <c r="EK69" i="20"/>
  <c r="EL69" i="20"/>
  <c r="EM69" i="20"/>
  <c r="EN69" i="20"/>
  <c r="EO69" i="20"/>
  <c r="EP69" i="20"/>
  <c r="EQ69" i="20"/>
  <c r="EI70" i="20"/>
  <c r="EJ70" i="20"/>
  <c r="EK70" i="20"/>
  <c r="EL70" i="20"/>
  <c r="EM70" i="20"/>
  <c r="EN70" i="20"/>
  <c r="EO70" i="20"/>
  <c r="EP70" i="20"/>
  <c r="EQ70" i="20"/>
  <c r="EI71" i="20"/>
  <c r="EJ71" i="20"/>
  <c r="EK71" i="20"/>
  <c r="EL71" i="20"/>
  <c r="EM71" i="20"/>
  <c r="EN71" i="20"/>
  <c r="EO71" i="20"/>
  <c r="EP71" i="20"/>
  <c r="EQ71" i="20"/>
  <c r="EI72" i="20"/>
  <c r="EJ72" i="20"/>
  <c r="EK72" i="20"/>
  <c r="EL72" i="20"/>
  <c r="EM72" i="20"/>
  <c r="EN72" i="20"/>
  <c r="EO72" i="20"/>
  <c r="EP72" i="20"/>
  <c r="EQ72" i="20"/>
  <c r="EI73" i="20"/>
  <c r="EJ73" i="20"/>
  <c r="EK73" i="20"/>
  <c r="EL73" i="20"/>
  <c r="EM73" i="20"/>
  <c r="EN73" i="20"/>
  <c r="EO73" i="20"/>
  <c r="EP73" i="20"/>
  <c r="EQ73" i="20"/>
  <c r="EI74" i="20"/>
  <c r="EJ74" i="20"/>
  <c r="EK74" i="20"/>
  <c r="EL74" i="20"/>
  <c r="EM74" i="20"/>
  <c r="EN74" i="20"/>
  <c r="EO74" i="20"/>
  <c r="EP74" i="20"/>
  <c r="EQ74" i="20"/>
  <c r="EI75" i="20"/>
  <c r="EJ75" i="20"/>
  <c r="EK75" i="20"/>
  <c r="EL75" i="20"/>
  <c r="EM75" i="20"/>
  <c r="EN75" i="20"/>
  <c r="EO75" i="20"/>
  <c r="EP75" i="20"/>
  <c r="EQ75" i="20"/>
  <c r="EI76" i="20"/>
  <c r="EJ76" i="20"/>
  <c r="EK76" i="20"/>
  <c r="EL76" i="20"/>
  <c r="EM76" i="20"/>
  <c r="EN76" i="20"/>
  <c r="EO76" i="20"/>
  <c r="EP76" i="20"/>
  <c r="EQ76" i="20"/>
  <c r="EI77" i="20"/>
  <c r="EJ77" i="20"/>
  <c r="EK77" i="20"/>
  <c r="EL77" i="20"/>
  <c r="EM77" i="20"/>
  <c r="EN77" i="20"/>
  <c r="EO77" i="20"/>
  <c r="EP77" i="20"/>
  <c r="EQ77" i="20"/>
  <c r="EI78" i="20"/>
  <c r="EJ78" i="20"/>
  <c r="EK78" i="20"/>
  <c r="EL78" i="20"/>
  <c r="EM78" i="20"/>
  <c r="EN78" i="20"/>
  <c r="EO78" i="20"/>
  <c r="EP78" i="20"/>
  <c r="EQ78" i="20"/>
  <c r="EI79" i="20"/>
  <c r="EJ79" i="20"/>
  <c r="EK79" i="20"/>
  <c r="EL79" i="20"/>
  <c r="EM79" i="20"/>
  <c r="EN79" i="20"/>
  <c r="EO79" i="20"/>
  <c r="EP79" i="20"/>
  <c r="EQ79" i="20"/>
  <c r="EI80" i="20"/>
  <c r="EJ80" i="20"/>
  <c r="EK80" i="20"/>
  <c r="EL80" i="20"/>
  <c r="EM80" i="20"/>
  <c r="EN80" i="20"/>
  <c r="EO80" i="20"/>
  <c r="EP80" i="20"/>
  <c r="EQ80" i="20"/>
  <c r="EI81" i="20"/>
  <c r="EJ81" i="20"/>
  <c r="EK81" i="20"/>
  <c r="EL81" i="20"/>
  <c r="EM81" i="20"/>
  <c r="EN81" i="20"/>
  <c r="EO81" i="20"/>
  <c r="EP81" i="20"/>
  <c r="EQ81" i="20"/>
  <c r="EI82" i="20"/>
  <c r="EJ82" i="20"/>
  <c r="EK82" i="20"/>
  <c r="EL82" i="20"/>
  <c r="EM82" i="20"/>
  <c r="EN82" i="20"/>
  <c r="EO82" i="20"/>
  <c r="EP82" i="20"/>
  <c r="EQ82" i="20"/>
  <c r="EI83" i="20"/>
  <c r="EJ83" i="20"/>
  <c r="EK83" i="20"/>
  <c r="EL83" i="20"/>
  <c r="EM83" i="20"/>
  <c r="EN83" i="20"/>
  <c r="EO83" i="20"/>
  <c r="EP83" i="20"/>
  <c r="EQ83" i="20"/>
  <c r="EI84" i="20"/>
  <c r="EJ84" i="20"/>
  <c r="EK84" i="20"/>
  <c r="EL84" i="20"/>
  <c r="EM84" i="20"/>
  <c r="EN84" i="20"/>
  <c r="EO84" i="20"/>
  <c r="EP84" i="20"/>
  <c r="EQ84" i="20"/>
  <c r="EQ9" i="20"/>
  <c r="EP9" i="20"/>
  <c r="EO9" i="20"/>
  <c r="EN9" i="20"/>
  <c r="EM9" i="20"/>
  <c r="EL9" i="20"/>
  <c r="EK9" i="20"/>
  <c r="EI9" i="20"/>
  <c r="EJ9" i="20"/>
  <c r="N88" i="24"/>
  <c r="N87" i="24"/>
  <c r="N86" i="24"/>
  <c r="N85" i="24"/>
  <c r="N84" i="24"/>
  <c r="N83" i="24"/>
  <c r="N82" i="24"/>
  <c r="N81" i="24"/>
  <c r="N80" i="24"/>
  <c r="N79" i="24"/>
  <c r="N78" i="24"/>
  <c r="N77" i="24"/>
  <c r="N76" i="24"/>
  <c r="N75" i="24"/>
  <c r="N74" i="24"/>
  <c r="N73" i="24"/>
  <c r="N72" i="24"/>
  <c r="N71" i="24"/>
  <c r="N70" i="24"/>
  <c r="N69" i="24"/>
  <c r="N68" i="24"/>
  <c r="N67" i="24"/>
  <c r="N66" i="24"/>
  <c r="N65" i="24"/>
  <c r="N64" i="24"/>
  <c r="N63" i="24"/>
  <c r="N62" i="24"/>
  <c r="N61" i="24"/>
  <c r="N60" i="24"/>
  <c r="N59" i="24"/>
  <c r="N58" i="24"/>
  <c r="N57" i="24"/>
  <c r="N56" i="24"/>
  <c r="N55" i="24"/>
  <c r="N54" i="24"/>
  <c r="N53" i="24"/>
  <c r="N52" i="24"/>
  <c r="N51" i="24"/>
  <c r="N50" i="24"/>
  <c r="N49" i="24"/>
  <c r="N48" i="24"/>
  <c r="N47" i="24"/>
  <c r="N46" i="24"/>
  <c r="N45" i="24"/>
  <c r="N44" i="24"/>
  <c r="N43" i="24"/>
  <c r="N42" i="24"/>
  <c r="N41" i="24"/>
  <c r="N40" i="24"/>
  <c r="N39" i="24"/>
  <c r="N38" i="24"/>
  <c r="N37" i="24"/>
  <c r="N36" i="24"/>
  <c r="N35" i="24"/>
  <c r="N34" i="24"/>
  <c r="N33" i="24"/>
  <c r="N32" i="24"/>
  <c r="N31" i="24"/>
  <c r="N30" i="24"/>
  <c r="N29" i="24"/>
  <c r="N28" i="24"/>
  <c r="N27" i="24"/>
  <c r="N26" i="24"/>
  <c r="N25" i="24"/>
  <c r="N24" i="24"/>
  <c r="N23" i="24"/>
  <c r="N22" i="24"/>
  <c r="N21" i="24"/>
  <c r="N20" i="24"/>
  <c r="N19" i="24"/>
  <c r="N18" i="24"/>
  <c r="N17" i="24"/>
  <c r="N16" i="24"/>
  <c r="N15" i="24"/>
  <c r="N14" i="24"/>
  <c r="N13" i="24"/>
  <c r="N12" i="24"/>
  <c r="N11" i="24"/>
  <c r="N10" i="24"/>
  <c r="N9" i="24"/>
  <c r="N8" i="24"/>
  <c r="N7" i="24"/>
  <c r="N6" i="24"/>
  <c r="T66" i="71"/>
  <c r="S66" i="71"/>
  <c r="T65" i="71"/>
  <c r="S65" i="71"/>
  <c r="T64" i="71"/>
  <c r="S64" i="71"/>
  <c r="T63" i="71"/>
  <c r="S63" i="71"/>
  <c r="T62" i="71"/>
  <c r="S62" i="71"/>
  <c r="T61" i="71"/>
  <c r="S61" i="71"/>
  <c r="T60" i="71"/>
  <c r="S60" i="71"/>
  <c r="T59" i="71"/>
  <c r="S59" i="71"/>
  <c r="T58" i="71"/>
  <c r="S58" i="71"/>
  <c r="T57" i="71"/>
  <c r="S57" i="71"/>
  <c r="T56" i="71"/>
  <c r="S56" i="71"/>
  <c r="T55" i="71"/>
  <c r="S55" i="71"/>
  <c r="T54" i="71"/>
  <c r="S54" i="71"/>
  <c r="T53" i="71"/>
  <c r="S53" i="71"/>
  <c r="T52" i="71"/>
  <c r="S52" i="71"/>
  <c r="T51" i="71"/>
  <c r="S51" i="71"/>
  <c r="T50" i="71"/>
  <c r="S50" i="71"/>
  <c r="T49" i="71"/>
  <c r="S49" i="71"/>
  <c r="T48" i="71"/>
  <c r="S48" i="71"/>
  <c r="T47" i="71"/>
  <c r="S47" i="71"/>
  <c r="T46" i="71"/>
  <c r="S46" i="71"/>
  <c r="T45" i="71"/>
  <c r="S45" i="71"/>
  <c r="T44" i="71"/>
  <c r="S44" i="71"/>
  <c r="T43" i="71"/>
  <c r="S43" i="71"/>
  <c r="T42" i="71"/>
  <c r="S42" i="71"/>
  <c r="T41" i="71"/>
  <c r="S41" i="71"/>
  <c r="T40" i="71"/>
  <c r="S40" i="71"/>
  <c r="T39" i="71"/>
  <c r="S39" i="71"/>
  <c r="T38" i="71"/>
  <c r="S38" i="71"/>
  <c r="T37" i="71"/>
  <c r="S37" i="71"/>
  <c r="T36" i="71"/>
  <c r="S36" i="71"/>
  <c r="T35" i="71"/>
  <c r="S35" i="71"/>
  <c r="T34" i="71"/>
  <c r="S34" i="71"/>
  <c r="T33" i="71"/>
  <c r="S33" i="71"/>
  <c r="T32" i="71"/>
  <c r="S32" i="71"/>
  <c r="T31" i="71"/>
  <c r="S31" i="71"/>
  <c r="T30" i="71"/>
  <c r="S30" i="71"/>
  <c r="T29" i="71"/>
  <c r="S29" i="71"/>
  <c r="T28" i="71"/>
  <c r="S28" i="71"/>
  <c r="T27" i="71"/>
  <c r="S27" i="71"/>
  <c r="T26" i="71"/>
  <c r="S26" i="71"/>
  <c r="T25" i="71"/>
  <c r="S25" i="71"/>
  <c r="T24" i="71"/>
  <c r="S24" i="71"/>
  <c r="T23" i="71"/>
  <c r="S23" i="71"/>
  <c r="T22" i="71"/>
  <c r="S22" i="71"/>
  <c r="T21" i="71"/>
  <c r="S21" i="71"/>
  <c r="T20" i="71"/>
  <c r="S20" i="71"/>
  <c r="T19" i="71"/>
  <c r="S19" i="71"/>
  <c r="T18" i="71"/>
  <c r="S18" i="71"/>
  <c r="T17" i="71"/>
  <c r="S17" i="71"/>
  <c r="T16" i="71"/>
  <c r="S16" i="71"/>
  <c r="T15" i="71"/>
  <c r="S15" i="71"/>
  <c r="T14" i="71"/>
  <c r="S14" i="71"/>
  <c r="T13" i="71"/>
  <c r="S13" i="71"/>
  <c r="T12" i="71"/>
  <c r="S12" i="71"/>
  <c r="T11" i="71"/>
  <c r="S11" i="71"/>
  <c r="T10" i="71"/>
  <c r="S10" i="71"/>
  <c r="T9" i="71"/>
  <c r="S9" i="71"/>
  <c r="T8" i="71"/>
  <c r="S8" i="71"/>
  <c r="T7" i="71"/>
  <c r="S7" i="71"/>
  <c r="T6" i="71"/>
  <c r="S6" i="71"/>
  <c r="T58" i="70"/>
  <c r="S58" i="70"/>
  <c r="T57" i="70"/>
  <c r="S57" i="70"/>
  <c r="T56" i="70"/>
  <c r="S56" i="70"/>
  <c r="T55" i="70"/>
  <c r="S55" i="70"/>
  <c r="T54" i="70"/>
  <c r="S54" i="70"/>
  <c r="T53" i="70"/>
  <c r="S53" i="70"/>
  <c r="T52" i="70"/>
  <c r="S52" i="70"/>
  <c r="T51" i="70"/>
  <c r="S51" i="70"/>
  <c r="T50" i="70"/>
  <c r="S50" i="70"/>
  <c r="T49" i="70"/>
  <c r="S49" i="70"/>
  <c r="T48" i="70"/>
  <c r="S48" i="70"/>
  <c r="T47" i="70"/>
  <c r="S47" i="70"/>
  <c r="T46" i="70"/>
  <c r="S46" i="70"/>
  <c r="T45" i="70"/>
  <c r="S45" i="70"/>
  <c r="T44" i="70"/>
  <c r="S44" i="70"/>
  <c r="T43" i="70"/>
  <c r="S43" i="70"/>
  <c r="T42" i="70"/>
  <c r="S42" i="70"/>
  <c r="T41" i="70"/>
  <c r="S41" i="70"/>
  <c r="T40" i="70"/>
  <c r="S40" i="70"/>
  <c r="T39" i="70"/>
  <c r="S39" i="70"/>
  <c r="T38" i="70"/>
  <c r="S38" i="70"/>
  <c r="T37" i="70"/>
  <c r="S37" i="70"/>
  <c r="T36" i="70"/>
  <c r="S36" i="70"/>
  <c r="T35" i="70"/>
  <c r="S35" i="70"/>
  <c r="T34" i="70"/>
  <c r="S34" i="70"/>
  <c r="T33" i="70"/>
  <c r="S33" i="70"/>
  <c r="T32" i="70"/>
  <c r="S32" i="70"/>
  <c r="T31" i="70"/>
  <c r="S31" i="70"/>
  <c r="T30" i="70"/>
  <c r="S30" i="70"/>
  <c r="T29" i="70"/>
  <c r="S29" i="70"/>
  <c r="T28" i="70"/>
  <c r="S28" i="70"/>
  <c r="T27" i="70"/>
  <c r="S27" i="70"/>
  <c r="T26" i="70"/>
  <c r="S26" i="70"/>
  <c r="T25" i="70"/>
  <c r="S25" i="70"/>
  <c r="T24" i="70"/>
  <c r="S24" i="70"/>
  <c r="T23" i="70"/>
  <c r="S23" i="70"/>
  <c r="T22" i="70"/>
  <c r="S22" i="70"/>
  <c r="T21" i="70"/>
  <c r="S21" i="70"/>
  <c r="T20" i="70"/>
  <c r="S20" i="70"/>
  <c r="T19" i="70"/>
  <c r="S19" i="70"/>
  <c r="T18" i="70"/>
  <c r="S18" i="70"/>
  <c r="T17" i="70"/>
  <c r="S17" i="70"/>
  <c r="T16" i="70"/>
  <c r="S16" i="70"/>
  <c r="T15" i="70"/>
  <c r="S15" i="70"/>
  <c r="T14" i="70"/>
  <c r="S14" i="70"/>
  <c r="T13" i="70"/>
  <c r="S13" i="70"/>
  <c r="T12" i="70"/>
  <c r="S12" i="70"/>
  <c r="T11" i="70"/>
  <c r="S11" i="70"/>
  <c r="T10" i="70"/>
  <c r="S10" i="70"/>
  <c r="T9" i="70"/>
  <c r="S9" i="70"/>
  <c r="T8" i="70"/>
  <c r="S8" i="70"/>
  <c r="T7" i="70"/>
  <c r="S7" i="70"/>
  <c r="T6" i="70"/>
  <c r="S6" i="70"/>
  <c r="T104" i="19"/>
  <c r="S104" i="19"/>
  <c r="T103" i="19"/>
  <c r="S103" i="19"/>
  <c r="T102" i="19"/>
  <c r="S102" i="19"/>
  <c r="T101" i="19"/>
  <c r="S101" i="19"/>
  <c r="T100" i="19"/>
  <c r="S100" i="19"/>
  <c r="T99" i="19"/>
  <c r="S99" i="19"/>
  <c r="T98" i="19"/>
  <c r="S98" i="19"/>
  <c r="T97" i="19"/>
  <c r="S97" i="19"/>
  <c r="T96" i="19"/>
  <c r="S96" i="19"/>
  <c r="T95" i="19"/>
  <c r="S95" i="19"/>
  <c r="T94" i="19"/>
  <c r="S94" i="19"/>
  <c r="T93" i="19"/>
  <c r="S93" i="19"/>
  <c r="T92" i="19"/>
  <c r="S92" i="19"/>
  <c r="T91" i="19"/>
  <c r="S91" i="19"/>
  <c r="T90" i="19"/>
  <c r="S90" i="19"/>
  <c r="T89" i="19"/>
  <c r="S89" i="19"/>
  <c r="T88" i="19"/>
  <c r="S88" i="19"/>
  <c r="T87" i="19"/>
  <c r="S87" i="19"/>
  <c r="T86" i="19"/>
  <c r="S86" i="19"/>
  <c r="T85" i="19"/>
  <c r="S85" i="19"/>
  <c r="T84" i="19"/>
  <c r="S84" i="19"/>
  <c r="T83" i="19"/>
  <c r="S83" i="19"/>
  <c r="T82" i="19"/>
  <c r="S82" i="19"/>
  <c r="T81" i="19"/>
  <c r="S81" i="19"/>
  <c r="T80" i="19"/>
  <c r="S80" i="19"/>
  <c r="T79" i="19"/>
  <c r="S79" i="19"/>
  <c r="T78" i="19"/>
  <c r="S78" i="19"/>
  <c r="T77" i="19"/>
  <c r="S77" i="19"/>
  <c r="T76" i="19"/>
  <c r="S76" i="19"/>
  <c r="T75" i="19"/>
  <c r="S75" i="19"/>
  <c r="T74" i="19"/>
  <c r="S74" i="19"/>
  <c r="T73" i="19"/>
  <c r="S73" i="19"/>
  <c r="T72" i="19"/>
  <c r="S72" i="19"/>
  <c r="T71" i="19"/>
  <c r="S71" i="19"/>
  <c r="T70" i="19"/>
  <c r="S70" i="19"/>
  <c r="T69" i="19"/>
  <c r="S69" i="19"/>
  <c r="T68" i="19"/>
  <c r="S68" i="19"/>
  <c r="T67" i="19"/>
  <c r="S67" i="19"/>
  <c r="T66" i="19"/>
  <c r="S66" i="19"/>
  <c r="T65" i="19"/>
  <c r="S65" i="19"/>
  <c r="T64" i="19"/>
  <c r="S64" i="19"/>
  <c r="T63" i="19"/>
  <c r="S63" i="19"/>
  <c r="T62" i="19"/>
  <c r="S62" i="19"/>
  <c r="T61" i="19"/>
  <c r="S61" i="19"/>
  <c r="T60" i="19"/>
  <c r="S60" i="19"/>
  <c r="T59" i="19"/>
  <c r="S59" i="19"/>
  <c r="T58" i="19"/>
  <c r="S58" i="19"/>
  <c r="T57" i="19"/>
  <c r="S57" i="19"/>
  <c r="T56" i="19"/>
  <c r="S56" i="19"/>
  <c r="T55" i="19"/>
  <c r="S55" i="19"/>
  <c r="T54" i="19"/>
  <c r="S54" i="19"/>
  <c r="T53" i="19"/>
  <c r="S53" i="19"/>
  <c r="T52" i="19"/>
  <c r="S52" i="19"/>
  <c r="T51" i="19"/>
  <c r="S51" i="19"/>
  <c r="T50" i="19"/>
  <c r="S50" i="19"/>
  <c r="T49" i="19"/>
  <c r="S49" i="19"/>
  <c r="T48" i="19"/>
  <c r="S48" i="19"/>
  <c r="T47" i="19"/>
  <c r="S47" i="19"/>
  <c r="T46" i="19"/>
  <c r="S46" i="19"/>
  <c r="T45" i="19"/>
  <c r="S45" i="19"/>
  <c r="T44" i="19"/>
  <c r="S44" i="19"/>
  <c r="T43" i="19"/>
  <c r="S43" i="19"/>
  <c r="T42" i="19"/>
  <c r="S42" i="19"/>
  <c r="T41" i="19"/>
  <c r="S41" i="19"/>
  <c r="T40" i="19"/>
  <c r="S40" i="19"/>
  <c r="T39" i="19"/>
  <c r="S39" i="19"/>
  <c r="T38" i="19"/>
  <c r="S38" i="19"/>
  <c r="T37" i="19"/>
  <c r="S37" i="19"/>
  <c r="T36" i="19"/>
  <c r="S36" i="19"/>
  <c r="T35" i="19"/>
  <c r="S35" i="19"/>
  <c r="T34" i="19"/>
  <c r="S34" i="19"/>
  <c r="T33" i="19"/>
  <c r="S33" i="19"/>
  <c r="T32" i="19"/>
  <c r="S32" i="19"/>
  <c r="T31" i="19"/>
  <c r="S31" i="19"/>
  <c r="T30" i="19"/>
  <c r="S30" i="19"/>
  <c r="T29" i="19"/>
  <c r="S29" i="19"/>
  <c r="T28" i="19"/>
  <c r="S28" i="19"/>
  <c r="T27" i="19"/>
  <c r="S27" i="19"/>
  <c r="T26" i="19"/>
  <c r="S26" i="19"/>
  <c r="T25" i="19"/>
  <c r="S25" i="19"/>
  <c r="T24" i="19"/>
  <c r="S24" i="19"/>
  <c r="T23" i="19"/>
  <c r="S23" i="19"/>
  <c r="T22" i="19"/>
  <c r="S22" i="19"/>
  <c r="T21" i="19"/>
  <c r="S21" i="19"/>
  <c r="T20" i="19"/>
  <c r="S20" i="19"/>
  <c r="T19" i="19"/>
  <c r="S19" i="19"/>
  <c r="T18" i="19"/>
  <c r="S18" i="19"/>
  <c r="T17" i="19"/>
  <c r="S17" i="19"/>
  <c r="T16" i="19"/>
  <c r="S16" i="19"/>
  <c r="T15" i="19"/>
  <c r="S15" i="19"/>
  <c r="T14" i="19"/>
  <c r="S14" i="19"/>
  <c r="T13" i="19"/>
  <c r="S13" i="19"/>
  <c r="T12" i="19"/>
  <c r="S12" i="19"/>
  <c r="T11" i="19"/>
  <c r="S11" i="19"/>
  <c r="T10" i="19"/>
  <c r="S10" i="19"/>
  <c r="T9" i="19"/>
  <c r="S9" i="19"/>
  <c r="T8" i="19"/>
  <c r="S8" i="19"/>
  <c r="T7" i="19"/>
  <c r="S7" i="19"/>
  <c r="T6" i="19"/>
  <c r="S6" i="19"/>
  <c r="T104" i="18"/>
  <c r="S104" i="18"/>
  <c r="T103" i="18"/>
  <c r="S103" i="18"/>
  <c r="T102" i="18"/>
  <c r="S102" i="18"/>
  <c r="T101" i="18"/>
  <c r="S101" i="18"/>
  <c r="T100" i="18"/>
  <c r="S100" i="18"/>
  <c r="T99" i="18"/>
  <c r="S99" i="18"/>
  <c r="T98" i="18"/>
  <c r="S98" i="18"/>
  <c r="T97" i="18"/>
  <c r="S97" i="18"/>
  <c r="T96" i="18"/>
  <c r="S96" i="18"/>
  <c r="T95" i="18"/>
  <c r="S95" i="18"/>
  <c r="T94" i="18"/>
  <c r="S94" i="18"/>
  <c r="T93" i="18"/>
  <c r="S93" i="18"/>
  <c r="T92" i="18"/>
  <c r="S92" i="18"/>
  <c r="T91" i="18"/>
  <c r="S91" i="18"/>
  <c r="T90" i="18"/>
  <c r="S90" i="18"/>
  <c r="T89" i="18"/>
  <c r="S89" i="18"/>
  <c r="T88" i="18"/>
  <c r="S88" i="18"/>
  <c r="T87" i="18"/>
  <c r="S87" i="18"/>
  <c r="T86" i="18"/>
  <c r="S86" i="18"/>
  <c r="T85" i="18"/>
  <c r="S85" i="18"/>
  <c r="T84" i="18"/>
  <c r="S84" i="18"/>
  <c r="T83" i="18"/>
  <c r="S83" i="18"/>
  <c r="T82" i="18"/>
  <c r="S82" i="18"/>
  <c r="T81" i="18"/>
  <c r="S81" i="18"/>
  <c r="T80" i="18"/>
  <c r="S80" i="18"/>
  <c r="T79" i="18"/>
  <c r="S79" i="18"/>
  <c r="T78" i="18"/>
  <c r="S78" i="18"/>
  <c r="T77" i="18"/>
  <c r="S77" i="18"/>
  <c r="T76" i="18"/>
  <c r="S76" i="18"/>
  <c r="T75" i="18"/>
  <c r="S75" i="18"/>
  <c r="T74" i="18"/>
  <c r="S74" i="18"/>
  <c r="T73" i="18"/>
  <c r="S73" i="18"/>
  <c r="T72" i="18"/>
  <c r="S72" i="18"/>
  <c r="T71" i="18"/>
  <c r="S71" i="18"/>
  <c r="T70" i="18"/>
  <c r="S70" i="18"/>
  <c r="T69" i="18"/>
  <c r="S69" i="18"/>
  <c r="T68" i="18"/>
  <c r="S68" i="18"/>
  <c r="T67" i="18"/>
  <c r="S67" i="18"/>
  <c r="T66" i="18"/>
  <c r="S66" i="18"/>
  <c r="T65" i="18"/>
  <c r="S65" i="18"/>
  <c r="T64" i="18"/>
  <c r="S64" i="18"/>
  <c r="T63" i="18"/>
  <c r="S63" i="18"/>
  <c r="T62" i="18"/>
  <c r="S62" i="18"/>
  <c r="T61" i="18"/>
  <c r="S61" i="18"/>
  <c r="T60" i="18"/>
  <c r="S60" i="18"/>
  <c r="T59" i="18"/>
  <c r="S59" i="18"/>
  <c r="T58" i="18"/>
  <c r="S58" i="18"/>
  <c r="T57" i="18"/>
  <c r="S57" i="18"/>
  <c r="T56" i="18"/>
  <c r="S56" i="18"/>
  <c r="T55" i="18"/>
  <c r="S55" i="18"/>
  <c r="T54" i="18"/>
  <c r="S54" i="18"/>
  <c r="T53" i="18"/>
  <c r="S53" i="18"/>
  <c r="T52" i="18"/>
  <c r="S52" i="18"/>
  <c r="T51" i="18"/>
  <c r="S51" i="18"/>
  <c r="T50" i="18"/>
  <c r="S50" i="18"/>
  <c r="T49" i="18"/>
  <c r="S49" i="18"/>
  <c r="T48" i="18"/>
  <c r="S48" i="18"/>
  <c r="T47" i="18"/>
  <c r="S47" i="18"/>
  <c r="T46" i="18"/>
  <c r="S46" i="18"/>
  <c r="T45" i="18"/>
  <c r="S45" i="18"/>
  <c r="T44" i="18"/>
  <c r="S44" i="18"/>
  <c r="T43" i="18"/>
  <c r="S43" i="18"/>
  <c r="T42" i="18"/>
  <c r="S42" i="18"/>
  <c r="T41" i="18"/>
  <c r="S41" i="18"/>
  <c r="T40" i="18"/>
  <c r="S40" i="18"/>
  <c r="T39" i="18"/>
  <c r="S39" i="18"/>
  <c r="T38" i="18"/>
  <c r="S38" i="18"/>
  <c r="T37" i="18"/>
  <c r="S37" i="18"/>
  <c r="T36" i="18"/>
  <c r="S36" i="18"/>
  <c r="T35" i="18"/>
  <c r="S35" i="18"/>
  <c r="T34" i="18"/>
  <c r="S34" i="18"/>
  <c r="T33" i="18"/>
  <c r="S33" i="18"/>
  <c r="T32" i="18"/>
  <c r="S32" i="18"/>
  <c r="T31" i="18"/>
  <c r="S31" i="18"/>
  <c r="T30" i="18"/>
  <c r="S30" i="18"/>
  <c r="T29" i="18"/>
  <c r="S29" i="18"/>
  <c r="T28" i="18"/>
  <c r="S28" i="18"/>
  <c r="T27" i="18"/>
  <c r="S27" i="18"/>
  <c r="T26" i="18"/>
  <c r="S26" i="18"/>
  <c r="T25" i="18"/>
  <c r="S25" i="18"/>
  <c r="T24" i="18"/>
  <c r="S24" i="18"/>
  <c r="T23" i="18"/>
  <c r="S23" i="18"/>
  <c r="T22" i="18"/>
  <c r="S22" i="18"/>
  <c r="T21" i="18"/>
  <c r="S21" i="18"/>
  <c r="T20" i="18"/>
  <c r="S20" i="18"/>
  <c r="T19" i="18"/>
  <c r="S19" i="18"/>
  <c r="T18" i="18"/>
  <c r="S18" i="18"/>
  <c r="T17" i="18"/>
  <c r="S17" i="18"/>
  <c r="T16" i="18"/>
  <c r="S16" i="18"/>
  <c r="T15" i="18"/>
  <c r="S15" i="18"/>
  <c r="T14" i="18"/>
  <c r="S14" i="18"/>
  <c r="T13" i="18"/>
  <c r="S13" i="18"/>
  <c r="T12" i="18"/>
  <c r="S12" i="18"/>
  <c r="T11" i="18"/>
  <c r="S11" i="18"/>
  <c r="T10" i="18"/>
  <c r="S10" i="18"/>
  <c r="T9" i="18"/>
  <c r="S9" i="18"/>
  <c r="T8" i="18"/>
  <c r="S8" i="18"/>
  <c r="T7" i="18"/>
  <c r="S7" i="18"/>
  <c r="T6" i="18"/>
  <c r="S6" i="18"/>
  <c r="F120" i="81"/>
  <c r="F119" i="81"/>
  <c r="F118" i="81"/>
  <c r="F117" i="81"/>
  <c r="F116" i="81"/>
  <c r="F115" i="81"/>
  <c r="F114" i="81"/>
  <c r="F113" i="81"/>
  <c r="F112" i="81"/>
  <c r="F111" i="81"/>
  <c r="F110" i="81"/>
  <c r="F109" i="81"/>
  <c r="F108" i="81"/>
  <c r="F107" i="81"/>
  <c r="F106" i="81"/>
  <c r="F105" i="81"/>
  <c r="F104" i="81"/>
  <c r="F103" i="81"/>
  <c r="F102" i="81"/>
  <c r="F101" i="81"/>
  <c r="F100" i="81"/>
  <c r="F99" i="81"/>
  <c r="F98" i="81"/>
  <c r="F97" i="81"/>
  <c r="F96" i="81"/>
  <c r="F95" i="81"/>
  <c r="F94" i="81"/>
  <c r="F93" i="81"/>
  <c r="F92" i="81"/>
  <c r="F91" i="81"/>
  <c r="F90" i="81"/>
  <c r="F89" i="81"/>
  <c r="F88" i="81"/>
  <c r="F87" i="81"/>
  <c r="F86" i="81"/>
  <c r="F85" i="81"/>
  <c r="F84" i="81"/>
  <c r="F83" i="81"/>
  <c r="F82" i="81"/>
  <c r="F81" i="81"/>
  <c r="F80" i="81"/>
  <c r="F79" i="81"/>
  <c r="F78" i="81"/>
  <c r="F77" i="81"/>
  <c r="F76" i="81"/>
  <c r="F75" i="81"/>
  <c r="F74" i="81"/>
  <c r="F73" i="81"/>
  <c r="F72" i="81"/>
  <c r="F71" i="81"/>
  <c r="F70" i="81"/>
  <c r="F69" i="81"/>
  <c r="F68" i="81"/>
  <c r="F67" i="81"/>
  <c r="F66" i="81"/>
  <c r="F65" i="81"/>
  <c r="F64" i="81"/>
  <c r="F63" i="81"/>
  <c r="F62" i="81"/>
  <c r="F61" i="81"/>
  <c r="F60" i="81"/>
  <c r="F59" i="81"/>
  <c r="F58" i="81"/>
  <c r="F57" i="81"/>
  <c r="F56" i="81"/>
  <c r="F55" i="81"/>
  <c r="F54" i="81"/>
  <c r="F53" i="81"/>
  <c r="F52" i="81"/>
  <c r="F51" i="81"/>
  <c r="F50" i="81"/>
  <c r="F49" i="81"/>
  <c r="F48" i="81"/>
  <c r="F47" i="81"/>
  <c r="F46" i="81"/>
  <c r="F45" i="81"/>
  <c r="F44" i="81"/>
  <c r="F43" i="81"/>
  <c r="F42" i="81"/>
  <c r="F41" i="81"/>
  <c r="F40" i="81"/>
  <c r="F39" i="81"/>
  <c r="F38" i="81"/>
  <c r="F37" i="81"/>
  <c r="F36" i="81"/>
  <c r="F35" i="81"/>
  <c r="F34" i="81"/>
  <c r="F33" i="81"/>
  <c r="F32" i="81"/>
  <c r="F31" i="81"/>
  <c r="F30" i="81"/>
  <c r="F29" i="81"/>
  <c r="F28" i="81"/>
  <c r="F27" i="81"/>
  <c r="F26" i="81"/>
  <c r="F25" i="81"/>
  <c r="F24" i="81"/>
  <c r="F23" i="81"/>
  <c r="F22" i="81"/>
  <c r="F21" i="81"/>
  <c r="F20" i="81"/>
  <c r="F19" i="81"/>
  <c r="F18" i="81"/>
  <c r="F17" i="81"/>
  <c r="F16" i="81"/>
  <c r="F15" i="81"/>
  <c r="F14" i="81"/>
  <c r="F13" i="81"/>
  <c r="F12" i="81"/>
  <c r="F11" i="81"/>
  <c r="F10" i="81"/>
  <c r="F9" i="81"/>
  <c r="F8" i="81"/>
  <c r="F7" i="81"/>
  <c r="F6" i="8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B247" i="30"/>
  <c r="B246" i="30"/>
  <c r="B245" i="30"/>
  <c r="B244" i="30"/>
  <c r="B243" i="30"/>
  <c r="B242" i="30"/>
  <c r="B241" i="30"/>
  <c r="B240" i="30"/>
  <c r="B239" i="30"/>
  <c r="B238" i="30"/>
  <c r="B237" i="30"/>
  <c r="B236" i="30"/>
  <c r="B235" i="30"/>
  <c r="B234" i="30"/>
  <c r="B233" i="30"/>
  <c r="B232" i="30"/>
  <c r="B231" i="30"/>
  <c r="B230" i="30"/>
  <c r="B229" i="30"/>
  <c r="B228" i="30"/>
  <c r="B227" i="30"/>
  <c r="B226" i="30"/>
  <c r="B225" i="30"/>
  <c r="B224" i="30"/>
  <c r="B223" i="30"/>
  <c r="B222" i="30"/>
  <c r="B221" i="30"/>
  <c r="B220" i="30"/>
  <c r="B219" i="30"/>
  <c r="B218" i="30"/>
  <c r="B217" i="30"/>
  <c r="B216" i="30"/>
  <c r="B215" i="30"/>
  <c r="B214" i="30"/>
  <c r="B213" i="30"/>
  <c r="B212" i="30"/>
  <c r="B211" i="30"/>
  <c r="B210" i="30"/>
  <c r="B209" i="30"/>
  <c r="B208" i="30"/>
  <c r="B207" i="30"/>
  <c r="B206" i="30"/>
  <c r="B205" i="30"/>
  <c r="B204" i="30"/>
  <c r="B203" i="30"/>
  <c r="B202" i="30"/>
  <c r="B201" i="30"/>
  <c r="B200" i="30"/>
  <c r="B199" i="30"/>
  <c r="B198" i="30"/>
  <c r="B197" i="30"/>
  <c r="B196" i="30"/>
  <c r="B195" i="30"/>
  <c r="B194" i="30"/>
  <c r="B193" i="30"/>
  <c r="B192" i="30"/>
  <c r="B191" i="30"/>
  <c r="B190" i="30"/>
  <c r="B189" i="30"/>
  <c r="B188" i="30"/>
  <c r="B187" i="30"/>
  <c r="B186" i="30"/>
  <c r="B185" i="30"/>
  <c r="B184" i="30"/>
  <c r="B183" i="30"/>
  <c r="B182" i="30"/>
  <c r="B181" i="30"/>
  <c r="B180" i="30"/>
  <c r="B179" i="30"/>
  <c r="B178" i="30"/>
  <c r="B177" i="30"/>
  <c r="B176" i="30"/>
  <c r="B175" i="30"/>
  <c r="B174" i="30"/>
  <c r="B173" i="30"/>
  <c r="B172" i="30"/>
  <c r="B171" i="30"/>
  <c r="B170" i="30"/>
  <c r="B169" i="30"/>
  <c r="B168" i="30"/>
  <c r="B167" i="30"/>
  <c r="B166" i="30"/>
  <c r="B165" i="30"/>
  <c r="B164" i="30"/>
  <c r="B163" i="30"/>
  <c r="B162" i="30"/>
  <c r="B161" i="30"/>
  <c r="B160" i="30"/>
  <c r="B159" i="30"/>
  <c r="B158" i="30"/>
  <c r="B157" i="30"/>
  <c r="B156" i="30"/>
  <c r="B155" i="30"/>
  <c r="B154" i="30"/>
  <c r="B153" i="30"/>
  <c r="B152" i="30"/>
  <c r="B151" i="30"/>
  <c r="B150" i="30"/>
  <c r="B149" i="30"/>
  <c r="B148" i="30"/>
  <c r="B147" i="30"/>
  <c r="B146" i="30"/>
  <c r="B145" i="30"/>
  <c r="B144" i="30"/>
  <c r="B143" i="30"/>
  <c r="B142" i="30"/>
  <c r="B141" i="30"/>
  <c r="B140" i="30"/>
  <c r="B139" i="30"/>
  <c r="B138" i="30"/>
  <c r="B137" i="30"/>
  <c r="B136" i="30"/>
  <c r="B135" i="30"/>
  <c r="B134" i="30"/>
  <c r="B133" i="30"/>
  <c r="B132" i="30"/>
  <c r="B131" i="30"/>
  <c r="B130" i="30"/>
  <c r="B129" i="30"/>
  <c r="B128" i="30"/>
  <c r="B127" i="30"/>
  <c r="B126" i="30"/>
  <c r="B125" i="30"/>
  <c r="B124" i="30"/>
  <c r="B123" i="30"/>
  <c r="B122" i="30"/>
  <c r="B121" i="30"/>
  <c r="B120" i="30"/>
  <c r="B119" i="30"/>
  <c r="B118" i="30"/>
  <c r="B117" i="30"/>
  <c r="B116" i="30"/>
  <c r="B115" i="30"/>
  <c r="B114" i="30"/>
  <c r="B113" i="30"/>
  <c r="B112" i="30"/>
  <c r="B111" i="30"/>
  <c r="B110" i="30"/>
  <c r="B109" i="30"/>
  <c r="B108" i="30"/>
  <c r="B107" i="30"/>
  <c r="B106" i="30"/>
  <c r="B105" i="30"/>
  <c r="B104" i="30"/>
  <c r="B103" i="30"/>
  <c r="B102" i="30"/>
  <c r="B101" i="30"/>
  <c r="B100" i="30"/>
  <c r="B99" i="30"/>
  <c r="B98" i="30"/>
  <c r="B97" i="30"/>
  <c r="B96" i="30"/>
  <c r="B95" i="30"/>
  <c r="B94" i="30"/>
  <c r="B93" i="30"/>
  <c r="B92" i="30"/>
  <c r="B91" i="30"/>
  <c r="B90" i="30"/>
  <c r="B89" i="30"/>
  <c r="B88" i="30"/>
  <c r="B87" i="30"/>
  <c r="B86" i="30"/>
  <c r="B85" i="30"/>
  <c r="B84" i="30"/>
  <c r="B83" i="30"/>
  <c r="B82" i="30"/>
  <c r="B81" i="30"/>
  <c r="B80" i="30"/>
  <c r="B79" i="30"/>
  <c r="B78" i="30"/>
  <c r="B77" i="30"/>
  <c r="B76" i="30"/>
  <c r="B75" i="30"/>
  <c r="B74" i="30"/>
  <c r="B73" i="30"/>
  <c r="B72" i="30"/>
  <c r="B71" i="30"/>
  <c r="B70" i="30"/>
  <c r="B69" i="30"/>
  <c r="B68" i="30"/>
  <c r="B67" i="30"/>
  <c r="B66" i="30"/>
  <c r="B65" i="30"/>
  <c r="B64" i="30"/>
  <c r="B63" i="30"/>
  <c r="B62" i="30"/>
  <c r="B61" i="30"/>
  <c r="B60" i="30"/>
  <c r="B59" i="30"/>
  <c r="B58" i="30"/>
  <c r="B57" i="30"/>
  <c r="B56" i="30"/>
  <c r="B55" i="30"/>
  <c r="B54" i="30"/>
  <c r="B53" i="30"/>
  <c r="B52" i="30"/>
  <c r="B51" i="30"/>
  <c r="B50" i="30"/>
  <c r="B49" i="30"/>
  <c r="B48" i="30"/>
  <c r="B47" i="30"/>
  <c r="B46" i="30"/>
  <c r="B45" i="30"/>
  <c r="B44" i="30"/>
  <c r="B43" i="30"/>
  <c r="B42" i="30"/>
  <c r="B41" i="30"/>
  <c r="B40" i="30"/>
  <c r="B39" i="30"/>
  <c r="B38" i="30"/>
  <c r="B37" i="30"/>
  <c r="B36" i="30"/>
  <c r="B35" i="30"/>
  <c r="B34" i="30"/>
  <c r="B33" i="30"/>
  <c r="B32" i="30"/>
  <c r="B31" i="30"/>
  <c r="B30" i="30"/>
  <c r="B29" i="30"/>
  <c r="B28" i="30"/>
  <c r="B27" i="30"/>
  <c r="B26" i="30"/>
  <c r="B25" i="30"/>
  <c r="B24" i="30"/>
  <c r="B23" i="30"/>
  <c r="B22" i="30"/>
  <c r="B21" i="30"/>
  <c r="B20" i="30"/>
  <c r="B19" i="30"/>
  <c r="B18" i="30"/>
  <c r="B17" i="30"/>
  <c r="B16" i="30"/>
  <c r="B15" i="30"/>
  <c r="B14" i="30"/>
  <c r="B13" i="30"/>
  <c r="B12" i="30"/>
  <c r="B11" i="30"/>
  <c r="B10" i="30"/>
  <c r="B6" i="30"/>
  <c r="B7" i="30"/>
  <c r="B8" i="30"/>
  <c r="B9" i="30"/>
  <c r="F6" i="55"/>
  <c r="E7" i="55"/>
  <c r="F7" i="55"/>
  <c r="E8" i="55"/>
  <c r="F8" i="55"/>
  <c r="F9" i="55"/>
  <c r="E10" i="55"/>
  <c r="F10" i="55"/>
  <c r="E11" i="55"/>
  <c r="F11" i="55"/>
  <c r="E12" i="55"/>
  <c r="F12" i="55"/>
  <c r="F13" i="55"/>
  <c r="F14" i="55"/>
  <c r="E20" i="55"/>
  <c r="F20" i="55"/>
  <c r="E22" i="55"/>
  <c r="F22" i="55"/>
  <c r="F26" i="55"/>
  <c r="F30" i="55"/>
  <c r="F32" i="55"/>
  <c r="F34" i="55"/>
  <c r="F35" i="55"/>
  <c r="F38" i="55"/>
  <c r="G6" i="55"/>
  <c r="G7" i="55"/>
  <c r="G8" i="55"/>
  <c r="G9" i="55"/>
  <c r="G10" i="55"/>
  <c r="G11" i="55"/>
  <c r="G14" i="55"/>
  <c r="G20" i="55"/>
  <c r="G22" i="55"/>
  <c r="G26" i="55"/>
  <c r="G30" i="55"/>
  <c r="G32" i="55"/>
  <c r="G34" i="55"/>
  <c r="G35" i="55"/>
  <c r="G38" i="55"/>
  <c r="H6" i="55"/>
  <c r="H7" i="55"/>
  <c r="H8" i="55"/>
  <c r="H10" i="55"/>
  <c r="H11" i="55"/>
  <c r="H14" i="55"/>
  <c r="H20" i="55"/>
  <c r="H22" i="55"/>
  <c r="H26" i="55"/>
  <c r="H30" i="55"/>
  <c r="H32" i="55"/>
  <c r="H34" i="55"/>
  <c r="H35" i="55"/>
  <c r="H38" i="55"/>
  <c r="I6" i="55"/>
  <c r="I7" i="55"/>
  <c r="I8" i="55"/>
  <c r="I10" i="55"/>
  <c r="I14" i="55"/>
  <c r="I20" i="55"/>
  <c r="I22" i="55"/>
  <c r="I26" i="55"/>
  <c r="I30" i="55"/>
  <c r="I32" i="55"/>
  <c r="I34" i="55"/>
  <c r="I35" i="55"/>
  <c r="I38" i="55"/>
  <c r="J6" i="55"/>
  <c r="J7" i="55"/>
  <c r="J8" i="55"/>
  <c r="J10" i="55"/>
  <c r="J14" i="55"/>
  <c r="J20" i="55"/>
  <c r="J22" i="55"/>
  <c r="J26" i="55"/>
  <c r="J30" i="55"/>
  <c r="J32" i="55"/>
  <c r="J34" i="55"/>
  <c r="J35" i="55"/>
  <c r="J38" i="55"/>
  <c r="K6" i="55"/>
  <c r="K7" i="55"/>
  <c r="K8" i="55"/>
  <c r="K10" i="55"/>
  <c r="K20" i="55"/>
  <c r="K22" i="55"/>
  <c r="K26" i="55"/>
  <c r="K30" i="55"/>
  <c r="K32" i="55"/>
  <c r="K34" i="55"/>
  <c r="K35" i="55"/>
  <c r="K38" i="55"/>
  <c r="L6" i="55"/>
  <c r="L7" i="55"/>
  <c r="L8" i="55"/>
  <c r="L10" i="55"/>
  <c r="L20" i="55"/>
  <c r="L26" i="55"/>
  <c r="L30" i="55"/>
  <c r="L32" i="55"/>
  <c r="L34" i="55"/>
  <c r="L35" i="55"/>
  <c r="L38" i="55"/>
  <c r="M38" i="55"/>
  <c r="D26" i="55"/>
  <c r="D30" i="55"/>
  <c r="M40" i="55"/>
  <c r="E6" i="55"/>
  <c r="E21" i="55"/>
  <c r="E26" i="55"/>
  <c r="E30" i="55"/>
  <c r="M41" i="55"/>
  <c r="M43" i="55"/>
  <c r="S28" i="55"/>
  <c r="S31" i="55"/>
  <c r="R33" i="55"/>
  <c r="R34" i="55"/>
  <c r="R35" i="55"/>
  <c r="R37" i="55"/>
  <c r="M35" i="55"/>
  <c r="M34" i="55"/>
  <c r="M33" i="55"/>
  <c r="M32" i="55"/>
  <c r="S52" i="54"/>
  <c r="R52" i="54"/>
  <c r="Q52" i="54"/>
  <c r="P52" i="54"/>
  <c r="O52" i="54"/>
  <c r="N52" i="54"/>
  <c r="M52" i="54"/>
  <c r="L52" i="54"/>
  <c r="K52" i="54"/>
  <c r="J52" i="54"/>
  <c r="I52" i="54"/>
  <c r="H52" i="54"/>
  <c r="G52" i="54"/>
  <c r="F52" i="54"/>
  <c r="E52" i="54"/>
  <c r="D52" i="54"/>
  <c r="S51" i="54"/>
  <c r="R51" i="54"/>
  <c r="Q51" i="54"/>
  <c r="P51" i="54"/>
  <c r="O51" i="54"/>
  <c r="N51" i="54"/>
  <c r="M51" i="54"/>
  <c r="L51" i="54"/>
  <c r="K51" i="54"/>
  <c r="J51" i="54"/>
  <c r="I51" i="54"/>
  <c r="H51" i="54"/>
  <c r="G51" i="54"/>
  <c r="F51" i="54"/>
  <c r="E51" i="54"/>
  <c r="D51" i="54"/>
  <c r="S50" i="54"/>
  <c r="R50" i="54"/>
  <c r="Q50" i="54"/>
  <c r="P50" i="54"/>
  <c r="O50" i="54"/>
  <c r="N50" i="54"/>
  <c r="M50" i="54"/>
  <c r="L50" i="54"/>
  <c r="K50" i="54"/>
  <c r="J50" i="54"/>
  <c r="I50" i="54"/>
  <c r="H50" i="54"/>
  <c r="G50" i="54"/>
  <c r="F50" i="54"/>
  <c r="E50" i="54"/>
  <c r="D50" i="54"/>
  <c r="S49" i="54"/>
  <c r="R49" i="54"/>
  <c r="Q49" i="54"/>
  <c r="P49" i="54"/>
  <c r="O49" i="54"/>
  <c r="N49" i="54"/>
  <c r="M49" i="54"/>
  <c r="L49" i="54"/>
  <c r="K49" i="54"/>
  <c r="J49" i="54"/>
  <c r="I49" i="54"/>
  <c r="H49" i="54"/>
  <c r="G49" i="54"/>
  <c r="F49" i="54"/>
  <c r="E49" i="54"/>
  <c r="D49" i="54"/>
  <c r="S48" i="54"/>
  <c r="R48" i="54"/>
  <c r="Q48" i="54"/>
  <c r="P48" i="54"/>
  <c r="O48" i="54"/>
  <c r="N48" i="54"/>
  <c r="M48" i="54"/>
  <c r="L48" i="54"/>
  <c r="K48" i="54"/>
  <c r="J48" i="54"/>
  <c r="I48" i="54"/>
  <c r="H48" i="54"/>
  <c r="G48" i="54"/>
  <c r="F48" i="54"/>
  <c r="E48" i="54"/>
  <c r="D48" i="54"/>
  <c r="S47" i="54"/>
  <c r="R47" i="54"/>
  <c r="Q47" i="54"/>
  <c r="P47" i="54"/>
  <c r="O47" i="54"/>
  <c r="N47" i="54"/>
  <c r="M47" i="54"/>
  <c r="L47" i="54"/>
  <c r="K47" i="54"/>
  <c r="J47" i="54"/>
  <c r="I47" i="54"/>
  <c r="H47" i="54"/>
  <c r="G47" i="54"/>
  <c r="F47" i="54"/>
  <c r="E47" i="54"/>
  <c r="D47" i="54"/>
  <c r="S46" i="54"/>
  <c r="R46" i="54"/>
  <c r="Q46" i="54"/>
  <c r="P46" i="54"/>
  <c r="O46" i="54"/>
  <c r="N46" i="54"/>
  <c r="M46" i="54"/>
  <c r="L46" i="54"/>
  <c r="K46" i="54"/>
  <c r="J46" i="54"/>
  <c r="I46" i="54"/>
  <c r="H46" i="54"/>
  <c r="G46" i="54"/>
  <c r="F46" i="54"/>
  <c r="E46" i="54"/>
  <c r="D46" i="54"/>
  <c r="S45" i="54"/>
  <c r="R45" i="54"/>
  <c r="Q45" i="54"/>
  <c r="P45" i="54"/>
  <c r="O45" i="54"/>
  <c r="N45" i="54"/>
  <c r="M45" i="54"/>
  <c r="L45" i="54"/>
  <c r="K45" i="54"/>
  <c r="J45" i="54"/>
  <c r="I45" i="54"/>
  <c r="H45" i="54"/>
  <c r="G45" i="54"/>
  <c r="F45" i="54"/>
  <c r="E45" i="54"/>
  <c r="D45" i="54"/>
  <c r="S44" i="54"/>
  <c r="R44" i="54"/>
  <c r="Q44" i="54"/>
  <c r="P44" i="54"/>
  <c r="O44" i="54"/>
  <c r="N44" i="54"/>
  <c r="M44" i="54"/>
  <c r="L44" i="54"/>
  <c r="K44" i="54"/>
  <c r="J44" i="54"/>
  <c r="I44" i="54"/>
  <c r="H44" i="54"/>
  <c r="G44" i="54"/>
  <c r="F44" i="54"/>
  <c r="E44" i="54"/>
  <c r="D44" i="54"/>
  <c r="S43" i="54"/>
  <c r="R43" i="54"/>
  <c r="Q43" i="54"/>
  <c r="P43" i="54"/>
  <c r="O43" i="54"/>
  <c r="N43" i="54"/>
  <c r="M43" i="54"/>
  <c r="L43" i="54"/>
  <c r="K43" i="54"/>
  <c r="J43" i="54"/>
  <c r="I43" i="54"/>
  <c r="H43" i="54"/>
  <c r="G43" i="54"/>
  <c r="F43" i="54"/>
  <c r="E43" i="54"/>
  <c r="D43" i="54"/>
  <c r="S42" i="54"/>
  <c r="R42" i="54"/>
  <c r="Q42" i="54"/>
  <c r="P42" i="54"/>
  <c r="O42" i="54"/>
  <c r="N42" i="54"/>
  <c r="M42" i="54"/>
  <c r="L42" i="54"/>
  <c r="K42" i="54"/>
  <c r="J42" i="54"/>
  <c r="I42" i="54"/>
  <c r="H42" i="54"/>
  <c r="G42" i="54"/>
  <c r="F42" i="54"/>
  <c r="E42" i="54"/>
  <c r="D42" i="54"/>
  <c r="S41" i="54"/>
  <c r="R41" i="54"/>
  <c r="Q41" i="54"/>
  <c r="P41" i="54"/>
  <c r="O41" i="54"/>
  <c r="N41" i="54"/>
  <c r="M41" i="54"/>
  <c r="L41" i="54"/>
  <c r="K41" i="54"/>
  <c r="J41" i="54"/>
  <c r="I41" i="54"/>
  <c r="H41" i="54"/>
  <c r="G41" i="54"/>
  <c r="F41" i="54"/>
  <c r="E41" i="54"/>
  <c r="D41" i="54"/>
  <c r="S40" i="54"/>
  <c r="R40" i="54"/>
  <c r="Q40" i="54"/>
  <c r="P40" i="54"/>
  <c r="O40" i="54"/>
  <c r="N40" i="54"/>
  <c r="M40" i="54"/>
  <c r="L40" i="54"/>
  <c r="K40" i="54"/>
  <c r="J40" i="54"/>
  <c r="I40" i="54"/>
  <c r="H40" i="54"/>
  <c r="G40" i="54"/>
  <c r="F40" i="54"/>
  <c r="E40" i="54"/>
  <c r="D40" i="54"/>
  <c r="S39" i="54"/>
  <c r="R39" i="54"/>
  <c r="Q39" i="54"/>
  <c r="P39" i="54"/>
  <c r="O39" i="54"/>
  <c r="N39" i="54"/>
  <c r="M39" i="54"/>
  <c r="L39" i="54"/>
  <c r="K39" i="54"/>
  <c r="J39" i="54"/>
  <c r="I39" i="54"/>
  <c r="H39" i="54"/>
  <c r="G39" i="54"/>
  <c r="F39" i="54"/>
  <c r="E39" i="54"/>
  <c r="D39" i="54"/>
  <c r="S38" i="54"/>
  <c r="R38" i="54"/>
  <c r="Q38" i="54"/>
  <c r="P38" i="54"/>
  <c r="O38" i="54"/>
  <c r="N38" i="54"/>
  <c r="M38" i="54"/>
  <c r="L38" i="54"/>
  <c r="K38" i="54"/>
  <c r="J38" i="54"/>
  <c r="I38" i="54"/>
  <c r="H38" i="54"/>
  <c r="G38" i="54"/>
  <c r="F38" i="54"/>
  <c r="E38" i="54"/>
  <c r="D38" i="54"/>
  <c r="S37" i="54"/>
  <c r="R37" i="54"/>
  <c r="Q37" i="54"/>
  <c r="P37" i="54"/>
  <c r="O37" i="54"/>
  <c r="N37" i="54"/>
  <c r="M37" i="54"/>
  <c r="L37" i="54"/>
  <c r="K37" i="54"/>
  <c r="J37" i="54"/>
  <c r="I37" i="54"/>
  <c r="H37" i="54"/>
  <c r="G37" i="54"/>
  <c r="F37" i="54"/>
  <c r="E37" i="54"/>
  <c r="D37" i="54"/>
  <c r="H33" i="54"/>
  <c r="I7" i="54"/>
  <c r="O8" i="53"/>
  <c r="O9" i="53"/>
  <c r="O10" i="53"/>
  <c r="O11" i="53"/>
  <c r="O12" i="53"/>
  <c r="O13" i="53"/>
  <c r="O14" i="53"/>
  <c r="O15" i="53"/>
  <c r="O16" i="53"/>
  <c r="O17" i="53"/>
  <c r="O18" i="53"/>
  <c r="O19" i="53"/>
  <c r="O20" i="53"/>
  <c r="O21" i="53"/>
  <c r="O22" i="53"/>
  <c r="O23" i="53"/>
  <c r="O24" i="53"/>
  <c r="O25" i="53"/>
  <c r="O26" i="53"/>
  <c r="O27" i="53"/>
  <c r="O28" i="53"/>
  <c r="O29" i="53"/>
  <c r="O30" i="53"/>
  <c r="O31" i="53"/>
  <c r="O32" i="53"/>
  <c r="O33" i="53"/>
  <c r="O34" i="53"/>
  <c r="O35" i="53"/>
  <c r="O36" i="53"/>
  <c r="O37" i="53"/>
  <c r="O38" i="53"/>
  <c r="O39" i="53"/>
  <c r="O40" i="53"/>
  <c r="P8" i="53"/>
  <c r="P9" i="53"/>
  <c r="P10" i="53"/>
  <c r="P11" i="53"/>
  <c r="P12" i="53"/>
  <c r="P13" i="53"/>
  <c r="P14" i="53"/>
  <c r="P15" i="53"/>
  <c r="P16" i="53"/>
  <c r="P17" i="53"/>
  <c r="P18" i="53"/>
  <c r="P19" i="53"/>
  <c r="P20" i="53"/>
  <c r="P21" i="53"/>
  <c r="P22" i="53"/>
  <c r="P23" i="53"/>
  <c r="P24" i="53"/>
  <c r="P25" i="53"/>
  <c r="P26" i="53"/>
  <c r="P27" i="53"/>
  <c r="P28" i="53"/>
  <c r="P29" i="53"/>
  <c r="P30" i="53"/>
  <c r="P31" i="53"/>
  <c r="P32" i="53"/>
  <c r="P33" i="53"/>
  <c r="P34" i="53"/>
  <c r="P35" i="53"/>
  <c r="P36" i="53"/>
  <c r="P37" i="53"/>
  <c r="P38" i="53"/>
  <c r="P39" i="53"/>
  <c r="P40" i="53"/>
  <c r="P47" i="53"/>
  <c r="Q8" i="53"/>
  <c r="Q9" i="53"/>
  <c r="Q10" i="53"/>
  <c r="Q11" i="53"/>
  <c r="Q12" i="53"/>
  <c r="Q13" i="53"/>
  <c r="Q14" i="53"/>
  <c r="Q15" i="53"/>
  <c r="Q16" i="53"/>
  <c r="Q17" i="53"/>
  <c r="Q18" i="53"/>
  <c r="Q19" i="53"/>
  <c r="Q20" i="53"/>
  <c r="Q21" i="53"/>
  <c r="Q22" i="53"/>
  <c r="Q23" i="53"/>
  <c r="Q24" i="53"/>
  <c r="Q25" i="53"/>
  <c r="Q26" i="53"/>
  <c r="Q27" i="53"/>
  <c r="Q28" i="53"/>
  <c r="Q29" i="53"/>
  <c r="Q30" i="53"/>
  <c r="Q31" i="53"/>
  <c r="Q32" i="53"/>
  <c r="Q33" i="53"/>
  <c r="Q34" i="53"/>
  <c r="Q35" i="53"/>
  <c r="Q36" i="53"/>
  <c r="Q37" i="53"/>
  <c r="Q38" i="53"/>
  <c r="Q39" i="53"/>
  <c r="Q40" i="53"/>
  <c r="R8" i="53"/>
  <c r="R9" i="53"/>
  <c r="R10" i="53"/>
  <c r="R11" i="53"/>
  <c r="R12" i="53"/>
  <c r="R13" i="53"/>
  <c r="R14" i="53"/>
  <c r="R15" i="53"/>
  <c r="R16" i="53"/>
  <c r="R17" i="53"/>
  <c r="R18" i="53"/>
  <c r="R19" i="53"/>
  <c r="R20" i="53"/>
  <c r="R21" i="53"/>
  <c r="R22" i="53"/>
  <c r="R23" i="53"/>
  <c r="R24" i="53"/>
  <c r="R25" i="53"/>
  <c r="R26" i="53"/>
  <c r="R27" i="53"/>
  <c r="R28" i="53"/>
  <c r="R29" i="53"/>
  <c r="R30" i="53"/>
  <c r="R31" i="53"/>
  <c r="R32" i="53"/>
  <c r="R33" i="53"/>
  <c r="R34" i="53"/>
  <c r="R35" i="53"/>
  <c r="R36" i="53"/>
  <c r="R37" i="53"/>
  <c r="R38" i="53"/>
  <c r="R39" i="53"/>
  <c r="R40" i="53"/>
  <c r="P48" i="53"/>
  <c r="P49" i="53"/>
  <c r="M47" i="53"/>
  <c r="M48" i="53"/>
  <c r="M49" i="53"/>
  <c r="F40" i="53"/>
  <c r="G40" i="53"/>
  <c r="G47" i="53"/>
  <c r="H40" i="53"/>
  <c r="I40" i="53"/>
  <c r="G48" i="53"/>
  <c r="G49" i="53"/>
  <c r="N8" i="53"/>
  <c r="N9" i="53"/>
  <c r="N10" i="53"/>
  <c r="N11" i="53"/>
  <c r="N12" i="53"/>
  <c r="N13" i="53"/>
  <c r="N14" i="53"/>
  <c r="N15" i="53"/>
  <c r="N16" i="53"/>
  <c r="N17" i="53"/>
  <c r="N18" i="53"/>
  <c r="N19" i="53"/>
  <c r="N20" i="53"/>
  <c r="N21" i="53"/>
  <c r="N22" i="53"/>
  <c r="N23" i="53"/>
  <c r="N24" i="53"/>
  <c r="N25" i="53"/>
  <c r="N26" i="53"/>
  <c r="N27" i="53"/>
  <c r="N28" i="53"/>
  <c r="N29" i="53"/>
  <c r="N30" i="53"/>
  <c r="N31" i="53"/>
  <c r="N32" i="53"/>
  <c r="N33" i="53"/>
  <c r="N34" i="53"/>
  <c r="N35" i="53"/>
  <c r="N36" i="53"/>
  <c r="N37" i="53"/>
  <c r="N38" i="53"/>
  <c r="N39" i="53"/>
  <c r="N40" i="53"/>
  <c r="M45" i="53"/>
  <c r="I45" i="53"/>
  <c r="F45" i="53"/>
  <c r="C45" i="53"/>
  <c r="E40" i="53"/>
  <c r="J42" i="53"/>
  <c r="M40" i="53"/>
  <c r="J8" i="53"/>
  <c r="L8" i="53"/>
  <c r="J9" i="53"/>
  <c r="L9" i="53"/>
  <c r="J10" i="53"/>
  <c r="L10" i="53"/>
  <c r="J11" i="53"/>
  <c r="L11" i="53"/>
  <c r="J12" i="53"/>
  <c r="L12" i="53"/>
  <c r="J13" i="53"/>
  <c r="L13" i="53"/>
  <c r="J14" i="53"/>
  <c r="L14" i="53"/>
  <c r="J15" i="53"/>
  <c r="L15" i="53"/>
  <c r="J16" i="53"/>
  <c r="L16" i="53"/>
  <c r="J17" i="53"/>
  <c r="L17" i="53"/>
  <c r="J18" i="53"/>
  <c r="L18" i="53"/>
  <c r="J19" i="53"/>
  <c r="L19" i="53"/>
  <c r="J20" i="53"/>
  <c r="L20" i="53"/>
  <c r="J21" i="53"/>
  <c r="L21" i="53"/>
  <c r="J22" i="53"/>
  <c r="L22" i="53"/>
  <c r="J23" i="53"/>
  <c r="L23" i="53"/>
  <c r="J24" i="53"/>
  <c r="L24" i="53"/>
  <c r="J25" i="53"/>
  <c r="L25" i="53"/>
  <c r="J26" i="53"/>
  <c r="L26" i="53"/>
  <c r="J27" i="53"/>
  <c r="L27" i="53"/>
  <c r="J28" i="53"/>
  <c r="L28" i="53"/>
  <c r="J29" i="53"/>
  <c r="L29" i="53"/>
  <c r="J30" i="53"/>
  <c r="L30" i="53"/>
  <c r="J31" i="53"/>
  <c r="L31" i="53"/>
  <c r="J32" i="53"/>
  <c r="L32" i="53"/>
  <c r="J33" i="53"/>
  <c r="L33" i="53"/>
  <c r="J34" i="53"/>
  <c r="L34" i="53"/>
  <c r="J35" i="53"/>
  <c r="L35" i="53"/>
  <c r="J36" i="53"/>
  <c r="L36" i="53"/>
  <c r="J37" i="53"/>
  <c r="L37" i="53"/>
  <c r="J38" i="53"/>
  <c r="L38" i="53"/>
  <c r="J39" i="53"/>
  <c r="L39" i="53"/>
  <c r="L40" i="53"/>
  <c r="J40" i="53"/>
  <c r="M39" i="53"/>
  <c r="M38" i="53"/>
  <c r="M37" i="53"/>
  <c r="M36" i="53"/>
  <c r="M35" i="53"/>
  <c r="M34" i="53"/>
  <c r="M33" i="53"/>
  <c r="M32" i="53"/>
  <c r="M31" i="53"/>
  <c r="M30" i="53"/>
  <c r="M29" i="53"/>
  <c r="M28" i="53"/>
  <c r="M27" i="53"/>
  <c r="M26" i="53"/>
  <c r="M25" i="53"/>
  <c r="M24" i="53"/>
  <c r="M23" i="53"/>
  <c r="M22" i="53"/>
  <c r="M21" i="53"/>
  <c r="M20" i="53"/>
  <c r="M19" i="53"/>
  <c r="M18" i="53"/>
  <c r="M17" i="53"/>
  <c r="M16" i="53"/>
  <c r="M15" i="53"/>
  <c r="M14" i="53"/>
  <c r="M13" i="53"/>
  <c r="M12" i="53"/>
  <c r="M11" i="53"/>
  <c r="M10" i="53"/>
  <c r="M9" i="53"/>
  <c r="M8" i="53"/>
  <c r="E4" i="52"/>
  <c r="C30" i="52"/>
  <c r="B30" i="52"/>
  <c r="C31" i="52"/>
  <c r="B31" i="52"/>
  <c r="C32" i="52"/>
  <c r="B32" i="52"/>
  <c r="C33" i="52"/>
  <c r="B33" i="52"/>
  <c r="C34" i="52"/>
  <c r="B34" i="52"/>
  <c r="E35" i="52"/>
  <c r="F35" i="52"/>
  <c r="D35" i="52"/>
  <c r="C35" i="52"/>
  <c r="E34" i="52"/>
  <c r="F34" i="52"/>
  <c r="D34" i="52"/>
  <c r="E33" i="52"/>
  <c r="F33" i="52"/>
  <c r="D33" i="52"/>
  <c r="E32" i="52"/>
  <c r="F32" i="52"/>
  <c r="D32" i="52"/>
  <c r="E31" i="52"/>
  <c r="F31" i="52"/>
  <c r="D31" i="52"/>
  <c r="E30" i="52"/>
  <c r="F30" i="52"/>
  <c r="D30" i="52"/>
  <c r="S17" i="52"/>
  <c r="Q17" i="52"/>
  <c r="N17" i="52"/>
  <c r="N4" i="52"/>
  <c r="N21" i="52"/>
  <c r="D21" i="52"/>
  <c r="M4" i="52"/>
  <c r="O4" i="52"/>
  <c r="C7" i="52"/>
  <c r="M7" i="52"/>
  <c r="L7" i="52"/>
  <c r="O7" i="52"/>
  <c r="D7" i="52"/>
  <c r="N7" i="52"/>
  <c r="P7" i="52"/>
  <c r="Q7" i="52"/>
  <c r="C8" i="52"/>
  <c r="M8" i="52"/>
  <c r="L8" i="52"/>
  <c r="O8" i="52"/>
  <c r="D8" i="52"/>
  <c r="N8" i="52"/>
  <c r="P8" i="52"/>
  <c r="Q8" i="52"/>
  <c r="C9" i="52"/>
  <c r="M9" i="52"/>
  <c r="L9" i="52"/>
  <c r="O9" i="52"/>
  <c r="D9" i="52"/>
  <c r="N9" i="52"/>
  <c r="P9" i="52"/>
  <c r="Q9" i="52"/>
  <c r="C10" i="52"/>
  <c r="M10" i="52"/>
  <c r="L10" i="52"/>
  <c r="O10" i="52"/>
  <c r="D10" i="52"/>
  <c r="N10" i="52"/>
  <c r="P10" i="52"/>
  <c r="Q10" i="52"/>
  <c r="C11" i="52"/>
  <c r="M11" i="52"/>
  <c r="L11" i="52"/>
  <c r="O11" i="52"/>
  <c r="D11" i="52"/>
  <c r="N11" i="52"/>
  <c r="P11" i="52"/>
  <c r="Q11" i="52"/>
  <c r="O12" i="52"/>
  <c r="D12" i="52"/>
  <c r="N12" i="52"/>
  <c r="P12" i="52"/>
  <c r="Q12" i="52"/>
  <c r="S13" i="52"/>
  <c r="S14" i="52"/>
  <c r="N19" i="52"/>
  <c r="B7" i="52"/>
  <c r="E7" i="52"/>
  <c r="F7" i="52"/>
  <c r="G7" i="52"/>
  <c r="B8" i="52"/>
  <c r="E8" i="52"/>
  <c r="F8" i="52"/>
  <c r="G8" i="52"/>
  <c r="B9" i="52"/>
  <c r="E9" i="52"/>
  <c r="F9" i="52"/>
  <c r="G9" i="52"/>
  <c r="B10" i="52"/>
  <c r="E10" i="52"/>
  <c r="F10" i="52"/>
  <c r="G10" i="52"/>
  <c r="B11" i="52"/>
  <c r="E11" i="52"/>
  <c r="F11" i="52"/>
  <c r="G11" i="52"/>
  <c r="E12" i="52"/>
  <c r="F12" i="52"/>
  <c r="G12" i="52"/>
  <c r="H4" i="52"/>
  <c r="I13" i="52"/>
  <c r="I14" i="52"/>
  <c r="D19" i="52"/>
  <c r="M12" i="52"/>
  <c r="C12" i="52"/>
  <c r="E4" i="51"/>
  <c r="C24" i="51"/>
  <c r="B24" i="51"/>
  <c r="C25" i="51"/>
  <c r="B25" i="51"/>
  <c r="C26" i="51"/>
  <c r="B26" i="51"/>
  <c r="C27" i="51"/>
  <c r="B27" i="51"/>
  <c r="C28" i="51"/>
  <c r="B28" i="51"/>
  <c r="E29" i="51"/>
  <c r="F29" i="51"/>
  <c r="D29" i="51"/>
  <c r="C29" i="51"/>
  <c r="E28" i="51"/>
  <c r="F28" i="51"/>
  <c r="D28" i="51"/>
  <c r="E27" i="51"/>
  <c r="F27" i="51"/>
  <c r="D27" i="51"/>
  <c r="E26" i="51"/>
  <c r="F26" i="51"/>
  <c r="D26" i="51"/>
  <c r="E25" i="51"/>
  <c r="F25" i="51"/>
  <c r="D25" i="51"/>
  <c r="E24" i="51"/>
  <c r="F24" i="51"/>
  <c r="D24" i="51"/>
  <c r="D21" i="51"/>
  <c r="C7" i="51"/>
  <c r="B7" i="51"/>
  <c r="E7" i="51"/>
  <c r="D7" i="51"/>
  <c r="F7" i="51"/>
  <c r="G7" i="51"/>
  <c r="C8" i="51"/>
  <c r="B8" i="51"/>
  <c r="E8" i="51"/>
  <c r="D8" i="51"/>
  <c r="F8" i="51"/>
  <c r="G8" i="51"/>
  <c r="C9" i="51"/>
  <c r="B9" i="51"/>
  <c r="E9" i="51"/>
  <c r="D9" i="51"/>
  <c r="F9" i="51"/>
  <c r="G9" i="51"/>
  <c r="C10" i="51"/>
  <c r="B10" i="51"/>
  <c r="E10" i="51"/>
  <c r="D10" i="51"/>
  <c r="F10" i="51"/>
  <c r="G10" i="51"/>
  <c r="C11" i="51"/>
  <c r="B11" i="51"/>
  <c r="E11" i="51"/>
  <c r="D11" i="51"/>
  <c r="F11" i="51"/>
  <c r="G11" i="51"/>
  <c r="E12" i="51"/>
  <c r="D12" i="51"/>
  <c r="F12" i="51"/>
  <c r="G12" i="51"/>
  <c r="H4" i="51"/>
  <c r="I13" i="51"/>
  <c r="I14" i="51"/>
  <c r="D19" i="51"/>
  <c r="C12" i="51"/>
  <c r="L5" i="50"/>
  <c r="I40" i="50"/>
  <c r="S40" i="50"/>
  <c r="S57" i="50"/>
  <c r="I57" i="50"/>
  <c r="L1" i="50"/>
  <c r="L2" i="50"/>
  <c r="L3" i="50"/>
  <c r="D12" i="50"/>
  <c r="D18" i="50"/>
  <c r="D14" i="50"/>
  <c r="D15" i="50"/>
  <c r="T5" i="50"/>
  <c r="T3" i="50"/>
  <c r="T4" i="50"/>
  <c r="T6" i="50"/>
  <c r="L4" i="50"/>
  <c r="L6" i="50"/>
  <c r="D11" i="50"/>
  <c r="H11" i="50"/>
  <c r="H40" i="50"/>
  <c r="R40" i="50"/>
  <c r="T40" i="50"/>
  <c r="H13" i="50"/>
  <c r="H43" i="50"/>
  <c r="R43" i="50"/>
  <c r="Q43" i="50"/>
  <c r="T43" i="50"/>
  <c r="I13" i="50"/>
  <c r="S43" i="50"/>
  <c r="U43" i="50"/>
  <c r="V43" i="50"/>
  <c r="H14" i="50"/>
  <c r="H44" i="50"/>
  <c r="R44" i="50"/>
  <c r="Q44" i="50"/>
  <c r="T44" i="50"/>
  <c r="I14" i="50"/>
  <c r="S44" i="50"/>
  <c r="U44" i="50"/>
  <c r="V44" i="50"/>
  <c r="H15" i="50"/>
  <c r="H45" i="50"/>
  <c r="R45" i="50"/>
  <c r="Q45" i="50"/>
  <c r="T45" i="50"/>
  <c r="I15" i="50"/>
  <c r="S45" i="50"/>
  <c r="U45" i="50"/>
  <c r="V45" i="50"/>
  <c r="H16" i="50"/>
  <c r="H46" i="50"/>
  <c r="R46" i="50"/>
  <c r="Q46" i="50"/>
  <c r="T46" i="50"/>
  <c r="I16" i="50"/>
  <c r="S46" i="50"/>
  <c r="U46" i="50"/>
  <c r="V46" i="50"/>
  <c r="H17" i="50"/>
  <c r="H47" i="50"/>
  <c r="R47" i="50"/>
  <c r="Q47" i="50"/>
  <c r="T47" i="50"/>
  <c r="I17" i="50"/>
  <c r="S47" i="50"/>
  <c r="U47" i="50"/>
  <c r="V47" i="50"/>
  <c r="T48" i="50"/>
  <c r="I18" i="50"/>
  <c r="S48" i="50"/>
  <c r="U48" i="50"/>
  <c r="V48" i="50"/>
  <c r="X49" i="50"/>
  <c r="X50" i="50"/>
  <c r="S55" i="50"/>
  <c r="J40" i="50"/>
  <c r="G43" i="50"/>
  <c r="J43" i="50"/>
  <c r="I43" i="50"/>
  <c r="K43" i="50"/>
  <c r="L43" i="50"/>
  <c r="G44" i="50"/>
  <c r="J44" i="50"/>
  <c r="I44" i="50"/>
  <c r="K44" i="50"/>
  <c r="L44" i="50"/>
  <c r="G45" i="50"/>
  <c r="J45" i="50"/>
  <c r="I45" i="50"/>
  <c r="K45" i="50"/>
  <c r="L45" i="50"/>
  <c r="G46" i="50"/>
  <c r="J46" i="50"/>
  <c r="I46" i="50"/>
  <c r="K46" i="50"/>
  <c r="L46" i="50"/>
  <c r="G47" i="50"/>
  <c r="J47" i="50"/>
  <c r="I47" i="50"/>
  <c r="K47" i="50"/>
  <c r="L47" i="50"/>
  <c r="J48" i="50"/>
  <c r="I48" i="50"/>
  <c r="K48" i="50"/>
  <c r="L48" i="50"/>
  <c r="N49" i="50"/>
  <c r="N50" i="50"/>
  <c r="I55" i="50"/>
  <c r="AB47" i="50"/>
  <c r="AC47" i="50"/>
  <c r="AC50" i="50"/>
  <c r="AB50" i="50"/>
  <c r="R48" i="50"/>
  <c r="H48" i="50"/>
  <c r="AA47" i="50"/>
  <c r="AC42" i="50"/>
  <c r="AB42" i="50"/>
  <c r="AB37" i="50"/>
  <c r="AC37" i="50"/>
  <c r="AB39" i="50"/>
  <c r="AC39" i="50"/>
  <c r="AC40" i="50"/>
  <c r="AC41" i="50"/>
  <c r="AB40" i="50"/>
  <c r="AB41" i="50"/>
  <c r="AB38" i="50"/>
  <c r="AC38" i="50"/>
  <c r="D30" i="50"/>
  <c r="D31" i="50"/>
  <c r="D32" i="50"/>
  <c r="D33" i="50"/>
  <c r="AC36" i="50"/>
  <c r="AB32" i="50"/>
  <c r="AB34" i="50"/>
  <c r="AB35" i="50"/>
  <c r="AB36" i="50"/>
  <c r="AC35" i="50"/>
  <c r="H2" i="50"/>
  <c r="R11" i="50"/>
  <c r="I11" i="50"/>
  <c r="S11" i="50"/>
  <c r="D13" i="50"/>
  <c r="D22" i="50"/>
  <c r="D6" i="50"/>
  <c r="D5" i="50"/>
  <c r="H6" i="50"/>
  <c r="D16" i="50"/>
  <c r="D17" i="50"/>
  <c r="D23" i="50"/>
  <c r="Q11" i="50"/>
  <c r="T11" i="50"/>
  <c r="R13" i="50"/>
  <c r="Q13" i="50"/>
  <c r="T13" i="50"/>
  <c r="S13" i="50"/>
  <c r="U13" i="50"/>
  <c r="V13" i="50"/>
  <c r="R14" i="50"/>
  <c r="Q14" i="50"/>
  <c r="T14" i="50"/>
  <c r="S14" i="50"/>
  <c r="U14" i="50"/>
  <c r="V14" i="50"/>
  <c r="R15" i="50"/>
  <c r="Q15" i="50"/>
  <c r="T15" i="50"/>
  <c r="S15" i="50"/>
  <c r="U15" i="50"/>
  <c r="V15" i="50"/>
  <c r="R16" i="50"/>
  <c r="Q16" i="50"/>
  <c r="T16" i="50"/>
  <c r="S16" i="50"/>
  <c r="U16" i="50"/>
  <c r="V16" i="50"/>
  <c r="R17" i="50"/>
  <c r="Q17" i="50"/>
  <c r="T17" i="50"/>
  <c r="S17" i="50"/>
  <c r="U17" i="50"/>
  <c r="V17" i="50"/>
  <c r="T18" i="50"/>
  <c r="S18" i="50"/>
  <c r="U18" i="50"/>
  <c r="V18" i="50"/>
  <c r="X19" i="50"/>
  <c r="D34" i="50"/>
  <c r="E35" i="50"/>
  <c r="D35" i="50"/>
  <c r="AC34" i="50"/>
  <c r="AC33" i="50"/>
  <c r="E33" i="50"/>
  <c r="F33" i="50"/>
  <c r="AC32" i="50"/>
  <c r="AC31" i="50"/>
  <c r="AA31" i="50"/>
  <c r="AB28" i="50"/>
  <c r="AB27" i="50"/>
  <c r="S27" i="50"/>
  <c r="I27" i="50"/>
  <c r="AB26" i="50"/>
  <c r="AB25" i="50"/>
  <c r="X20" i="50"/>
  <c r="S25" i="50"/>
  <c r="G11" i="50"/>
  <c r="J11" i="50"/>
  <c r="G13" i="50"/>
  <c r="J13" i="50"/>
  <c r="K13" i="50"/>
  <c r="L13" i="50"/>
  <c r="G14" i="50"/>
  <c r="J14" i="50"/>
  <c r="K14" i="50"/>
  <c r="L14" i="50"/>
  <c r="G15" i="50"/>
  <c r="J15" i="50"/>
  <c r="K15" i="50"/>
  <c r="L15" i="50"/>
  <c r="G16" i="50"/>
  <c r="J16" i="50"/>
  <c r="K16" i="50"/>
  <c r="L16" i="50"/>
  <c r="G17" i="50"/>
  <c r="J17" i="50"/>
  <c r="K17" i="50"/>
  <c r="L17" i="50"/>
  <c r="J18" i="50"/>
  <c r="K18" i="50"/>
  <c r="L18" i="50"/>
  <c r="N19" i="50"/>
  <c r="N20" i="50"/>
  <c r="I25" i="50"/>
  <c r="AB23" i="50"/>
  <c r="AB22" i="50"/>
  <c r="AB21" i="50"/>
  <c r="AB20" i="50"/>
  <c r="C20" i="50"/>
  <c r="B20" i="50"/>
  <c r="AB18" i="50"/>
  <c r="R18" i="50"/>
  <c r="H18" i="50"/>
  <c r="AB17" i="50"/>
  <c r="AB16" i="50"/>
  <c r="AB15" i="50"/>
  <c r="AB13" i="50"/>
  <c r="AB12" i="50"/>
  <c r="AB11" i="50"/>
  <c r="AB10" i="50"/>
  <c r="D10" i="50"/>
  <c r="AB8" i="50"/>
  <c r="AB7" i="50"/>
  <c r="AB6" i="50"/>
  <c r="AB5" i="50"/>
  <c r="AA3" i="50"/>
  <c r="D11" i="49"/>
  <c r="D20" i="49"/>
  <c r="K4" i="49"/>
  <c r="I47" i="49"/>
  <c r="S47" i="49"/>
  <c r="S64" i="49"/>
  <c r="I64" i="49"/>
  <c r="K1" i="49"/>
  <c r="K2" i="49"/>
  <c r="K3" i="49"/>
  <c r="K5" i="49"/>
  <c r="D10" i="49"/>
  <c r="H11" i="49"/>
  <c r="H47" i="49"/>
  <c r="R47" i="49"/>
  <c r="T47" i="49"/>
  <c r="H13" i="49"/>
  <c r="H50" i="49"/>
  <c r="R50" i="49"/>
  <c r="Q50" i="49"/>
  <c r="T50" i="49"/>
  <c r="I13" i="49"/>
  <c r="S50" i="49"/>
  <c r="U50" i="49"/>
  <c r="V50" i="49"/>
  <c r="H14" i="49"/>
  <c r="H51" i="49"/>
  <c r="R51" i="49"/>
  <c r="Q51" i="49"/>
  <c r="T51" i="49"/>
  <c r="I14" i="49"/>
  <c r="S51" i="49"/>
  <c r="U51" i="49"/>
  <c r="V51" i="49"/>
  <c r="H15" i="49"/>
  <c r="H52" i="49"/>
  <c r="R52" i="49"/>
  <c r="Q52" i="49"/>
  <c r="T52" i="49"/>
  <c r="I15" i="49"/>
  <c r="S52" i="49"/>
  <c r="U52" i="49"/>
  <c r="V52" i="49"/>
  <c r="H16" i="49"/>
  <c r="H53" i="49"/>
  <c r="R53" i="49"/>
  <c r="Q53" i="49"/>
  <c r="T53" i="49"/>
  <c r="I16" i="49"/>
  <c r="S53" i="49"/>
  <c r="U53" i="49"/>
  <c r="V53" i="49"/>
  <c r="H17" i="49"/>
  <c r="H54" i="49"/>
  <c r="R54" i="49"/>
  <c r="Q54" i="49"/>
  <c r="T54" i="49"/>
  <c r="I17" i="49"/>
  <c r="S54" i="49"/>
  <c r="U54" i="49"/>
  <c r="V54" i="49"/>
  <c r="T55" i="49"/>
  <c r="I18" i="49"/>
  <c r="S55" i="49"/>
  <c r="U55" i="49"/>
  <c r="V55" i="49"/>
  <c r="X56" i="49"/>
  <c r="X57" i="49"/>
  <c r="S62" i="49"/>
  <c r="J47" i="49"/>
  <c r="G50" i="49"/>
  <c r="J50" i="49"/>
  <c r="I50" i="49"/>
  <c r="K50" i="49"/>
  <c r="L50" i="49"/>
  <c r="G51" i="49"/>
  <c r="J51" i="49"/>
  <c r="I51" i="49"/>
  <c r="K51" i="49"/>
  <c r="L51" i="49"/>
  <c r="G52" i="49"/>
  <c r="J52" i="49"/>
  <c r="I52" i="49"/>
  <c r="K52" i="49"/>
  <c r="L52" i="49"/>
  <c r="G53" i="49"/>
  <c r="J53" i="49"/>
  <c r="I53" i="49"/>
  <c r="K53" i="49"/>
  <c r="L53" i="49"/>
  <c r="G54" i="49"/>
  <c r="J54" i="49"/>
  <c r="I54" i="49"/>
  <c r="K54" i="49"/>
  <c r="L54" i="49"/>
  <c r="J55" i="49"/>
  <c r="I55" i="49"/>
  <c r="K55" i="49"/>
  <c r="L55" i="49"/>
  <c r="N56" i="49"/>
  <c r="N57" i="49"/>
  <c r="I62" i="49"/>
  <c r="J57" i="49"/>
  <c r="H57" i="49"/>
  <c r="R55" i="49"/>
  <c r="H55" i="49"/>
  <c r="H35" i="49"/>
  <c r="G35" i="49"/>
  <c r="D31" i="49"/>
  <c r="D12" i="49"/>
  <c r="D30" i="49"/>
  <c r="D33" i="49"/>
  <c r="H2" i="49"/>
  <c r="R11" i="49"/>
  <c r="I11" i="49"/>
  <c r="S11" i="49"/>
  <c r="D22" i="49"/>
  <c r="D6" i="49"/>
  <c r="D5" i="49"/>
  <c r="H6" i="49"/>
  <c r="D15" i="49"/>
  <c r="D16" i="49"/>
  <c r="D23" i="49"/>
  <c r="Q11" i="49"/>
  <c r="T11" i="49"/>
  <c r="R13" i="49"/>
  <c r="Q13" i="49"/>
  <c r="T13" i="49"/>
  <c r="S13" i="49"/>
  <c r="U13" i="49"/>
  <c r="V13" i="49"/>
  <c r="R14" i="49"/>
  <c r="Q14" i="49"/>
  <c r="T14" i="49"/>
  <c r="S14" i="49"/>
  <c r="U14" i="49"/>
  <c r="V14" i="49"/>
  <c r="R15" i="49"/>
  <c r="Q15" i="49"/>
  <c r="T15" i="49"/>
  <c r="S15" i="49"/>
  <c r="U15" i="49"/>
  <c r="V15" i="49"/>
  <c r="R16" i="49"/>
  <c r="Q16" i="49"/>
  <c r="T16" i="49"/>
  <c r="S16" i="49"/>
  <c r="U16" i="49"/>
  <c r="V16" i="49"/>
  <c r="R17" i="49"/>
  <c r="Q17" i="49"/>
  <c r="T17" i="49"/>
  <c r="S17" i="49"/>
  <c r="U17" i="49"/>
  <c r="V17" i="49"/>
  <c r="T18" i="49"/>
  <c r="S18" i="49"/>
  <c r="U18" i="49"/>
  <c r="V18" i="49"/>
  <c r="X19" i="49"/>
  <c r="D34" i="49"/>
  <c r="E35" i="49"/>
  <c r="D35" i="49"/>
  <c r="S27" i="49"/>
  <c r="I27" i="49"/>
  <c r="X20" i="49"/>
  <c r="S25" i="49"/>
  <c r="G11" i="49"/>
  <c r="J11" i="49"/>
  <c r="G13" i="49"/>
  <c r="J13" i="49"/>
  <c r="K13" i="49"/>
  <c r="L13" i="49"/>
  <c r="G14" i="49"/>
  <c r="J14" i="49"/>
  <c r="K14" i="49"/>
  <c r="L14" i="49"/>
  <c r="G15" i="49"/>
  <c r="J15" i="49"/>
  <c r="K15" i="49"/>
  <c r="L15" i="49"/>
  <c r="G16" i="49"/>
  <c r="J16" i="49"/>
  <c r="K16" i="49"/>
  <c r="L16" i="49"/>
  <c r="G17" i="49"/>
  <c r="J17" i="49"/>
  <c r="K17" i="49"/>
  <c r="L17" i="49"/>
  <c r="J18" i="49"/>
  <c r="K18" i="49"/>
  <c r="L18" i="49"/>
  <c r="N19" i="49"/>
  <c r="N20" i="49"/>
  <c r="I25" i="49"/>
  <c r="C20" i="49"/>
  <c r="B20" i="49"/>
  <c r="R18" i="49"/>
  <c r="H18" i="49"/>
  <c r="E14" i="49"/>
  <c r="D14" i="49"/>
  <c r="D13" i="49"/>
  <c r="D12" i="48"/>
  <c r="D18" i="48"/>
  <c r="D31" i="48"/>
  <c r="D30" i="48"/>
  <c r="D32" i="48"/>
  <c r="H2" i="48"/>
  <c r="K1" i="48"/>
  <c r="K3" i="48"/>
  <c r="K4" i="48"/>
  <c r="K5" i="48"/>
  <c r="D11" i="48"/>
  <c r="H11" i="48"/>
  <c r="R11" i="48"/>
  <c r="I11" i="48"/>
  <c r="S11" i="48"/>
  <c r="D13" i="48"/>
  <c r="D22" i="48"/>
  <c r="D6" i="48"/>
  <c r="D5" i="48"/>
  <c r="H6" i="48"/>
  <c r="D15" i="48"/>
  <c r="D16" i="48"/>
  <c r="D23" i="48"/>
  <c r="Q11" i="48"/>
  <c r="T11" i="48"/>
  <c r="H13" i="48"/>
  <c r="R13" i="48"/>
  <c r="Q13" i="48"/>
  <c r="T13" i="48"/>
  <c r="I13" i="48"/>
  <c r="S13" i="48"/>
  <c r="U13" i="48"/>
  <c r="V13" i="48"/>
  <c r="H14" i="48"/>
  <c r="R14" i="48"/>
  <c r="Q14" i="48"/>
  <c r="T14" i="48"/>
  <c r="I14" i="48"/>
  <c r="S14" i="48"/>
  <c r="U14" i="48"/>
  <c r="V14" i="48"/>
  <c r="H15" i="48"/>
  <c r="R15" i="48"/>
  <c r="Q15" i="48"/>
  <c r="T15" i="48"/>
  <c r="I15" i="48"/>
  <c r="S15" i="48"/>
  <c r="U15" i="48"/>
  <c r="V15" i="48"/>
  <c r="H16" i="48"/>
  <c r="R16" i="48"/>
  <c r="Q16" i="48"/>
  <c r="T16" i="48"/>
  <c r="I16" i="48"/>
  <c r="S16" i="48"/>
  <c r="U16" i="48"/>
  <c r="V16" i="48"/>
  <c r="H17" i="48"/>
  <c r="R17" i="48"/>
  <c r="Q17" i="48"/>
  <c r="T17" i="48"/>
  <c r="I17" i="48"/>
  <c r="S17" i="48"/>
  <c r="U17" i="48"/>
  <c r="V17" i="48"/>
  <c r="T18" i="48"/>
  <c r="I18" i="48"/>
  <c r="S18" i="48"/>
  <c r="U18" i="48"/>
  <c r="V18" i="48"/>
  <c r="X19" i="48"/>
  <c r="K33" i="48"/>
  <c r="L33" i="48"/>
  <c r="M33" i="48"/>
  <c r="K35" i="48"/>
  <c r="J35" i="48"/>
  <c r="M35" i="48"/>
  <c r="L35" i="48"/>
  <c r="N35" i="48"/>
  <c r="O35" i="48"/>
  <c r="K36" i="48"/>
  <c r="J36" i="48"/>
  <c r="M36" i="48"/>
  <c r="L36" i="48"/>
  <c r="N36" i="48"/>
  <c r="O36" i="48"/>
  <c r="K37" i="48"/>
  <c r="J37" i="48"/>
  <c r="M37" i="48"/>
  <c r="L37" i="48"/>
  <c r="N37" i="48"/>
  <c r="O37" i="48"/>
  <c r="K38" i="48"/>
  <c r="J38" i="48"/>
  <c r="M38" i="48"/>
  <c r="L38" i="48"/>
  <c r="N38" i="48"/>
  <c r="O38" i="48"/>
  <c r="K39" i="48"/>
  <c r="J39" i="48"/>
  <c r="M39" i="48"/>
  <c r="L39" i="48"/>
  <c r="N39" i="48"/>
  <c r="O39" i="48"/>
  <c r="M40" i="48"/>
  <c r="L40" i="48"/>
  <c r="N40" i="48"/>
  <c r="O40" i="48"/>
  <c r="Q41" i="48"/>
  <c r="N2" i="48"/>
  <c r="D33" i="48"/>
  <c r="D34" i="48"/>
  <c r="H55" i="48"/>
  <c r="H57" i="48"/>
  <c r="B37" i="48"/>
  <c r="B39" i="48"/>
  <c r="H58" i="48"/>
  <c r="H60" i="48"/>
  <c r="Q42" i="48"/>
  <c r="H53" i="48"/>
  <c r="D43" i="48"/>
  <c r="K40" i="48"/>
  <c r="E34" i="48"/>
  <c r="E32" i="48"/>
  <c r="F32" i="48"/>
  <c r="S27" i="48"/>
  <c r="I27" i="48"/>
  <c r="X20" i="48"/>
  <c r="S25" i="48"/>
  <c r="G11" i="48"/>
  <c r="J11" i="48"/>
  <c r="G13" i="48"/>
  <c r="J13" i="48"/>
  <c r="K13" i="48"/>
  <c r="L13" i="48"/>
  <c r="G14" i="48"/>
  <c r="J14" i="48"/>
  <c r="K14" i="48"/>
  <c r="L14" i="48"/>
  <c r="G15" i="48"/>
  <c r="J15" i="48"/>
  <c r="K15" i="48"/>
  <c r="L15" i="48"/>
  <c r="G16" i="48"/>
  <c r="J16" i="48"/>
  <c r="K16" i="48"/>
  <c r="L16" i="48"/>
  <c r="G17" i="48"/>
  <c r="J17" i="48"/>
  <c r="K17" i="48"/>
  <c r="L17" i="48"/>
  <c r="J18" i="48"/>
  <c r="K18" i="48"/>
  <c r="L18" i="48"/>
  <c r="N19" i="48"/>
  <c r="N20" i="48"/>
  <c r="I25" i="48"/>
  <c r="C20" i="48"/>
  <c r="B20" i="48"/>
  <c r="R18" i="48"/>
  <c r="H18" i="48"/>
  <c r="D10" i="48"/>
  <c r="K2" i="48"/>
  <c r="N1" i="48"/>
  <c r="L5" i="67"/>
  <c r="I41" i="67"/>
  <c r="S41" i="67"/>
  <c r="S58" i="67"/>
  <c r="I58" i="67"/>
  <c r="L1" i="67"/>
  <c r="L2" i="67"/>
  <c r="L3" i="67"/>
  <c r="L4" i="67"/>
  <c r="L6" i="67"/>
  <c r="D11" i="67"/>
  <c r="H11" i="67"/>
  <c r="H41" i="67"/>
  <c r="R41" i="67"/>
  <c r="T41" i="67"/>
  <c r="H13" i="67"/>
  <c r="H44" i="67"/>
  <c r="R44" i="67"/>
  <c r="Q44" i="67"/>
  <c r="T44" i="67"/>
  <c r="I13" i="67"/>
  <c r="S44" i="67"/>
  <c r="U44" i="67"/>
  <c r="V44" i="67"/>
  <c r="H14" i="67"/>
  <c r="H45" i="67"/>
  <c r="R45" i="67"/>
  <c r="Q45" i="67"/>
  <c r="T45" i="67"/>
  <c r="I14" i="67"/>
  <c r="S45" i="67"/>
  <c r="U45" i="67"/>
  <c r="V45" i="67"/>
  <c r="H15" i="67"/>
  <c r="H46" i="67"/>
  <c r="R46" i="67"/>
  <c r="Q46" i="67"/>
  <c r="T46" i="67"/>
  <c r="I15" i="67"/>
  <c r="S46" i="67"/>
  <c r="U46" i="67"/>
  <c r="V46" i="67"/>
  <c r="H16" i="67"/>
  <c r="H47" i="67"/>
  <c r="R47" i="67"/>
  <c r="Q47" i="67"/>
  <c r="T47" i="67"/>
  <c r="I16" i="67"/>
  <c r="S47" i="67"/>
  <c r="U47" i="67"/>
  <c r="V47" i="67"/>
  <c r="H17" i="67"/>
  <c r="H48" i="67"/>
  <c r="R48" i="67"/>
  <c r="Q48" i="67"/>
  <c r="T48" i="67"/>
  <c r="I17" i="67"/>
  <c r="S48" i="67"/>
  <c r="U48" i="67"/>
  <c r="V48" i="67"/>
  <c r="T49" i="67"/>
  <c r="I18" i="67"/>
  <c r="S49" i="67"/>
  <c r="U49" i="67"/>
  <c r="V49" i="67"/>
  <c r="X50" i="67"/>
  <c r="X51" i="67"/>
  <c r="S56" i="67"/>
  <c r="J41" i="67"/>
  <c r="G44" i="67"/>
  <c r="J44" i="67"/>
  <c r="I44" i="67"/>
  <c r="K44" i="67"/>
  <c r="L44" i="67"/>
  <c r="G45" i="67"/>
  <c r="J45" i="67"/>
  <c r="I45" i="67"/>
  <c r="K45" i="67"/>
  <c r="L45" i="67"/>
  <c r="G46" i="67"/>
  <c r="J46" i="67"/>
  <c r="I46" i="67"/>
  <c r="K46" i="67"/>
  <c r="L46" i="67"/>
  <c r="G47" i="67"/>
  <c r="J47" i="67"/>
  <c r="I47" i="67"/>
  <c r="K47" i="67"/>
  <c r="L47" i="67"/>
  <c r="G48" i="67"/>
  <c r="J48" i="67"/>
  <c r="I48" i="67"/>
  <c r="K48" i="67"/>
  <c r="L48" i="67"/>
  <c r="J49" i="67"/>
  <c r="I49" i="67"/>
  <c r="K49" i="67"/>
  <c r="L49" i="67"/>
  <c r="N50" i="67"/>
  <c r="N51" i="67"/>
  <c r="I56" i="67"/>
  <c r="R49" i="67"/>
  <c r="H49" i="67"/>
  <c r="D12" i="67"/>
  <c r="D13" i="67"/>
  <c r="D14" i="67"/>
  <c r="D18" i="67"/>
  <c r="D31" i="67"/>
  <c r="D30" i="67"/>
  <c r="D32" i="67"/>
  <c r="D33" i="67"/>
  <c r="H2" i="67"/>
  <c r="R11" i="67"/>
  <c r="I11" i="67"/>
  <c r="S11" i="67"/>
  <c r="D22" i="67"/>
  <c r="D6" i="67"/>
  <c r="D5" i="67"/>
  <c r="H6" i="67"/>
  <c r="D16" i="67"/>
  <c r="D17" i="67"/>
  <c r="D23" i="67"/>
  <c r="Q11" i="67"/>
  <c r="T11" i="67"/>
  <c r="R13" i="67"/>
  <c r="Q13" i="67"/>
  <c r="T13" i="67"/>
  <c r="S13" i="67"/>
  <c r="U13" i="67"/>
  <c r="V13" i="67"/>
  <c r="R14" i="67"/>
  <c r="Q14" i="67"/>
  <c r="T14" i="67"/>
  <c r="S14" i="67"/>
  <c r="U14" i="67"/>
  <c r="V14" i="67"/>
  <c r="R15" i="67"/>
  <c r="Q15" i="67"/>
  <c r="T15" i="67"/>
  <c r="S15" i="67"/>
  <c r="U15" i="67"/>
  <c r="V15" i="67"/>
  <c r="R16" i="67"/>
  <c r="Q16" i="67"/>
  <c r="T16" i="67"/>
  <c r="S16" i="67"/>
  <c r="U16" i="67"/>
  <c r="V16" i="67"/>
  <c r="R17" i="67"/>
  <c r="Q17" i="67"/>
  <c r="T17" i="67"/>
  <c r="S17" i="67"/>
  <c r="U17" i="67"/>
  <c r="V17" i="67"/>
  <c r="T18" i="67"/>
  <c r="S18" i="67"/>
  <c r="U18" i="67"/>
  <c r="V18" i="67"/>
  <c r="X19" i="67"/>
  <c r="D34" i="67"/>
  <c r="E35" i="67"/>
  <c r="D35" i="67"/>
  <c r="E33" i="67"/>
  <c r="F33" i="67"/>
  <c r="S27" i="67"/>
  <c r="I27" i="67"/>
  <c r="X20" i="67"/>
  <c r="S25" i="67"/>
  <c r="G11" i="67"/>
  <c r="J11" i="67"/>
  <c r="G13" i="67"/>
  <c r="J13" i="67"/>
  <c r="K13" i="67"/>
  <c r="L13" i="67"/>
  <c r="G14" i="67"/>
  <c r="J14" i="67"/>
  <c r="K14" i="67"/>
  <c r="L14" i="67"/>
  <c r="G15" i="67"/>
  <c r="J15" i="67"/>
  <c r="K15" i="67"/>
  <c r="L15" i="67"/>
  <c r="G16" i="67"/>
  <c r="J16" i="67"/>
  <c r="K16" i="67"/>
  <c r="L16" i="67"/>
  <c r="G17" i="67"/>
  <c r="J17" i="67"/>
  <c r="K17" i="67"/>
  <c r="L17" i="67"/>
  <c r="J18" i="67"/>
  <c r="K18" i="67"/>
  <c r="L18" i="67"/>
  <c r="N19" i="67"/>
  <c r="N20" i="67"/>
  <c r="I25" i="67"/>
  <c r="C20" i="67"/>
  <c r="B20" i="67"/>
  <c r="R18" i="67"/>
  <c r="H18" i="67"/>
  <c r="D15" i="67"/>
  <c r="D10" i="67"/>
  <c r="D49" i="66"/>
  <c r="D48" i="66"/>
  <c r="D47" i="66"/>
  <c r="D46" i="66"/>
  <c r="D45" i="66"/>
  <c r="K1" i="66"/>
  <c r="K2" i="66"/>
  <c r="K3" i="66"/>
  <c r="K4" i="66"/>
  <c r="K5" i="66"/>
  <c r="D11" i="66"/>
  <c r="R34" i="66"/>
  <c r="S34" i="66"/>
  <c r="T34" i="66"/>
  <c r="H14" i="66"/>
  <c r="R37" i="66"/>
  <c r="Q37" i="66"/>
  <c r="T37" i="66"/>
  <c r="I14" i="66"/>
  <c r="S37" i="66"/>
  <c r="U37" i="66"/>
  <c r="V37" i="66"/>
  <c r="H15" i="66"/>
  <c r="R38" i="66"/>
  <c r="Q38" i="66"/>
  <c r="T38" i="66"/>
  <c r="I15" i="66"/>
  <c r="S38" i="66"/>
  <c r="U38" i="66"/>
  <c r="V38" i="66"/>
  <c r="H16" i="66"/>
  <c r="R39" i="66"/>
  <c r="Q39" i="66"/>
  <c r="T39" i="66"/>
  <c r="I16" i="66"/>
  <c r="S39" i="66"/>
  <c r="U39" i="66"/>
  <c r="V39" i="66"/>
  <c r="H17" i="66"/>
  <c r="R40" i="66"/>
  <c r="Q40" i="66"/>
  <c r="T40" i="66"/>
  <c r="I17" i="66"/>
  <c r="S40" i="66"/>
  <c r="U40" i="66"/>
  <c r="V40" i="66"/>
  <c r="H18" i="66"/>
  <c r="R41" i="66"/>
  <c r="Q41" i="66"/>
  <c r="T41" i="66"/>
  <c r="I18" i="66"/>
  <c r="S41" i="66"/>
  <c r="U41" i="66"/>
  <c r="V41" i="66"/>
  <c r="T42" i="66"/>
  <c r="I19" i="66"/>
  <c r="S42" i="66"/>
  <c r="U42" i="66"/>
  <c r="V42" i="66"/>
  <c r="X43" i="66"/>
  <c r="X44" i="66"/>
  <c r="I34" i="66"/>
  <c r="J34" i="66"/>
  <c r="K34" i="66"/>
  <c r="I37" i="66"/>
  <c r="H37" i="66"/>
  <c r="K37" i="66"/>
  <c r="J37" i="66"/>
  <c r="L37" i="66"/>
  <c r="M37" i="66"/>
  <c r="I38" i="66"/>
  <c r="H38" i="66"/>
  <c r="K38" i="66"/>
  <c r="J38" i="66"/>
  <c r="L38" i="66"/>
  <c r="M38" i="66"/>
  <c r="I39" i="66"/>
  <c r="H39" i="66"/>
  <c r="K39" i="66"/>
  <c r="J39" i="66"/>
  <c r="L39" i="66"/>
  <c r="M39" i="66"/>
  <c r="I40" i="66"/>
  <c r="H40" i="66"/>
  <c r="K40" i="66"/>
  <c r="J40" i="66"/>
  <c r="L40" i="66"/>
  <c r="M40" i="66"/>
  <c r="I41" i="66"/>
  <c r="H41" i="66"/>
  <c r="K41" i="66"/>
  <c r="J41" i="66"/>
  <c r="L41" i="66"/>
  <c r="M41" i="66"/>
  <c r="K42" i="66"/>
  <c r="J42" i="66"/>
  <c r="L42" i="66"/>
  <c r="M42" i="66"/>
  <c r="O43" i="66"/>
  <c r="O44" i="66"/>
  <c r="R42" i="66"/>
  <c r="I42" i="66"/>
  <c r="D12" i="66"/>
  <c r="D19" i="66"/>
  <c r="D32" i="66"/>
  <c r="D31" i="66"/>
  <c r="D33" i="66"/>
  <c r="H11" i="66"/>
  <c r="R11" i="66"/>
  <c r="I11" i="66"/>
  <c r="S11" i="66"/>
  <c r="D13" i="66"/>
  <c r="D23" i="66"/>
  <c r="D6" i="66"/>
  <c r="D5" i="66"/>
  <c r="H6" i="66"/>
  <c r="D15" i="66"/>
  <c r="D16" i="66"/>
  <c r="D24" i="66"/>
  <c r="Q11" i="66"/>
  <c r="T11" i="66"/>
  <c r="R14" i="66"/>
  <c r="Q14" i="66"/>
  <c r="T14" i="66"/>
  <c r="S14" i="66"/>
  <c r="U14" i="66"/>
  <c r="V14" i="66"/>
  <c r="R15" i="66"/>
  <c r="Q15" i="66"/>
  <c r="T15" i="66"/>
  <c r="S15" i="66"/>
  <c r="U15" i="66"/>
  <c r="V15" i="66"/>
  <c r="R16" i="66"/>
  <c r="Q16" i="66"/>
  <c r="T16" i="66"/>
  <c r="S16" i="66"/>
  <c r="U16" i="66"/>
  <c r="V16" i="66"/>
  <c r="R17" i="66"/>
  <c r="Q17" i="66"/>
  <c r="T17" i="66"/>
  <c r="S17" i="66"/>
  <c r="U17" i="66"/>
  <c r="V17" i="66"/>
  <c r="R18" i="66"/>
  <c r="Q18" i="66"/>
  <c r="T18" i="66"/>
  <c r="S18" i="66"/>
  <c r="U18" i="66"/>
  <c r="V18" i="66"/>
  <c r="T19" i="66"/>
  <c r="S19" i="66"/>
  <c r="U19" i="66"/>
  <c r="V19" i="66"/>
  <c r="X20" i="66"/>
  <c r="N2" i="66"/>
  <c r="D34" i="66"/>
  <c r="D35" i="66"/>
  <c r="D39" i="66"/>
  <c r="E35" i="66"/>
  <c r="E33" i="66"/>
  <c r="F33" i="66"/>
  <c r="S28" i="66"/>
  <c r="I28" i="66"/>
  <c r="X21" i="66"/>
  <c r="S26" i="66"/>
  <c r="G11" i="66"/>
  <c r="J11" i="66"/>
  <c r="G14" i="66"/>
  <c r="J14" i="66"/>
  <c r="K14" i="66"/>
  <c r="L14" i="66"/>
  <c r="G15" i="66"/>
  <c r="J15" i="66"/>
  <c r="K15" i="66"/>
  <c r="L15" i="66"/>
  <c r="G16" i="66"/>
  <c r="J16" i="66"/>
  <c r="K16" i="66"/>
  <c r="L16" i="66"/>
  <c r="G17" i="66"/>
  <c r="J17" i="66"/>
  <c r="K17" i="66"/>
  <c r="L17" i="66"/>
  <c r="G18" i="66"/>
  <c r="J18" i="66"/>
  <c r="K18" i="66"/>
  <c r="L18" i="66"/>
  <c r="J19" i="66"/>
  <c r="K19" i="66"/>
  <c r="L19" i="66"/>
  <c r="N20" i="66"/>
  <c r="N21" i="66"/>
  <c r="I26" i="66"/>
  <c r="C21" i="66"/>
  <c r="B21" i="66"/>
  <c r="R19" i="66"/>
  <c r="H19" i="66"/>
  <c r="D10" i="66"/>
  <c r="N6" i="66"/>
  <c r="N1" i="66"/>
  <c r="D62" i="65"/>
  <c r="F62" i="65"/>
  <c r="D63" i="65"/>
  <c r="F63" i="65"/>
  <c r="F64" i="65"/>
  <c r="B54" i="65"/>
  <c r="B53" i="65"/>
  <c r="B55" i="65"/>
  <c r="C54" i="65"/>
  <c r="B9" i="65"/>
  <c r="B29" i="65"/>
  <c r="L40" i="65"/>
  <c r="E4" i="65"/>
  <c r="C16" i="65"/>
  <c r="C40" i="65"/>
  <c r="M40" i="65"/>
  <c r="T50" i="65"/>
  <c r="B40" i="65"/>
  <c r="J50" i="65"/>
  <c r="D40" i="65"/>
  <c r="N40" i="65"/>
  <c r="E16" i="65"/>
  <c r="E40" i="65"/>
  <c r="O40" i="65"/>
  <c r="P40" i="65"/>
  <c r="D43" i="65"/>
  <c r="N43" i="65"/>
  <c r="M43" i="65"/>
  <c r="P43" i="65"/>
  <c r="O43" i="65"/>
  <c r="Q43" i="65"/>
  <c r="R43" i="65"/>
  <c r="D44" i="65"/>
  <c r="N44" i="65"/>
  <c r="M44" i="65"/>
  <c r="P44" i="65"/>
  <c r="O44" i="65"/>
  <c r="Q44" i="65"/>
  <c r="R44" i="65"/>
  <c r="D45" i="65"/>
  <c r="N45" i="65"/>
  <c r="M45" i="65"/>
  <c r="P45" i="65"/>
  <c r="O45" i="65"/>
  <c r="Q45" i="65"/>
  <c r="R45" i="65"/>
  <c r="D46" i="65"/>
  <c r="N46" i="65"/>
  <c r="M46" i="65"/>
  <c r="P46" i="65"/>
  <c r="O46" i="65"/>
  <c r="Q46" i="65"/>
  <c r="R46" i="65"/>
  <c r="D47" i="65"/>
  <c r="N47" i="65"/>
  <c r="M47" i="65"/>
  <c r="P47" i="65"/>
  <c r="O47" i="65"/>
  <c r="Q47" i="65"/>
  <c r="R47" i="65"/>
  <c r="P48" i="65"/>
  <c r="O48" i="65"/>
  <c r="Q48" i="65"/>
  <c r="R48" i="65"/>
  <c r="N48" i="65"/>
  <c r="F40" i="65"/>
  <c r="C43" i="65"/>
  <c r="F43" i="65"/>
  <c r="E43" i="65"/>
  <c r="G43" i="65"/>
  <c r="H43" i="65"/>
  <c r="C44" i="65"/>
  <c r="F44" i="65"/>
  <c r="E44" i="65"/>
  <c r="G44" i="65"/>
  <c r="H44" i="65"/>
  <c r="C45" i="65"/>
  <c r="F45" i="65"/>
  <c r="E45" i="65"/>
  <c r="G45" i="65"/>
  <c r="H45" i="65"/>
  <c r="C46" i="65"/>
  <c r="F46" i="65"/>
  <c r="E46" i="65"/>
  <c r="G46" i="65"/>
  <c r="H46" i="65"/>
  <c r="C47" i="65"/>
  <c r="F47" i="65"/>
  <c r="E47" i="65"/>
  <c r="G47" i="65"/>
  <c r="H47" i="65"/>
  <c r="F48" i="65"/>
  <c r="E48" i="65"/>
  <c r="G48" i="65"/>
  <c r="H48" i="65"/>
  <c r="D48" i="65"/>
  <c r="B30" i="65"/>
  <c r="B31" i="65"/>
  <c r="M16" i="65"/>
  <c r="T26" i="65"/>
  <c r="J26" i="65"/>
  <c r="F16" i="65"/>
  <c r="P16" i="65"/>
  <c r="N19" i="65"/>
  <c r="M19" i="65"/>
  <c r="P19" i="65"/>
  <c r="O19" i="65"/>
  <c r="Q19" i="65"/>
  <c r="R19" i="65"/>
  <c r="N20" i="65"/>
  <c r="M20" i="65"/>
  <c r="P20" i="65"/>
  <c r="O20" i="65"/>
  <c r="Q20" i="65"/>
  <c r="R20" i="65"/>
  <c r="N21" i="65"/>
  <c r="M21" i="65"/>
  <c r="P21" i="65"/>
  <c r="O21" i="65"/>
  <c r="Q21" i="65"/>
  <c r="R21" i="65"/>
  <c r="N22" i="65"/>
  <c r="M22" i="65"/>
  <c r="P22" i="65"/>
  <c r="O22" i="65"/>
  <c r="Q22" i="65"/>
  <c r="R22" i="65"/>
  <c r="N23" i="65"/>
  <c r="M23" i="65"/>
  <c r="P23" i="65"/>
  <c r="O23" i="65"/>
  <c r="Q23" i="65"/>
  <c r="R23" i="65"/>
  <c r="P24" i="65"/>
  <c r="O24" i="65"/>
  <c r="Q24" i="65"/>
  <c r="R24" i="65"/>
  <c r="N24" i="65"/>
  <c r="C19" i="65"/>
  <c r="F19" i="65"/>
  <c r="G19" i="65"/>
  <c r="H19" i="65"/>
  <c r="C20" i="65"/>
  <c r="F20" i="65"/>
  <c r="G20" i="65"/>
  <c r="H20" i="65"/>
  <c r="C21" i="65"/>
  <c r="F21" i="65"/>
  <c r="G21" i="65"/>
  <c r="H21" i="65"/>
  <c r="C22" i="65"/>
  <c r="F22" i="65"/>
  <c r="G22" i="65"/>
  <c r="H22" i="65"/>
  <c r="C23" i="65"/>
  <c r="F23" i="65"/>
  <c r="G23" i="65"/>
  <c r="H23" i="65"/>
  <c r="F24" i="65"/>
  <c r="G24" i="65"/>
  <c r="H24" i="65"/>
  <c r="D24" i="65"/>
  <c r="O16" i="65"/>
  <c r="B11" i="65"/>
  <c r="J10" i="65"/>
  <c r="J3" i="65"/>
  <c r="J4" i="65"/>
  <c r="J6" i="65"/>
  <c r="J7" i="65"/>
  <c r="B54" i="64"/>
  <c r="B53" i="64"/>
  <c r="B55" i="64"/>
  <c r="C54" i="64"/>
  <c r="B13" i="64"/>
  <c r="B29" i="64"/>
  <c r="L40" i="64"/>
  <c r="C16" i="64"/>
  <c r="C40" i="64"/>
  <c r="M40" i="64"/>
  <c r="T50" i="64"/>
  <c r="B40" i="64"/>
  <c r="J50" i="64"/>
  <c r="D40" i="64"/>
  <c r="N40" i="64"/>
  <c r="E16" i="64"/>
  <c r="E40" i="64"/>
  <c r="O40" i="64"/>
  <c r="P40" i="64"/>
  <c r="N43" i="64"/>
  <c r="M43" i="64"/>
  <c r="P43" i="64"/>
  <c r="Q43" i="64"/>
  <c r="R43" i="64"/>
  <c r="N44" i="64"/>
  <c r="M44" i="64"/>
  <c r="P44" i="64"/>
  <c r="Q44" i="64"/>
  <c r="R44" i="64"/>
  <c r="N45" i="64"/>
  <c r="M45" i="64"/>
  <c r="P45" i="64"/>
  <c r="Q45" i="64"/>
  <c r="R45" i="64"/>
  <c r="N46" i="64"/>
  <c r="M46" i="64"/>
  <c r="P46" i="64"/>
  <c r="Q46" i="64"/>
  <c r="R46" i="64"/>
  <c r="N47" i="64"/>
  <c r="M47" i="64"/>
  <c r="P47" i="64"/>
  <c r="Q47" i="64"/>
  <c r="R47" i="64"/>
  <c r="P48" i="64"/>
  <c r="Q48" i="64"/>
  <c r="R48" i="64"/>
  <c r="F40" i="64"/>
  <c r="C43" i="64"/>
  <c r="C44" i="64"/>
  <c r="C45" i="64"/>
  <c r="C46" i="64"/>
  <c r="C47" i="64"/>
  <c r="D48" i="64"/>
  <c r="N48" i="64"/>
  <c r="F43" i="64"/>
  <c r="G43" i="64"/>
  <c r="H43" i="64"/>
  <c r="F44" i="64"/>
  <c r="G44" i="64"/>
  <c r="H44" i="64"/>
  <c r="F45" i="64"/>
  <c r="G45" i="64"/>
  <c r="H45" i="64"/>
  <c r="F47" i="64"/>
  <c r="G47" i="64"/>
  <c r="H47" i="64"/>
  <c r="F48" i="64"/>
  <c r="G48" i="64"/>
  <c r="H48" i="64"/>
  <c r="F46" i="64"/>
  <c r="G46" i="64"/>
  <c r="H46" i="64"/>
  <c r="B30" i="64"/>
  <c r="B31" i="64"/>
  <c r="J26" i="64"/>
  <c r="F16" i="64"/>
  <c r="C19" i="64"/>
  <c r="F19" i="64"/>
  <c r="G19" i="64"/>
  <c r="H19" i="64"/>
  <c r="C20" i="64"/>
  <c r="F20" i="64"/>
  <c r="G20" i="64"/>
  <c r="H20" i="64"/>
  <c r="C21" i="64"/>
  <c r="F21" i="64"/>
  <c r="G21" i="64"/>
  <c r="H21" i="64"/>
  <c r="C22" i="64"/>
  <c r="C23" i="64"/>
  <c r="F23" i="64"/>
  <c r="G23" i="64"/>
  <c r="H23" i="64"/>
  <c r="F24" i="64"/>
  <c r="G24" i="64"/>
  <c r="H24" i="64"/>
  <c r="D24" i="64"/>
  <c r="F22" i="64"/>
  <c r="G22" i="64"/>
  <c r="H22" i="64"/>
  <c r="J8" i="64"/>
  <c r="J3" i="64"/>
  <c r="J4" i="64"/>
  <c r="J6" i="64"/>
  <c r="E4" i="64"/>
  <c r="K5" i="63"/>
  <c r="D20" i="63"/>
  <c r="I41" i="63"/>
  <c r="S41" i="63"/>
  <c r="S58" i="63"/>
  <c r="I58" i="63"/>
  <c r="K1" i="63"/>
  <c r="K2" i="63"/>
  <c r="K3" i="63"/>
  <c r="K4" i="63"/>
  <c r="K6" i="63"/>
  <c r="D11" i="63"/>
  <c r="H11" i="63"/>
  <c r="H41" i="63"/>
  <c r="R41" i="63"/>
  <c r="T41" i="63"/>
  <c r="H13" i="63"/>
  <c r="H44" i="63"/>
  <c r="R44" i="63"/>
  <c r="Q44" i="63"/>
  <c r="T44" i="63"/>
  <c r="I13" i="63"/>
  <c r="S44" i="63"/>
  <c r="U44" i="63"/>
  <c r="V44" i="63"/>
  <c r="H14" i="63"/>
  <c r="H45" i="63"/>
  <c r="R45" i="63"/>
  <c r="Q45" i="63"/>
  <c r="T45" i="63"/>
  <c r="I14" i="63"/>
  <c r="S45" i="63"/>
  <c r="U45" i="63"/>
  <c r="V45" i="63"/>
  <c r="H15" i="63"/>
  <c r="H46" i="63"/>
  <c r="R46" i="63"/>
  <c r="Q46" i="63"/>
  <c r="T46" i="63"/>
  <c r="I15" i="63"/>
  <c r="S46" i="63"/>
  <c r="U46" i="63"/>
  <c r="V46" i="63"/>
  <c r="H16" i="63"/>
  <c r="H47" i="63"/>
  <c r="R47" i="63"/>
  <c r="Q47" i="63"/>
  <c r="T47" i="63"/>
  <c r="I16" i="63"/>
  <c r="S47" i="63"/>
  <c r="U47" i="63"/>
  <c r="V47" i="63"/>
  <c r="H17" i="63"/>
  <c r="H48" i="63"/>
  <c r="R48" i="63"/>
  <c r="Q48" i="63"/>
  <c r="T48" i="63"/>
  <c r="I17" i="63"/>
  <c r="S48" i="63"/>
  <c r="U48" i="63"/>
  <c r="V48" i="63"/>
  <c r="T49" i="63"/>
  <c r="I18" i="63"/>
  <c r="S49" i="63"/>
  <c r="U49" i="63"/>
  <c r="V49" i="63"/>
  <c r="X50" i="63"/>
  <c r="X51" i="63"/>
  <c r="S56" i="63"/>
  <c r="J41" i="63"/>
  <c r="G44" i="63"/>
  <c r="J44" i="63"/>
  <c r="I44" i="63"/>
  <c r="K44" i="63"/>
  <c r="L44" i="63"/>
  <c r="G45" i="63"/>
  <c r="J45" i="63"/>
  <c r="I45" i="63"/>
  <c r="K45" i="63"/>
  <c r="L45" i="63"/>
  <c r="G46" i="63"/>
  <c r="J46" i="63"/>
  <c r="I46" i="63"/>
  <c r="K46" i="63"/>
  <c r="L46" i="63"/>
  <c r="G47" i="63"/>
  <c r="J47" i="63"/>
  <c r="I47" i="63"/>
  <c r="K47" i="63"/>
  <c r="L47" i="63"/>
  <c r="G48" i="63"/>
  <c r="J48" i="63"/>
  <c r="I48" i="63"/>
  <c r="K48" i="63"/>
  <c r="L48" i="63"/>
  <c r="J49" i="63"/>
  <c r="I49" i="63"/>
  <c r="K49" i="63"/>
  <c r="L49" i="63"/>
  <c r="N50" i="63"/>
  <c r="N51" i="63"/>
  <c r="I56" i="63"/>
  <c r="K51" i="63"/>
  <c r="E51" i="63"/>
  <c r="G51" i="63"/>
  <c r="I51" i="63"/>
  <c r="R49" i="63"/>
  <c r="H49" i="63"/>
  <c r="D31" i="63"/>
  <c r="D12" i="63"/>
  <c r="D30" i="63"/>
  <c r="D14" i="63"/>
  <c r="D32" i="63"/>
  <c r="D33" i="63"/>
  <c r="H2" i="63"/>
  <c r="R11" i="63"/>
  <c r="I11" i="63"/>
  <c r="S11" i="63"/>
  <c r="D13" i="63"/>
  <c r="D22" i="63"/>
  <c r="D6" i="63"/>
  <c r="D5" i="63"/>
  <c r="H6" i="63"/>
  <c r="D15" i="63"/>
  <c r="D16" i="63"/>
  <c r="D23" i="63"/>
  <c r="Q11" i="63"/>
  <c r="T11" i="63"/>
  <c r="R13" i="63"/>
  <c r="Q13" i="63"/>
  <c r="T13" i="63"/>
  <c r="S13" i="63"/>
  <c r="U13" i="63"/>
  <c r="V13" i="63"/>
  <c r="R14" i="63"/>
  <c r="Q14" i="63"/>
  <c r="T14" i="63"/>
  <c r="S14" i="63"/>
  <c r="U14" i="63"/>
  <c r="V14" i="63"/>
  <c r="R15" i="63"/>
  <c r="Q15" i="63"/>
  <c r="T15" i="63"/>
  <c r="S15" i="63"/>
  <c r="U15" i="63"/>
  <c r="V15" i="63"/>
  <c r="R16" i="63"/>
  <c r="Q16" i="63"/>
  <c r="T16" i="63"/>
  <c r="S16" i="63"/>
  <c r="U16" i="63"/>
  <c r="V16" i="63"/>
  <c r="R17" i="63"/>
  <c r="Q17" i="63"/>
  <c r="T17" i="63"/>
  <c r="S17" i="63"/>
  <c r="U17" i="63"/>
  <c r="V17" i="63"/>
  <c r="T18" i="63"/>
  <c r="S18" i="63"/>
  <c r="U18" i="63"/>
  <c r="V18" i="63"/>
  <c r="X19" i="63"/>
  <c r="D34" i="63"/>
  <c r="E35" i="63"/>
  <c r="D35" i="63"/>
  <c r="H31" i="63"/>
  <c r="G31" i="63"/>
  <c r="H30" i="63"/>
  <c r="G30" i="63"/>
  <c r="S27" i="63"/>
  <c r="I27" i="63"/>
  <c r="X20" i="63"/>
  <c r="S25" i="63"/>
  <c r="G11" i="63"/>
  <c r="J11" i="63"/>
  <c r="G13" i="63"/>
  <c r="J13" i="63"/>
  <c r="K13" i="63"/>
  <c r="L13" i="63"/>
  <c r="G14" i="63"/>
  <c r="J14" i="63"/>
  <c r="K14" i="63"/>
  <c r="L14" i="63"/>
  <c r="G15" i="63"/>
  <c r="J15" i="63"/>
  <c r="K15" i="63"/>
  <c r="L15" i="63"/>
  <c r="G16" i="63"/>
  <c r="J16" i="63"/>
  <c r="K16" i="63"/>
  <c r="L16" i="63"/>
  <c r="G17" i="63"/>
  <c r="J17" i="63"/>
  <c r="K17" i="63"/>
  <c r="L17" i="63"/>
  <c r="J18" i="63"/>
  <c r="K18" i="63"/>
  <c r="L18" i="63"/>
  <c r="N19" i="63"/>
  <c r="N20" i="63"/>
  <c r="I25" i="63"/>
  <c r="C20" i="63"/>
  <c r="B20" i="63"/>
  <c r="R18" i="63"/>
  <c r="H18" i="63"/>
  <c r="E14" i="63"/>
  <c r="D10" i="63"/>
  <c r="H33" i="61"/>
  <c r="E33" i="61"/>
  <c r="D33" i="61"/>
  <c r="H25" i="61"/>
  <c r="D25" i="61"/>
  <c r="I17" i="61"/>
  <c r="F11" i="61"/>
  <c r="W7" i="61"/>
  <c r="V7" i="61"/>
  <c r="U7" i="61"/>
  <c r="T7" i="61"/>
  <c r="K7" i="61"/>
  <c r="K5" i="61"/>
  <c r="K347" i="60"/>
  <c r="E347" i="60"/>
  <c r="K346" i="60"/>
  <c r="E346" i="60"/>
  <c r="K345" i="60"/>
  <c r="E345" i="60"/>
  <c r="K344" i="60"/>
  <c r="E344" i="60"/>
  <c r="K343" i="60"/>
  <c r="E343" i="60"/>
  <c r="K342" i="60"/>
  <c r="E342" i="60"/>
  <c r="K341" i="60"/>
  <c r="E341" i="60"/>
  <c r="K340" i="60"/>
  <c r="E340" i="60"/>
  <c r="K339" i="60"/>
  <c r="E339" i="60"/>
  <c r="K338" i="60"/>
  <c r="E338" i="60"/>
  <c r="K337" i="60"/>
  <c r="E337" i="60"/>
  <c r="K336" i="60"/>
  <c r="E336" i="60"/>
  <c r="K335" i="60"/>
  <c r="E335" i="60"/>
  <c r="K334" i="60"/>
  <c r="E334" i="60"/>
  <c r="K333" i="60"/>
  <c r="E333" i="60"/>
  <c r="K332" i="60"/>
  <c r="E332" i="60"/>
  <c r="K331" i="60"/>
  <c r="E331" i="60"/>
  <c r="K330" i="60"/>
  <c r="E330" i="60"/>
  <c r="K329" i="60"/>
  <c r="E329" i="60"/>
  <c r="K328" i="60"/>
  <c r="E328" i="60"/>
  <c r="K327" i="60"/>
  <c r="E327" i="60"/>
  <c r="K326" i="60"/>
  <c r="E326" i="60"/>
  <c r="K325" i="60"/>
  <c r="E325" i="60"/>
  <c r="K324" i="60"/>
  <c r="E324" i="60"/>
  <c r="K323" i="60"/>
  <c r="E323" i="60"/>
  <c r="K322" i="60"/>
  <c r="E322" i="60"/>
  <c r="K321" i="60"/>
  <c r="E321" i="60"/>
  <c r="K320" i="60"/>
  <c r="E320" i="60"/>
  <c r="K319" i="60"/>
  <c r="E319" i="60"/>
  <c r="K318" i="60"/>
  <c r="E318" i="60"/>
  <c r="K317" i="60"/>
  <c r="E317" i="60"/>
  <c r="K316" i="60"/>
  <c r="E316" i="60"/>
  <c r="K313" i="60"/>
  <c r="E313" i="60"/>
  <c r="K303" i="60"/>
  <c r="E303" i="60"/>
  <c r="K302" i="60"/>
  <c r="E302" i="60"/>
  <c r="K301" i="60"/>
  <c r="E301" i="60"/>
  <c r="K300" i="60"/>
  <c r="E300" i="60"/>
  <c r="K299" i="60"/>
  <c r="E299" i="60"/>
  <c r="K298" i="60"/>
  <c r="E298" i="60"/>
  <c r="K297" i="60"/>
  <c r="E297" i="60"/>
  <c r="K296" i="60"/>
  <c r="E296" i="60"/>
  <c r="K295" i="60"/>
  <c r="E295" i="60"/>
  <c r="K294" i="60"/>
  <c r="E294" i="60"/>
  <c r="K293" i="60"/>
  <c r="E293" i="60"/>
  <c r="K292" i="60"/>
  <c r="E292" i="60"/>
  <c r="K291" i="60"/>
  <c r="E291" i="60"/>
  <c r="K290" i="60"/>
  <c r="E290" i="60"/>
  <c r="K289" i="60"/>
  <c r="E289" i="60"/>
  <c r="K288" i="60"/>
  <c r="E288" i="60"/>
  <c r="K287" i="60"/>
  <c r="E287" i="60"/>
  <c r="K286" i="60"/>
  <c r="E286" i="60"/>
  <c r="K285" i="60"/>
  <c r="E285" i="60"/>
  <c r="K284" i="60"/>
  <c r="E284" i="60"/>
  <c r="K283" i="60"/>
  <c r="E283" i="60"/>
  <c r="K282" i="60"/>
  <c r="E282" i="60"/>
  <c r="K281" i="60"/>
  <c r="E281" i="60"/>
  <c r="K280" i="60"/>
  <c r="E280" i="60"/>
  <c r="K279" i="60"/>
  <c r="E279" i="60"/>
  <c r="K278" i="60"/>
  <c r="E278" i="60"/>
  <c r="K277" i="60"/>
  <c r="E277" i="60"/>
  <c r="K276" i="60"/>
  <c r="E276" i="60"/>
  <c r="K275" i="60"/>
  <c r="E275" i="60"/>
  <c r="K274" i="60"/>
  <c r="E274" i="60"/>
  <c r="K273" i="60"/>
  <c r="E273" i="60"/>
  <c r="K272" i="60"/>
  <c r="E272" i="60"/>
  <c r="K271" i="60"/>
  <c r="E271" i="60"/>
  <c r="K270" i="60"/>
  <c r="E270" i="60"/>
  <c r="K269" i="60"/>
  <c r="E269" i="60"/>
  <c r="K268" i="60"/>
  <c r="E268" i="60"/>
  <c r="K267" i="60"/>
  <c r="E267" i="60"/>
  <c r="K266" i="60"/>
  <c r="E266" i="60"/>
  <c r="K265" i="60"/>
  <c r="E265" i="60"/>
  <c r="K264" i="60"/>
  <c r="E264" i="60"/>
  <c r="K263" i="60"/>
  <c r="E263" i="60"/>
  <c r="O262" i="60"/>
  <c r="Q262" i="60"/>
  <c r="K262" i="60"/>
  <c r="E262" i="60"/>
  <c r="O261" i="60"/>
  <c r="Q261" i="60"/>
  <c r="O176" i="60"/>
  <c r="O177" i="60"/>
  <c r="O178" i="60"/>
  <c r="O195" i="60"/>
  <c r="O200" i="60"/>
  <c r="B216" i="60"/>
  <c r="B217" i="60"/>
  <c r="O179" i="60"/>
  <c r="O188" i="60"/>
  <c r="O189" i="60"/>
  <c r="O190" i="60"/>
  <c r="O191" i="60"/>
  <c r="O193" i="60"/>
  <c r="O194" i="60"/>
  <c r="O196" i="60"/>
  <c r="O197" i="60"/>
  <c r="O198" i="60"/>
  <c r="O201" i="60"/>
  <c r="O183" i="60"/>
  <c r="O185" i="60"/>
  <c r="B211" i="60"/>
  <c r="B212" i="60"/>
  <c r="O180" i="60"/>
  <c r="O181" i="60"/>
  <c r="O182" i="60"/>
  <c r="O184" i="60"/>
  <c r="O186" i="60"/>
  <c r="O187" i="60"/>
  <c r="O192" i="60"/>
  <c r="O199" i="60"/>
  <c r="O202" i="60"/>
  <c r="O203" i="60"/>
  <c r="O204" i="60"/>
  <c r="O205" i="60"/>
  <c r="O206" i="60"/>
  <c r="O208" i="60"/>
  <c r="N176" i="60"/>
  <c r="N177" i="60"/>
  <c r="N178" i="60"/>
  <c r="N179" i="60"/>
  <c r="N180" i="60"/>
  <c r="N181" i="60"/>
  <c r="N182" i="60"/>
  <c r="N183" i="60"/>
  <c r="N184" i="60"/>
  <c r="N185" i="60"/>
  <c r="N186" i="60"/>
  <c r="N187" i="60"/>
  <c r="N188" i="60"/>
  <c r="N189" i="60"/>
  <c r="N190" i="60"/>
  <c r="N191" i="60"/>
  <c r="N192" i="60"/>
  <c r="N193" i="60"/>
  <c r="N194" i="60"/>
  <c r="N195" i="60"/>
  <c r="N196" i="60"/>
  <c r="N197" i="60"/>
  <c r="N198" i="60"/>
  <c r="N199" i="60"/>
  <c r="N200" i="60"/>
  <c r="N201" i="60"/>
  <c r="N202" i="60"/>
  <c r="N203" i="60"/>
  <c r="N204" i="60"/>
  <c r="N205" i="60"/>
  <c r="N206" i="60"/>
  <c r="N208" i="60"/>
  <c r="M176" i="60"/>
  <c r="M177" i="60"/>
  <c r="M178" i="60"/>
  <c r="M179" i="60"/>
  <c r="M180" i="60"/>
  <c r="M181" i="60"/>
  <c r="M182" i="60"/>
  <c r="M183" i="60"/>
  <c r="M184" i="60"/>
  <c r="M185" i="60"/>
  <c r="M186" i="60"/>
  <c r="M187" i="60"/>
  <c r="M188" i="60"/>
  <c r="M189" i="60"/>
  <c r="M190" i="60"/>
  <c r="M191" i="60"/>
  <c r="M192" i="60"/>
  <c r="M193" i="60"/>
  <c r="M194" i="60"/>
  <c r="M195" i="60"/>
  <c r="M196" i="60"/>
  <c r="M197" i="60"/>
  <c r="M198" i="60"/>
  <c r="M199" i="60"/>
  <c r="M200" i="60"/>
  <c r="M201" i="60"/>
  <c r="M202" i="60"/>
  <c r="M203" i="60"/>
  <c r="M204" i="60"/>
  <c r="M205" i="60"/>
  <c r="M206" i="60"/>
  <c r="M208" i="60"/>
  <c r="L176" i="60"/>
  <c r="L177" i="60"/>
  <c r="L178" i="60"/>
  <c r="L179" i="60"/>
  <c r="L180" i="60"/>
  <c r="L181" i="60"/>
  <c r="L182" i="60"/>
  <c r="J183" i="60"/>
  <c r="L183" i="60"/>
  <c r="L184" i="60"/>
  <c r="J185" i="60"/>
  <c r="L185" i="60"/>
  <c r="L186" i="60"/>
  <c r="L187" i="60"/>
  <c r="L188" i="60"/>
  <c r="L189" i="60"/>
  <c r="L190" i="60"/>
  <c r="L191" i="60"/>
  <c r="L192" i="60"/>
  <c r="L193" i="60"/>
  <c r="L194" i="60"/>
  <c r="L195" i="60"/>
  <c r="L196" i="60"/>
  <c r="L197" i="60"/>
  <c r="L198" i="60"/>
  <c r="L199" i="60"/>
  <c r="L200" i="60"/>
  <c r="L201" i="60"/>
  <c r="L202" i="60"/>
  <c r="L203" i="60"/>
  <c r="L204" i="60"/>
  <c r="L205" i="60"/>
  <c r="L206" i="60"/>
  <c r="L208" i="60"/>
  <c r="F201" i="60"/>
  <c r="F200" i="60"/>
  <c r="F198" i="60"/>
  <c r="F197" i="60"/>
  <c r="F196" i="60"/>
  <c r="F195" i="60"/>
  <c r="F194" i="60"/>
  <c r="F193" i="60"/>
  <c r="F191" i="60"/>
  <c r="F190" i="60"/>
  <c r="F189" i="60"/>
  <c r="F188" i="60"/>
  <c r="F185" i="60"/>
  <c r="F183" i="60"/>
  <c r="F179" i="60"/>
  <c r="F178" i="60"/>
  <c r="F177" i="60"/>
  <c r="D173" i="60"/>
  <c r="I86" i="60"/>
  <c r="I93" i="60"/>
  <c r="I84" i="60"/>
  <c r="I95" i="60"/>
  <c r="I88" i="60"/>
  <c r="I90" i="60"/>
  <c r="I74" i="60"/>
  <c r="I78" i="60"/>
  <c r="I72" i="60"/>
  <c r="I80" i="60"/>
  <c r="I76" i="60"/>
  <c r="O4" i="60"/>
  <c r="O5" i="60"/>
  <c r="O6" i="60"/>
  <c r="O21" i="60"/>
  <c r="O26" i="60"/>
  <c r="B42" i="60"/>
  <c r="D64" i="60"/>
  <c r="B64" i="60"/>
  <c r="B65" i="60"/>
  <c r="O7" i="60"/>
  <c r="O14" i="60"/>
  <c r="O15" i="60"/>
  <c r="O16" i="60"/>
  <c r="O17" i="60"/>
  <c r="O19" i="60"/>
  <c r="O20" i="60"/>
  <c r="O22" i="60"/>
  <c r="O23" i="60"/>
  <c r="O24" i="60"/>
  <c r="O27" i="60"/>
  <c r="B37" i="60"/>
  <c r="D58" i="60"/>
  <c r="B58" i="60"/>
  <c r="B59" i="60"/>
  <c r="O12" i="60"/>
  <c r="K53" i="60"/>
  <c r="H54" i="60"/>
  <c r="E54" i="60"/>
  <c r="J53" i="60"/>
  <c r="H53" i="60"/>
  <c r="E53" i="60"/>
  <c r="O11" i="60"/>
  <c r="K49" i="60"/>
  <c r="H50" i="60"/>
  <c r="E50" i="60"/>
  <c r="J49" i="60"/>
  <c r="H49" i="60"/>
  <c r="E49" i="60"/>
  <c r="E42" i="60"/>
  <c r="E41" i="60"/>
  <c r="E43" i="60"/>
  <c r="B43" i="60"/>
  <c r="F5" i="60"/>
  <c r="F6" i="60"/>
  <c r="F7" i="60"/>
  <c r="F11" i="60"/>
  <c r="F12" i="60"/>
  <c r="F14" i="60"/>
  <c r="F15" i="60"/>
  <c r="F16" i="60"/>
  <c r="F17" i="60"/>
  <c r="F18" i="60"/>
  <c r="F19" i="60"/>
  <c r="F20" i="60"/>
  <c r="F21" i="60"/>
  <c r="F22" i="60"/>
  <c r="F23" i="60"/>
  <c r="F24" i="60"/>
  <c r="F26" i="60"/>
  <c r="F27" i="60"/>
  <c r="F33" i="60"/>
  <c r="I42" i="60"/>
  <c r="O13" i="60"/>
  <c r="O10" i="60"/>
  <c r="O9" i="60"/>
  <c r="O8" i="60"/>
  <c r="O38" i="60"/>
  <c r="L13" i="60"/>
  <c r="L12" i="60"/>
  <c r="L11" i="60"/>
  <c r="L10" i="60"/>
  <c r="L9" i="60"/>
  <c r="L8" i="60"/>
  <c r="L38" i="60"/>
  <c r="E37" i="60"/>
  <c r="E36" i="60"/>
  <c r="E38" i="60"/>
  <c r="B38" i="60"/>
  <c r="O25" i="60"/>
  <c r="O37" i="60"/>
  <c r="N26" i="60"/>
  <c r="N25" i="60"/>
  <c r="N23" i="60"/>
  <c r="N21" i="60"/>
  <c r="N6" i="60"/>
  <c r="N5" i="60"/>
  <c r="N4" i="60"/>
  <c r="N37" i="60"/>
  <c r="L26" i="60"/>
  <c r="L25" i="60"/>
  <c r="L23" i="60"/>
  <c r="L21" i="60"/>
  <c r="L6" i="60"/>
  <c r="L5" i="60"/>
  <c r="L4" i="60"/>
  <c r="L37" i="60"/>
  <c r="O36" i="60"/>
  <c r="M27" i="60"/>
  <c r="M24" i="60"/>
  <c r="M22" i="60"/>
  <c r="M20" i="60"/>
  <c r="M19" i="60"/>
  <c r="M18" i="60"/>
  <c r="M17" i="60"/>
  <c r="M16" i="60"/>
  <c r="M15" i="60"/>
  <c r="M14" i="60"/>
  <c r="M7" i="60"/>
  <c r="M36" i="60"/>
  <c r="L27" i="60"/>
  <c r="L24" i="60"/>
  <c r="L22" i="60"/>
  <c r="L20" i="60"/>
  <c r="L19" i="60"/>
  <c r="L18" i="60"/>
  <c r="L17" i="60"/>
  <c r="L16" i="60"/>
  <c r="L15" i="60"/>
  <c r="L14" i="60"/>
  <c r="L7" i="60"/>
  <c r="L36" i="60"/>
  <c r="O18" i="60"/>
  <c r="O28" i="60"/>
  <c r="O29" i="60"/>
  <c r="O30" i="60"/>
  <c r="O31" i="60"/>
  <c r="O32" i="60"/>
  <c r="O34" i="60"/>
  <c r="N7" i="60"/>
  <c r="N8" i="60"/>
  <c r="N9" i="60"/>
  <c r="N10" i="60"/>
  <c r="N11" i="60"/>
  <c r="N12" i="60"/>
  <c r="N13" i="60"/>
  <c r="N14" i="60"/>
  <c r="N15" i="60"/>
  <c r="N16" i="60"/>
  <c r="N17" i="60"/>
  <c r="N18" i="60"/>
  <c r="N19" i="60"/>
  <c r="N20" i="60"/>
  <c r="N22" i="60"/>
  <c r="N24" i="60"/>
  <c r="N27" i="60"/>
  <c r="N28" i="60"/>
  <c r="N29" i="60"/>
  <c r="N30" i="60"/>
  <c r="N31" i="60"/>
  <c r="N32" i="60"/>
  <c r="N34" i="60"/>
  <c r="M4" i="60"/>
  <c r="M5" i="60"/>
  <c r="M6" i="60"/>
  <c r="M8" i="60"/>
  <c r="M9" i="60"/>
  <c r="M10" i="60"/>
  <c r="M11" i="60"/>
  <c r="M12" i="60"/>
  <c r="M13" i="60"/>
  <c r="M21" i="60"/>
  <c r="M23" i="60"/>
  <c r="M25" i="60"/>
  <c r="M26" i="60"/>
  <c r="M28" i="60"/>
  <c r="M29" i="60"/>
  <c r="M30" i="60"/>
  <c r="M31" i="60"/>
  <c r="M32" i="60"/>
  <c r="M34" i="60"/>
  <c r="L28" i="60"/>
  <c r="L29" i="60"/>
  <c r="L30" i="60"/>
  <c r="L31" i="60"/>
  <c r="L32" i="60"/>
  <c r="L34" i="60"/>
  <c r="J12" i="60"/>
  <c r="J11" i="60"/>
  <c r="H50" i="59"/>
  <c r="D11" i="59"/>
  <c r="H64" i="59"/>
  <c r="G50" i="59"/>
  <c r="G64" i="59"/>
  <c r="F50" i="59"/>
  <c r="F64" i="59"/>
  <c r="E50" i="59"/>
  <c r="E64" i="59"/>
  <c r="D50" i="59"/>
  <c r="D64" i="59"/>
  <c r="C50" i="59"/>
  <c r="C64" i="59"/>
  <c r="B50" i="59"/>
  <c r="B64" i="59"/>
  <c r="A50" i="59"/>
  <c r="A64" i="59"/>
  <c r="H49" i="59"/>
  <c r="H63" i="59"/>
  <c r="G49" i="59"/>
  <c r="G63" i="59"/>
  <c r="F49" i="59"/>
  <c r="F63" i="59"/>
  <c r="E49" i="59"/>
  <c r="E63" i="59"/>
  <c r="D49" i="59"/>
  <c r="D63" i="59"/>
  <c r="C49" i="59"/>
  <c r="C63" i="59"/>
  <c r="B49" i="59"/>
  <c r="B63" i="59"/>
  <c r="A49" i="59"/>
  <c r="A63" i="59"/>
  <c r="H48" i="59"/>
  <c r="D10" i="59"/>
  <c r="H62" i="59"/>
  <c r="G48" i="59"/>
  <c r="G62" i="59"/>
  <c r="F48" i="59"/>
  <c r="F62" i="59"/>
  <c r="E48" i="59"/>
  <c r="E62" i="59"/>
  <c r="D48" i="59"/>
  <c r="D62" i="59"/>
  <c r="C48" i="59"/>
  <c r="C62" i="59"/>
  <c r="B48" i="59"/>
  <c r="B62" i="59"/>
  <c r="A48" i="59"/>
  <c r="A62" i="59"/>
  <c r="H47" i="59"/>
  <c r="D9" i="59"/>
  <c r="H61" i="59"/>
  <c r="G47" i="59"/>
  <c r="G61" i="59"/>
  <c r="F47" i="59"/>
  <c r="F61" i="59"/>
  <c r="E47" i="59"/>
  <c r="E61" i="59"/>
  <c r="D47" i="59"/>
  <c r="D61" i="59"/>
  <c r="C47" i="59"/>
  <c r="C61" i="59"/>
  <c r="B47" i="59"/>
  <c r="B61" i="59"/>
  <c r="A47" i="59"/>
  <c r="A61" i="59"/>
  <c r="H46" i="59"/>
  <c r="D8" i="59"/>
  <c r="H60" i="59"/>
  <c r="G46" i="59"/>
  <c r="G60" i="59"/>
  <c r="F46" i="59"/>
  <c r="F60" i="59"/>
  <c r="E46" i="59"/>
  <c r="E60" i="59"/>
  <c r="D46" i="59"/>
  <c r="D60" i="59"/>
  <c r="C46" i="59"/>
  <c r="C60" i="59"/>
  <c r="B46" i="59"/>
  <c r="B60" i="59"/>
  <c r="A46" i="59"/>
  <c r="A60" i="59"/>
  <c r="H45" i="59"/>
  <c r="D7" i="59"/>
  <c r="H59" i="59"/>
  <c r="G45" i="59"/>
  <c r="G59" i="59"/>
  <c r="F45" i="59"/>
  <c r="F59" i="59"/>
  <c r="E45" i="59"/>
  <c r="E59" i="59"/>
  <c r="D45" i="59"/>
  <c r="D59" i="59"/>
  <c r="C45" i="59"/>
  <c r="C59" i="59"/>
  <c r="B45" i="59"/>
  <c r="B59" i="59"/>
  <c r="A45" i="59"/>
  <c r="A59" i="59"/>
  <c r="H44" i="59"/>
  <c r="D6" i="59"/>
  <c r="H58" i="59"/>
  <c r="G44" i="59"/>
  <c r="G58" i="59"/>
  <c r="F44" i="59"/>
  <c r="F58" i="59"/>
  <c r="E44" i="59"/>
  <c r="E58" i="59"/>
  <c r="D44" i="59"/>
  <c r="D58" i="59"/>
  <c r="C44" i="59"/>
  <c r="C58" i="59"/>
  <c r="B44" i="59"/>
  <c r="B58" i="59"/>
  <c r="A44" i="59"/>
  <c r="A58" i="59"/>
  <c r="H43" i="59"/>
  <c r="D5" i="59"/>
  <c r="H57" i="59"/>
  <c r="G43" i="59"/>
  <c r="G57" i="59"/>
  <c r="F43" i="59"/>
  <c r="F57" i="59"/>
  <c r="E43" i="59"/>
  <c r="E57" i="59"/>
  <c r="D43" i="59"/>
  <c r="D57" i="59"/>
  <c r="C43" i="59"/>
  <c r="C57" i="59"/>
  <c r="B43" i="59"/>
  <c r="B57" i="59"/>
  <c r="A43" i="59"/>
  <c r="A57" i="59"/>
  <c r="B54" i="59"/>
  <c r="D12" i="59"/>
  <c r="F12" i="59"/>
  <c r="G12" i="59"/>
  <c r="L11" i="59"/>
  <c r="M11" i="59"/>
  <c r="F11" i="59"/>
  <c r="N11" i="59"/>
  <c r="O11" i="59"/>
  <c r="G11" i="59"/>
  <c r="P11" i="59"/>
  <c r="F10" i="59"/>
  <c r="G10" i="59"/>
  <c r="F9" i="59"/>
  <c r="G9" i="59"/>
  <c r="L8" i="59"/>
  <c r="M8" i="59"/>
  <c r="F8" i="59"/>
  <c r="N8" i="59"/>
  <c r="O8" i="59"/>
  <c r="G8" i="59"/>
  <c r="P8" i="59"/>
  <c r="L7" i="59"/>
  <c r="M7" i="59"/>
  <c r="F7" i="59"/>
  <c r="N7" i="59"/>
  <c r="O7" i="59"/>
  <c r="G7" i="59"/>
  <c r="P7" i="59"/>
  <c r="L6" i="59"/>
  <c r="M6" i="59"/>
  <c r="F6" i="59"/>
  <c r="N6" i="59"/>
  <c r="O6" i="59"/>
  <c r="G6" i="59"/>
  <c r="P6" i="59"/>
  <c r="L5" i="59"/>
  <c r="M5" i="59"/>
  <c r="F5" i="59"/>
  <c r="N5" i="59"/>
  <c r="O5" i="59"/>
  <c r="G5" i="59"/>
  <c r="P5" i="59"/>
  <c r="O4" i="59"/>
  <c r="N4" i="59"/>
  <c r="M4" i="59"/>
  <c r="L4" i="59"/>
  <c r="B1" i="58"/>
  <c r="E1" i="58"/>
  <c r="E10" i="58"/>
  <c r="H48" i="58"/>
  <c r="C10" i="58"/>
  <c r="D39" i="33"/>
  <c r="B10" i="58"/>
  <c r="D10" i="58"/>
  <c r="H61" i="58"/>
  <c r="G48" i="58"/>
  <c r="G61" i="58"/>
  <c r="F48" i="58"/>
  <c r="F61" i="58"/>
  <c r="E48" i="58"/>
  <c r="E61" i="58"/>
  <c r="D48" i="58"/>
  <c r="D61" i="58"/>
  <c r="C48" i="58"/>
  <c r="C61" i="58"/>
  <c r="B48" i="58"/>
  <c r="B61" i="58"/>
  <c r="A48" i="58"/>
  <c r="A61" i="58"/>
  <c r="E9" i="58"/>
  <c r="H47" i="58"/>
  <c r="C9" i="58"/>
  <c r="B39" i="33"/>
  <c r="B9" i="58"/>
  <c r="D9" i="58"/>
  <c r="H60" i="58"/>
  <c r="G47" i="58"/>
  <c r="G60" i="58"/>
  <c r="F47" i="58"/>
  <c r="F60" i="58"/>
  <c r="E47" i="58"/>
  <c r="E60" i="58"/>
  <c r="D47" i="58"/>
  <c r="D60" i="58"/>
  <c r="C47" i="58"/>
  <c r="C60" i="58"/>
  <c r="B47" i="58"/>
  <c r="B60" i="58"/>
  <c r="A47" i="58"/>
  <c r="A60" i="58"/>
  <c r="H46" i="58"/>
  <c r="C8" i="58"/>
  <c r="D8" i="58"/>
  <c r="H59" i="58"/>
  <c r="G46" i="58"/>
  <c r="G59" i="58"/>
  <c r="F46" i="58"/>
  <c r="F59" i="58"/>
  <c r="E46" i="58"/>
  <c r="E59" i="58"/>
  <c r="D46" i="58"/>
  <c r="D59" i="58"/>
  <c r="C46" i="58"/>
  <c r="C59" i="58"/>
  <c r="B46" i="58"/>
  <c r="B59" i="58"/>
  <c r="A46" i="58"/>
  <c r="A59" i="58"/>
  <c r="E7" i="58"/>
  <c r="H45" i="58"/>
  <c r="B7" i="58"/>
  <c r="D7" i="58"/>
  <c r="H58" i="58"/>
  <c r="G45" i="58"/>
  <c r="G58" i="58"/>
  <c r="F45" i="58"/>
  <c r="F58" i="58"/>
  <c r="E45" i="58"/>
  <c r="E58" i="58"/>
  <c r="D45" i="58"/>
  <c r="D58" i="58"/>
  <c r="C45" i="58"/>
  <c r="C58" i="58"/>
  <c r="B45" i="58"/>
  <c r="B58" i="58"/>
  <c r="A45" i="58"/>
  <c r="A58" i="58"/>
  <c r="E6" i="58"/>
  <c r="H44" i="58"/>
  <c r="B6" i="58"/>
  <c r="D6" i="58"/>
  <c r="H57" i="58"/>
  <c r="G44" i="58"/>
  <c r="G57" i="58"/>
  <c r="F44" i="58"/>
  <c r="F57" i="58"/>
  <c r="E44" i="58"/>
  <c r="E57" i="58"/>
  <c r="D44" i="58"/>
  <c r="D57" i="58"/>
  <c r="C44" i="58"/>
  <c r="C57" i="58"/>
  <c r="B44" i="58"/>
  <c r="B57" i="58"/>
  <c r="A44" i="58"/>
  <c r="A57" i="58"/>
  <c r="E5" i="58"/>
  <c r="H43" i="58"/>
  <c r="B5" i="58"/>
  <c r="D5" i="58"/>
  <c r="H56" i="58"/>
  <c r="G43" i="58"/>
  <c r="G56" i="58"/>
  <c r="F43" i="58"/>
  <c r="F56" i="58"/>
  <c r="E43" i="58"/>
  <c r="E56" i="58"/>
  <c r="D43" i="58"/>
  <c r="D56" i="58"/>
  <c r="C43" i="58"/>
  <c r="C56" i="58"/>
  <c r="B43" i="58"/>
  <c r="B56" i="58"/>
  <c r="A43" i="58"/>
  <c r="A56" i="58"/>
  <c r="G1" i="58"/>
  <c r="F10" i="58"/>
  <c r="G10" i="58"/>
  <c r="F9" i="58"/>
  <c r="G9" i="58"/>
  <c r="L8" i="58"/>
  <c r="M8" i="58"/>
  <c r="F8" i="58"/>
  <c r="N8" i="58"/>
  <c r="O8" i="58"/>
  <c r="G8" i="58"/>
  <c r="P8" i="58"/>
  <c r="L7" i="58"/>
  <c r="O7" i="58"/>
  <c r="F7" i="58"/>
  <c r="G7" i="58"/>
  <c r="P7" i="58"/>
  <c r="N7" i="58"/>
  <c r="C7" i="58"/>
  <c r="M7" i="58"/>
  <c r="L6" i="58"/>
  <c r="O6" i="58"/>
  <c r="F6" i="58"/>
  <c r="G6" i="58"/>
  <c r="P6" i="58"/>
  <c r="N6" i="58"/>
  <c r="C6" i="58"/>
  <c r="M6" i="58"/>
  <c r="L5" i="58"/>
  <c r="O5" i="58"/>
  <c r="F5" i="58"/>
  <c r="G5" i="58"/>
  <c r="P5" i="58"/>
  <c r="N5" i="58"/>
  <c r="C5" i="58"/>
  <c r="M5" i="58"/>
  <c r="O4" i="58"/>
  <c r="N4" i="58"/>
  <c r="M4" i="58"/>
  <c r="L4" i="58"/>
  <c r="C58" i="57"/>
  <c r="E58" i="57"/>
  <c r="F58" i="57"/>
  <c r="B58" i="57"/>
  <c r="G58" i="57"/>
  <c r="C59" i="57"/>
  <c r="E59" i="57"/>
  <c r="F59" i="57"/>
  <c r="B59" i="57"/>
  <c r="G59" i="57"/>
  <c r="C60" i="57"/>
  <c r="E60" i="57"/>
  <c r="F60" i="57"/>
  <c r="B60" i="57"/>
  <c r="G60" i="57"/>
  <c r="C61" i="57"/>
  <c r="E61" i="57"/>
  <c r="F61" i="57"/>
  <c r="B61" i="57"/>
  <c r="G61" i="57"/>
  <c r="F102" i="57"/>
  <c r="C102" i="57"/>
  <c r="P8" i="10"/>
  <c r="B1" i="25"/>
  <c r="C98" i="57"/>
  <c r="F63" i="57"/>
  <c r="B63" i="57"/>
  <c r="G63" i="57"/>
  <c r="D63" i="57"/>
  <c r="C62" i="57"/>
  <c r="E62" i="57"/>
  <c r="F62" i="57"/>
  <c r="B62" i="57"/>
  <c r="G62" i="57"/>
  <c r="D62" i="57"/>
  <c r="D61" i="57"/>
  <c r="D60" i="57"/>
  <c r="D59" i="57"/>
  <c r="D58" i="57"/>
  <c r="C45" i="57"/>
  <c r="C5" i="57"/>
  <c r="B1" i="57"/>
  <c r="E5" i="57"/>
  <c r="F5" i="57"/>
  <c r="B5" i="57"/>
  <c r="G5" i="57"/>
  <c r="C6" i="57"/>
  <c r="E6" i="57"/>
  <c r="F6" i="57"/>
  <c r="G6" i="57"/>
  <c r="C7" i="57"/>
  <c r="E7" i="57"/>
  <c r="F7" i="57"/>
  <c r="B7" i="57"/>
  <c r="G7" i="57"/>
  <c r="C8" i="57"/>
  <c r="E8" i="57"/>
  <c r="F8" i="57"/>
  <c r="B8" i="57"/>
  <c r="G8" i="57"/>
  <c r="F41" i="57"/>
  <c r="E41" i="57"/>
  <c r="F10" i="57"/>
  <c r="B10" i="57"/>
  <c r="G10" i="57"/>
  <c r="D10" i="57"/>
  <c r="C9" i="57"/>
  <c r="E9" i="57"/>
  <c r="F9" i="57"/>
  <c r="B9" i="57"/>
  <c r="G9" i="57"/>
  <c r="D9" i="57"/>
  <c r="D8" i="57"/>
  <c r="D7" i="57"/>
  <c r="D6" i="57"/>
  <c r="D5" i="57"/>
  <c r="L56" i="33"/>
  <c r="J56" i="33"/>
  <c r="H39" i="33"/>
  <c r="H56" i="33"/>
  <c r="F56" i="33"/>
  <c r="B56" i="33"/>
  <c r="L48" i="33"/>
  <c r="J48" i="33"/>
  <c r="H48" i="33"/>
  <c r="F48" i="33"/>
  <c r="B48" i="33"/>
  <c r="D36" i="33"/>
  <c r="D38" i="33"/>
  <c r="L36" i="33"/>
  <c r="J36" i="33"/>
  <c r="H36" i="33"/>
  <c r="B33" i="25"/>
  <c r="B5" i="33"/>
  <c r="B7" i="33"/>
  <c r="B33" i="33"/>
  <c r="B36" i="33"/>
  <c r="D5" i="33"/>
  <c r="L5" i="33"/>
  <c r="D7" i="33"/>
  <c r="L7" i="33"/>
  <c r="L33" i="33"/>
  <c r="J5" i="33"/>
  <c r="J7" i="33"/>
  <c r="J33" i="33"/>
  <c r="B9" i="20"/>
  <c r="G9" i="20"/>
  <c r="EH9" i="20"/>
  <c r="BU9" i="20"/>
  <c r="B10" i="79"/>
  <c r="E9" i="20"/>
  <c r="F10" i="79"/>
  <c r="G10" i="79"/>
  <c r="S9" i="20"/>
  <c r="B13" i="25"/>
  <c r="P9" i="10"/>
  <c r="B3" i="25"/>
  <c r="B14" i="25"/>
  <c r="B5" i="25"/>
  <c r="E1" i="25"/>
  <c r="E4" i="25"/>
  <c r="B16" i="25"/>
  <c r="AH9" i="20"/>
  <c r="BB9" i="20"/>
  <c r="BT9" i="20"/>
  <c r="BV9" i="20"/>
  <c r="B10" i="20"/>
  <c r="G10" i="20"/>
  <c r="EH10" i="20"/>
  <c r="B11" i="79"/>
  <c r="E10" i="20"/>
  <c r="F11" i="79"/>
  <c r="G11" i="79"/>
  <c r="S10" i="20"/>
  <c r="AH10" i="20"/>
  <c r="BB10" i="20"/>
  <c r="BU10" i="20"/>
  <c r="BT10" i="20"/>
  <c r="BV10" i="20"/>
  <c r="B11" i="20"/>
  <c r="G11" i="20"/>
  <c r="EH11" i="20"/>
  <c r="B12" i="79"/>
  <c r="E11" i="20"/>
  <c r="F12" i="79"/>
  <c r="G12" i="79"/>
  <c r="S11" i="20"/>
  <c r="AH11" i="20"/>
  <c r="BB11" i="20"/>
  <c r="BU11" i="20"/>
  <c r="BT11" i="20"/>
  <c r="BV11" i="20"/>
  <c r="B12" i="20"/>
  <c r="G12" i="20"/>
  <c r="EH12" i="20"/>
  <c r="BU12" i="20"/>
  <c r="B13" i="79"/>
  <c r="E12" i="20"/>
  <c r="F13" i="79"/>
  <c r="G13" i="79"/>
  <c r="S12" i="20"/>
  <c r="AH12" i="20"/>
  <c r="BB12" i="20"/>
  <c r="BT12" i="20"/>
  <c r="BV12" i="20"/>
  <c r="B13" i="20"/>
  <c r="G13" i="20"/>
  <c r="EH13" i="20"/>
  <c r="BU13" i="20"/>
  <c r="B14" i="79"/>
  <c r="E13" i="20"/>
  <c r="F14" i="79"/>
  <c r="G14" i="79"/>
  <c r="S13" i="20"/>
  <c r="AH13" i="20"/>
  <c r="BB13" i="20"/>
  <c r="BT13" i="20"/>
  <c r="BV13" i="20"/>
  <c r="B14" i="20"/>
  <c r="G14" i="20"/>
  <c r="EH14" i="20"/>
  <c r="BU14" i="20"/>
  <c r="B15" i="79"/>
  <c r="E14" i="20"/>
  <c r="F15" i="79"/>
  <c r="G15" i="79"/>
  <c r="S14" i="20"/>
  <c r="AH14" i="20"/>
  <c r="BB14" i="20"/>
  <c r="BT14" i="20"/>
  <c r="BV14" i="20"/>
  <c r="B15" i="20"/>
  <c r="G15" i="20"/>
  <c r="EH15" i="20"/>
  <c r="BU15" i="20"/>
  <c r="B16" i="79"/>
  <c r="E15" i="20"/>
  <c r="F16" i="79"/>
  <c r="G16" i="79"/>
  <c r="S15" i="20"/>
  <c r="AH15" i="20"/>
  <c r="BB15" i="20"/>
  <c r="BT15" i="20"/>
  <c r="BV15" i="20"/>
  <c r="B16" i="20"/>
  <c r="G16" i="20"/>
  <c r="EH16" i="20"/>
  <c r="B17" i="79"/>
  <c r="E16" i="20"/>
  <c r="F17" i="79"/>
  <c r="G17" i="79"/>
  <c r="S16" i="20"/>
  <c r="AH16" i="20"/>
  <c r="BB16" i="20"/>
  <c r="BU16" i="20"/>
  <c r="BT16" i="20"/>
  <c r="BV16" i="20"/>
  <c r="B17" i="20"/>
  <c r="G17" i="20"/>
  <c r="EH17" i="20"/>
  <c r="BU17" i="20"/>
  <c r="B18" i="79"/>
  <c r="E17" i="20"/>
  <c r="F18" i="79"/>
  <c r="G18" i="79"/>
  <c r="S17" i="20"/>
  <c r="AH17" i="20"/>
  <c r="BB17" i="20"/>
  <c r="BT17" i="20"/>
  <c r="BV17" i="20"/>
  <c r="B18" i="20"/>
  <c r="G18" i="20"/>
  <c r="EH18" i="20"/>
  <c r="B19" i="79"/>
  <c r="E18" i="20"/>
  <c r="F19" i="79"/>
  <c r="G19" i="79"/>
  <c r="S18" i="20"/>
  <c r="AH18" i="20"/>
  <c r="BB18" i="20"/>
  <c r="BU18" i="20"/>
  <c r="BT18" i="20"/>
  <c r="BV18" i="20"/>
  <c r="B19" i="20"/>
  <c r="G19" i="20"/>
  <c r="EH19" i="20"/>
  <c r="B20" i="79"/>
  <c r="E19" i="20"/>
  <c r="F20" i="79"/>
  <c r="G20" i="79"/>
  <c r="S19" i="20"/>
  <c r="AH19" i="20"/>
  <c r="BB19" i="20"/>
  <c r="BU19" i="20"/>
  <c r="BT19" i="20"/>
  <c r="BV19" i="20"/>
  <c r="B20" i="20"/>
  <c r="G20" i="20"/>
  <c r="EH20" i="20"/>
  <c r="BU20" i="20"/>
  <c r="B21" i="79"/>
  <c r="E20" i="20"/>
  <c r="F21" i="79"/>
  <c r="G21" i="79"/>
  <c r="S20" i="20"/>
  <c r="AH20" i="20"/>
  <c r="BB20" i="20"/>
  <c r="BT20" i="20"/>
  <c r="BV20" i="20"/>
  <c r="B21" i="20"/>
  <c r="G21" i="20"/>
  <c r="EH21" i="20"/>
  <c r="B22" i="79"/>
  <c r="E21" i="20"/>
  <c r="F22" i="79"/>
  <c r="G22" i="79"/>
  <c r="S21" i="20"/>
  <c r="AH21" i="20"/>
  <c r="BB21" i="20"/>
  <c r="BU21" i="20"/>
  <c r="BT21" i="20"/>
  <c r="BV21" i="20"/>
  <c r="B22" i="20"/>
  <c r="G22" i="20"/>
  <c r="EH22" i="20"/>
  <c r="BU22" i="20"/>
  <c r="B23" i="79"/>
  <c r="E22" i="20"/>
  <c r="F23" i="79"/>
  <c r="G23" i="79"/>
  <c r="S22" i="20"/>
  <c r="AH22" i="20"/>
  <c r="BB22" i="20"/>
  <c r="BT22" i="20"/>
  <c r="BV22" i="20"/>
  <c r="B23" i="20"/>
  <c r="G23" i="20"/>
  <c r="EH23" i="20"/>
  <c r="BU23" i="20"/>
  <c r="B24" i="79"/>
  <c r="E23" i="20"/>
  <c r="F24" i="79"/>
  <c r="G24" i="79"/>
  <c r="S23" i="20"/>
  <c r="AH23" i="20"/>
  <c r="BB23" i="20"/>
  <c r="BT23" i="20"/>
  <c r="BV23" i="20"/>
  <c r="B24" i="20"/>
  <c r="G24" i="20"/>
  <c r="EH24" i="20"/>
  <c r="BU24" i="20"/>
  <c r="B25" i="79"/>
  <c r="E24" i="20"/>
  <c r="F25" i="79"/>
  <c r="G25" i="79"/>
  <c r="S24" i="20"/>
  <c r="AH24" i="20"/>
  <c r="BB24" i="20"/>
  <c r="BT24" i="20"/>
  <c r="BV24" i="20"/>
  <c r="B25" i="20"/>
  <c r="G25" i="20"/>
  <c r="EH25" i="20"/>
  <c r="BU25" i="20"/>
  <c r="B26" i="79"/>
  <c r="E25" i="20"/>
  <c r="F26" i="79"/>
  <c r="G26" i="79"/>
  <c r="S25" i="20"/>
  <c r="AH25" i="20"/>
  <c r="BB25" i="20"/>
  <c r="BT25" i="20"/>
  <c r="BV25" i="20"/>
  <c r="B26" i="20"/>
  <c r="G26" i="20"/>
  <c r="EH26" i="20"/>
  <c r="BU26" i="20"/>
  <c r="B27" i="79"/>
  <c r="E26" i="20"/>
  <c r="F27" i="79"/>
  <c r="G27" i="79"/>
  <c r="S26" i="20"/>
  <c r="AH26" i="20"/>
  <c r="BB26" i="20"/>
  <c r="BT26" i="20"/>
  <c r="BV26" i="20"/>
  <c r="B27" i="20"/>
  <c r="G27" i="20"/>
  <c r="EH27" i="20"/>
  <c r="BU27" i="20"/>
  <c r="BT27" i="20"/>
  <c r="BV27" i="20"/>
  <c r="B28" i="20"/>
  <c r="G28" i="20"/>
  <c r="EH28" i="20"/>
  <c r="BU28" i="20"/>
  <c r="BT28" i="20"/>
  <c r="BV28" i="20"/>
  <c r="B29" i="20"/>
  <c r="G29" i="20"/>
  <c r="EH29" i="20"/>
  <c r="BU29" i="20"/>
  <c r="BT29" i="20"/>
  <c r="BV29" i="20"/>
  <c r="B30" i="20"/>
  <c r="G30" i="20"/>
  <c r="EH30" i="20"/>
  <c r="BU30" i="20"/>
  <c r="BT30" i="20"/>
  <c r="BV30" i="20"/>
  <c r="B31" i="20"/>
  <c r="G31" i="20"/>
  <c r="EH31" i="20"/>
  <c r="BU31" i="20"/>
  <c r="BT31" i="20"/>
  <c r="BV31" i="20"/>
  <c r="B32" i="20"/>
  <c r="G32" i="20"/>
  <c r="EH32" i="20"/>
  <c r="BU32" i="20"/>
  <c r="BT32" i="20"/>
  <c r="BV32" i="20"/>
  <c r="B33" i="20"/>
  <c r="G33" i="20"/>
  <c r="EH33" i="20"/>
  <c r="BU33" i="20"/>
  <c r="BT33" i="20"/>
  <c r="BV33" i="20"/>
  <c r="B34" i="20"/>
  <c r="G34" i="20"/>
  <c r="EH34" i="20"/>
  <c r="BU34" i="20"/>
  <c r="BT34" i="20"/>
  <c r="BV34" i="20"/>
  <c r="B35" i="20"/>
  <c r="G35" i="20"/>
  <c r="EH35" i="20"/>
  <c r="BU35" i="20"/>
  <c r="BT35" i="20"/>
  <c r="BV35" i="20"/>
  <c r="B36" i="20"/>
  <c r="G36" i="20"/>
  <c r="EH36" i="20"/>
  <c r="BU36" i="20"/>
  <c r="BT36" i="20"/>
  <c r="BV36" i="20"/>
  <c r="B37" i="20"/>
  <c r="G37" i="20"/>
  <c r="EH37" i="20"/>
  <c r="BU37" i="20"/>
  <c r="BT37" i="20"/>
  <c r="BV37" i="20"/>
  <c r="B38" i="20"/>
  <c r="G38" i="20"/>
  <c r="EH38" i="20"/>
  <c r="BU38" i="20"/>
  <c r="BT38" i="20"/>
  <c r="BV38" i="20"/>
  <c r="B39" i="20"/>
  <c r="G39" i="20"/>
  <c r="EH39" i="20"/>
  <c r="BU39" i="20"/>
  <c r="BT39" i="20"/>
  <c r="BV39" i="20"/>
  <c r="B40" i="20"/>
  <c r="G40" i="20"/>
  <c r="EH40" i="20"/>
  <c r="BU40" i="20"/>
  <c r="BT40" i="20"/>
  <c r="BV40" i="20"/>
  <c r="B41" i="20"/>
  <c r="G41" i="20"/>
  <c r="EH41" i="20"/>
  <c r="BU41" i="20"/>
  <c r="BT41" i="20"/>
  <c r="BV41" i="20"/>
  <c r="B42" i="20"/>
  <c r="G42" i="20"/>
  <c r="EH42" i="20"/>
  <c r="BU42" i="20"/>
  <c r="BT42" i="20"/>
  <c r="BV42" i="20"/>
  <c r="B43" i="20"/>
  <c r="G43" i="20"/>
  <c r="EH43" i="20"/>
  <c r="BU43" i="20"/>
  <c r="BT43" i="20"/>
  <c r="BV43" i="20"/>
  <c r="B44" i="20"/>
  <c r="G44" i="20"/>
  <c r="EH44" i="20"/>
  <c r="BU44" i="20"/>
  <c r="BT44" i="20"/>
  <c r="BV44" i="20"/>
  <c r="B45" i="20"/>
  <c r="G45" i="20"/>
  <c r="EH45" i="20"/>
  <c r="BU45" i="20"/>
  <c r="BT45" i="20"/>
  <c r="BV45" i="20"/>
  <c r="B46" i="20"/>
  <c r="G46" i="20"/>
  <c r="EH46" i="20"/>
  <c r="BU46" i="20"/>
  <c r="BT46" i="20"/>
  <c r="BV46" i="20"/>
  <c r="B47" i="20"/>
  <c r="G47" i="20"/>
  <c r="EH47" i="20"/>
  <c r="BU47" i="20"/>
  <c r="BT47" i="20"/>
  <c r="BV47" i="20"/>
  <c r="B48" i="20"/>
  <c r="G48" i="20"/>
  <c r="EH48" i="20"/>
  <c r="BU48" i="20"/>
  <c r="BT48" i="20"/>
  <c r="BV48" i="20"/>
  <c r="B49" i="20"/>
  <c r="G49" i="20"/>
  <c r="EH49" i="20"/>
  <c r="BU49" i="20"/>
  <c r="BT49" i="20"/>
  <c r="BV49" i="20"/>
  <c r="B50" i="20"/>
  <c r="G50" i="20"/>
  <c r="EH50" i="20"/>
  <c r="BU50" i="20"/>
  <c r="BT50" i="20"/>
  <c r="BV50" i="20"/>
  <c r="B51" i="20"/>
  <c r="G51" i="20"/>
  <c r="EH51" i="20"/>
  <c r="BU51" i="20"/>
  <c r="BT51" i="20"/>
  <c r="BV51" i="20"/>
  <c r="B52" i="20"/>
  <c r="G52" i="20"/>
  <c r="EH52" i="20"/>
  <c r="BU52" i="20"/>
  <c r="BT52" i="20"/>
  <c r="BV52" i="20"/>
  <c r="B53" i="20"/>
  <c r="G53" i="20"/>
  <c r="EH53" i="20"/>
  <c r="BU53" i="20"/>
  <c r="BT53" i="20"/>
  <c r="BV53" i="20"/>
  <c r="B54" i="20"/>
  <c r="G54" i="20"/>
  <c r="EH54" i="20"/>
  <c r="BU54" i="20"/>
  <c r="BT54" i="20"/>
  <c r="BV54" i="20"/>
  <c r="B55" i="20"/>
  <c r="G55" i="20"/>
  <c r="EH55" i="20"/>
  <c r="BU55" i="20"/>
  <c r="BT55" i="20"/>
  <c r="BV55" i="20"/>
  <c r="BV6" i="20"/>
  <c r="B23" i="33"/>
  <c r="BW9" i="20"/>
  <c r="BW10" i="20"/>
  <c r="BW11" i="20"/>
  <c r="BW12" i="20"/>
  <c r="BW13" i="20"/>
  <c r="BW14" i="20"/>
  <c r="BW15" i="20"/>
  <c r="BW16" i="20"/>
  <c r="BW17" i="20"/>
  <c r="BW18" i="20"/>
  <c r="BW19" i="20"/>
  <c r="BW20" i="20"/>
  <c r="BW21" i="20"/>
  <c r="BW22" i="20"/>
  <c r="BW23" i="20"/>
  <c r="BW24" i="20"/>
  <c r="BW25" i="20"/>
  <c r="BW26" i="20"/>
  <c r="B28" i="79"/>
  <c r="B29" i="79"/>
  <c r="B30" i="79"/>
  <c r="B31" i="79"/>
  <c r="C9" i="20"/>
  <c r="C10" i="79"/>
  <c r="D9" i="20"/>
  <c r="D10" i="79"/>
  <c r="E10" i="79"/>
  <c r="C10" i="20"/>
  <c r="C11" i="79"/>
  <c r="D10" i="20"/>
  <c r="D11" i="79"/>
  <c r="E11" i="79"/>
  <c r="C11" i="20"/>
  <c r="C12" i="79"/>
  <c r="D11" i="20"/>
  <c r="D12" i="79"/>
  <c r="E12" i="79"/>
  <c r="C12" i="20"/>
  <c r="C13" i="79"/>
  <c r="D12" i="20"/>
  <c r="D13" i="79"/>
  <c r="E13" i="79"/>
  <c r="C13" i="20"/>
  <c r="C14" i="79"/>
  <c r="D13" i="20"/>
  <c r="D14" i="79"/>
  <c r="E14" i="79"/>
  <c r="C14" i="20"/>
  <c r="C15" i="79"/>
  <c r="D14" i="20"/>
  <c r="D15" i="79"/>
  <c r="E15" i="79"/>
  <c r="C15" i="20"/>
  <c r="C16" i="79"/>
  <c r="D15" i="20"/>
  <c r="D16" i="79"/>
  <c r="E16" i="79"/>
  <c r="C16" i="20"/>
  <c r="C17" i="79"/>
  <c r="D16" i="20"/>
  <c r="D17" i="79"/>
  <c r="E17" i="79"/>
  <c r="C17" i="20"/>
  <c r="C18" i="79"/>
  <c r="D17" i="20"/>
  <c r="D18" i="79"/>
  <c r="E18" i="79"/>
  <c r="C18" i="20"/>
  <c r="C19" i="79"/>
  <c r="D18" i="20"/>
  <c r="D19" i="79"/>
  <c r="E19" i="79"/>
  <c r="C19" i="20"/>
  <c r="C20" i="79"/>
  <c r="D19" i="20"/>
  <c r="D20" i="79"/>
  <c r="E20" i="79"/>
  <c r="C20" i="20"/>
  <c r="C21" i="79"/>
  <c r="D20" i="20"/>
  <c r="D21" i="79"/>
  <c r="E21" i="79"/>
  <c r="C21" i="20"/>
  <c r="C22" i="79"/>
  <c r="D21" i="20"/>
  <c r="D22" i="79"/>
  <c r="E22" i="79"/>
  <c r="C22" i="20"/>
  <c r="C23" i="79"/>
  <c r="D22" i="20"/>
  <c r="D23" i="79"/>
  <c r="E23" i="79"/>
  <c r="C23" i="20"/>
  <c r="C24" i="79"/>
  <c r="D23" i="20"/>
  <c r="D24" i="79"/>
  <c r="E24" i="79"/>
  <c r="C24" i="20"/>
  <c r="C25" i="79"/>
  <c r="D24" i="20"/>
  <c r="D25" i="79"/>
  <c r="E25" i="79"/>
  <c r="C25" i="20"/>
  <c r="C26" i="79"/>
  <c r="D25" i="20"/>
  <c r="D26" i="79"/>
  <c r="E26" i="79"/>
  <c r="C26" i="20"/>
  <c r="C27" i="79"/>
  <c r="D26" i="20"/>
  <c r="D27" i="79"/>
  <c r="E27" i="79"/>
  <c r="C27" i="20"/>
  <c r="C28" i="79"/>
  <c r="D27" i="20"/>
  <c r="D28" i="79"/>
  <c r="E27" i="20"/>
  <c r="E28" i="79"/>
  <c r="F28" i="79"/>
  <c r="G28" i="79"/>
  <c r="C28" i="20"/>
  <c r="C29" i="79"/>
  <c r="D28" i="20"/>
  <c r="D29" i="79"/>
  <c r="E28" i="20"/>
  <c r="E29" i="79"/>
  <c r="F29" i="79"/>
  <c r="G29" i="79"/>
  <c r="C29" i="20"/>
  <c r="C30" i="79"/>
  <c r="D29" i="20"/>
  <c r="D30" i="79"/>
  <c r="E29" i="20"/>
  <c r="E30" i="79"/>
  <c r="F30" i="79"/>
  <c r="G30" i="79"/>
  <c r="C30" i="20"/>
  <c r="C31" i="79"/>
  <c r="D30" i="20"/>
  <c r="D31" i="79"/>
  <c r="E30" i="20"/>
  <c r="E31" i="79"/>
  <c r="F31" i="79"/>
  <c r="G31" i="79"/>
  <c r="B32" i="79"/>
  <c r="C31" i="20"/>
  <c r="C32" i="79"/>
  <c r="D31" i="20"/>
  <c r="D32" i="79"/>
  <c r="E31" i="20"/>
  <c r="E32" i="79"/>
  <c r="F32" i="79"/>
  <c r="G32" i="79"/>
  <c r="B33" i="79"/>
  <c r="C32" i="20"/>
  <c r="C33" i="79"/>
  <c r="D32" i="20"/>
  <c r="D33" i="79"/>
  <c r="E32" i="20"/>
  <c r="E33" i="79"/>
  <c r="F33" i="79"/>
  <c r="G33" i="79"/>
  <c r="B34" i="79"/>
  <c r="C33" i="20"/>
  <c r="C34" i="79"/>
  <c r="D33" i="20"/>
  <c r="D34" i="79"/>
  <c r="E33" i="20"/>
  <c r="E34" i="79"/>
  <c r="F34" i="79"/>
  <c r="G34" i="79"/>
  <c r="B35" i="79"/>
  <c r="C34" i="20"/>
  <c r="C35" i="79"/>
  <c r="D34" i="20"/>
  <c r="D35" i="79"/>
  <c r="E34" i="20"/>
  <c r="E35" i="79"/>
  <c r="F35" i="79"/>
  <c r="G35" i="79"/>
  <c r="B36" i="79"/>
  <c r="C35" i="20"/>
  <c r="C36" i="79"/>
  <c r="D35" i="20"/>
  <c r="D36" i="79"/>
  <c r="E35" i="20"/>
  <c r="E36" i="79"/>
  <c r="F36" i="79"/>
  <c r="G36" i="79"/>
  <c r="B37" i="79"/>
  <c r="C36" i="20"/>
  <c r="C37" i="79"/>
  <c r="D36" i="20"/>
  <c r="D37" i="79"/>
  <c r="E36" i="20"/>
  <c r="E37" i="79"/>
  <c r="F37" i="79"/>
  <c r="G37" i="79"/>
  <c r="B38" i="79"/>
  <c r="C37" i="20"/>
  <c r="C38" i="79"/>
  <c r="D37" i="20"/>
  <c r="D38" i="79"/>
  <c r="E37" i="20"/>
  <c r="E38" i="79"/>
  <c r="F38" i="79"/>
  <c r="G38" i="79"/>
  <c r="B39" i="79"/>
  <c r="C38" i="20"/>
  <c r="C39" i="79"/>
  <c r="D38" i="20"/>
  <c r="D39" i="79"/>
  <c r="E38" i="20"/>
  <c r="E39" i="79"/>
  <c r="F39" i="79"/>
  <c r="G39" i="79"/>
  <c r="B40" i="79"/>
  <c r="C39" i="20"/>
  <c r="C40" i="79"/>
  <c r="D39" i="20"/>
  <c r="D40" i="79"/>
  <c r="E39" i="20"/>
  <c r="E40" i="79"/>
  <c r="F40" i="79"/>
  <c r="G40" i="79"/>
  <c r="B41" i="79"/>
  <c r="C40" i="20"/>
  <c r="C41" i="79"/>
  <c r="D40" i="20"/>
  <c r="D41" i="79"/>
  <c r="E40" i="20"/>
  <c r="E41" i="79"/>
  <c r="F41" i="79"/>
  <c r="G41" i="79"/>
  <c r="B42" i="79"/>
  <c r="C41" i="20"/>
  <c r="C42" i="79"/>
  <c r="D41" i="20"/>
  <c r="D42" i="79"/>
  <c r="E41" i="20"/>
  <c r="E42" i="79"/>
  <c r="F42" i="79"/>
  <c r="G42" i="79"/>
  <c r="B43" i="79"/>
  <c r="C42" i="20"/>
  <c r="C43" i="79"/>
  <c r="D42" i="20"/>
  <c r="D43" i="79"/>
  <c r="E42" i="20"/>
  <c r="E43" i="79"/>
  <c r="F43" i="79"/>
  <c r="G43" i="79"/>
  <c r="B44" i="79"/>
  <c r="C43" i="20"/>
  <c r="C44" i="79"/>
  <c r="D43" i="20"/>
  <c r="D44" i="79"/>
  <c r="E43" i="20"/>
  <c r="E44" i="79"/>
  <c r="F44" i="79"/>
  <c r="G44" i="79"/>
  <c r="B45" i="79"/>
  <c r="C44" i="20"/>
  <c r="C45" i="79"/>
  <c r="D44" i="20"/>
  <c r="D45" i="79"/>
  <c r="E44" i="20"/>
  <c r="E45" i="79"/>
  <c r="F45" i="79"/>
  <c r="G45" i="79"/>
  <c r="B46" i="79"/>
  <c r="C45" i="20"/>
  <c r="C46" i="79"/>
  <c r="D45" i="20"/>
  <c r="D46" i="79"/>
  <c r="E45" i="20"/>
  <c r="E46" i="79"/>
  <c r="F46" i="79"/>
  <c r="G46" i="79"/>
  <c r="B47" i="79"/>
  <c r="C46" i="20"/>
  <c r="C47" i="79"/>
  <c r="D46" i="20"/>
  <c r="D47" i="79"/>
  <c r="E46" i="20"/>
  <c r="E47" i="79"/>
  <c r="F47" i="79"/>
  <c r="G47" i="79"/>
  <c r="B48" i="79"/>
  <c r="C47" i="20"/>
  <c r="C48" i="79"/>
  <c r="D47" i="20"/>
  <c r="D48" i="79"/>
  <c r="E47" i="20"/>
  <c r="E48" i="79"/>
  <c r="F48" i="79"/>
  <c r="G48" i="79"/>
  <c r="B49" i="79"/>
  <c r="C48" i="20"/>
  <c r="C49" i="79"/>
  <c r="D48" i="20"/>
  <c r="D49" i="79"/>
  <c r="E48" i="20"/>
  <c r="E49" i="79"/>
  <c r="F49" i="79"/>
  <c r="G49" i="79"/>
  <c r="B50" i="79"/>
  <c r="C49" i="20"/>
  <c r="C50" i="79"/>
  <c r="D49" i="20"/>
  <c r="D50" i="79"/>
  <c r="E49" i="20"/>
  <c r="E50" i="79"/>
  <c r="F50" i="79"/>
  <c r="G50" i="79"/>
  <c r="B51" i="79"/>
  <c r="C50" i="20"/>
  <c r="C51" i="79"/>
  <c r="D50" i="20"/>
  <c r="D51" i="79"/>
  <c r="E50" i="20"/>
  <c r="E51" i="79"/>
  <c r="F51" i="79"/>
  <c r="G51" i="79"/>
  <c r="S27" i="20"/>
  <c r="AH27" i="20"/>
  <c r="BB27" i="20"/>
  <c r="BW27" i="20"/>
  <c r="S28" i="20"/>
  <c r="AH28" i="20"/>
  <c r="BB28" i="20"/>
  <c r="BW28" i="20"/>
  <c r="S29" i="20"/>
  <c r="AH29" i="20"/>
  <c r="BB29" i="20"/>
  <c r="BW29" i="20"/>
  <c r="S30" i="20"/>
  <c r="AH30" i="20"/>
  <c r="BB30" i="20"/>
  <c r="BW30" i="20"/>
  <c r="S31" i="20"/>
  <c r="AH31" i="20"/>
  <c r="BB31" i="20"/>
  <c r="BW31" i="20"/>
  <c r="S32" i="20"/>
  <c r="AH32" i="20"/>
  <c r="BB32" i="20"/>
  <c r="BW32" i="20"/>
  <c r="S33" i="20"/>
  <c r="AH33" i="20"/>
  <c r="BB33" i="20"/>
  <c r="BW33" i="20"/>
  <c r="S34" i="20"/>
  <c r="AH34" i="20"/>
  <c r="BB34" i="20"/>
  <c r="BW34" i="20"/>
  <c r="S35" i="20"/>
  <c r="AH35" i="20"/>
  <c r="BB35" i="20"/>
  <c r="BW35" i="20"/>
  <c r="S36" i="20"/>
  <c r="AH36" i="20"/>
  <c r="BB36" i="20"/>
  <c r="BW36" i="20"/>
  <c r="S37" i="20"/>
  <c r="AH37" i="20"/>
  <c r="BB37" i="20"/>
  <c r="BW37" i="20"/>
  <c r="S38" i="20"/>
  <c r="AH38" i="20"/>
  <c r="BB38" i="20"/>
  <c r="BW38" i="20"/>
  <c r="S39" i="20"/>
  <c r="AH39" i="20"/>
  <c r="BB39" i="20"/>
  <c r="BW39" i="20"/>
  <c r="S40" i="20"/>
  <c r="AH40" i="20"/>
  <c r="BB40" i="20"/>
  <c r="BW40" i="20"/>
  <c r="S41" i="20"/>
  <c r="AH41" i="20"/>
  <c r="BB41" i="20"/>
  <c r="BW41" i="20"/>
  <c r="S42" i="20"/>
  <c r="AH42" i="20"/>
  <c r="BB42" i="20"/>
  <c r="BW42" i="20"/>
  <c r="S43" i="20"/>
  <c r="AH43" i="20"/>
  <c r="BB43" i="20"/>
  <c r="BW43" i="20"/>
  <c r="S44" i="20"/>
  <c r="AH44" i="20"/>
  <c r="BB44" i="20"/>
  <c r="BW44" i="20"/>
  <c r="S45" i="20"/>
  <c r="AH45" i="20"/>
  <c r="BB45" i="20"/>
  <c r="BW45" i="20"/>
  <c r="S46" i="20"/>
  <c r="AH46" i="20"/>
  <c r="BB46" i="20"/>
  <c r="BW46" i="20"/>
  <c r="S47" i="20"/>
  <c r="AH47" i="20"/>
  <c r="BB47" i="20"/>
  <c r="BW47" i="20"/>
  <c r="S48" i="20"/>
  <c r="AH48" i="20"/>
  <c r="BB48" i="20"/>
  <c r="BW48" i="20"/>
  <c r="S49" i="20"/>
  <c r="AH49" i="20"/>
  <c r="BB49" i="20"/>
  <c r="BW49" i="20"/>
  <c r="S50" i="20"/>
  <c r="AH50" i="20"/>
  <c r="BB50" i="20"/>
  <c r="BW50" i="20"/>
  <c r="S51" i="20"/>
  <c r="AH51" i="20"/>
  <c r="BB51" i="20"/>
  <c r="BW51" i="20"/>
  <c r="S52" i="20"/>
  <c r="AH52" i="20"/>
  <c r="BB52" i="20"/>
  <c r="BW52" i="20"/>
  <c r="S53" i="20"/>
  <c r="AH53" i="20"/>
  <c r="BB53" i="20"/>
  <c r="BW53" i="20"/>
  <c r="S54" i="20"/>
  <c r="AH54" i="20"/>
  <c r="BB54" i="20"/>
  <c r="BW54" i="20"/>
  <c r="S55" i="20"/>
  <c r="AH55" i="20"/>
  <c r="BB55" i="20"/>
  <c r="BW55" i="20"/>
  <c r="BW6" i="20"/>
  <c r="B22" i="33"/>
  <c r="BX6" i="20"/>
  <c r="B21" i="33"/>
  <c r="W9" i="20"/>
  <c r="V9" i="20"/>
  <c r="X9" i="20"/>
  <c r="Y9" i="20"/>
  <c r="L10" i="79"/>
  <c r="AF9" i="20"/>
  <c r="AY9" i="20"/>
  <c r="AI9" i="20"/>
  <c r="BC9" i="20"/>
  <c r="BZ9" i="20"/>
  <c r="T9" i="20"/>
  <c r="BY9" i="20"/>
  <c r="BZ10" i="20"/>
  <c r="T10" i="20"/>
  <c r="BY10" i="20"/>
  <c r="BZ11" i="20"/>
  <c r="T11" i="20"/>
  <c r="BY11" i="20"/>
  <c r="W12" i="20"/>
  <c r="V12" i="20"/>
  <c r="X12" i="20"/>
  <c r="Y12" i="20"/>
  <c r="L13" i="79"/>
  <c r="AF12" i="20"/>
  <c r="AY12" i="20"/>
  <c r="AI12" i="20"/>
  <c r="BC12" i="20"/>
  <c r="BZ12" i="20"/>
  <c r="T12" i="20"/>
  <c r="BY12" i="20"/>
  <c r="W13" i="20"/>
  <c r="V13" i="20"/>
  <c r="X13" i="20"/>
  <c r="Y13" i="20"/>
  <c r="L14" i="79"/>
  <c r="AF13" i="20"/>
  <c r="AY13" i="20"/>
  <c r="AI13" i="20"/>
  <c r="BC13" i="20"/>
  <c r="BZ13" i="20"/>
  <c r="T13" i="20"/>
  <c r="BY13" i="20"/>
  <c r="W14" i="20"/>
  <c r="V14" i="20"/>
  <c r="X14" i="20"/>
  <c r="Y14" i="20"/>
  <c r="L15" i="79"/>
  <c r="AF14" i="20"/>
  <c r="AY14" i="20"/>
  <c r="AI14" i="20"/>
  <c r="BC14" i="20"/>
  <c r="BZ14" i="20"/>
  <c r="T14" i="20"/>
  <c r="BY14" i="20"/>
  <c r="W15" i="20"/>
  <c r="V15" i="20"/>
  <c r="X15" i="20"/>
  <c r="Y15" i="20"/>
  <c r="L16" i="79"/>
  <c r="AF15" i="20"/>
  <c r="AY15" i="20"/>
  <c r="AI15" i="20"/>
  <c r="BC15" i="20"/>
  <c r="BZ15" i="20"/>
  <c r="T15" i="20"/>
  <c r="BY15" i="20"/>
  <c r="BZ16" i="20"/>
  <c r="T16" i="20"/>
  <c r="BY16" i="20"/>
  <c r="W17" i="20"/>
  <c r="V17" i="20"/>
  <c r="X17" i="20"/>
  <c r="Y17" i="20"/>
  <c r="L18" i="79"/>
  <c r="AF17" i="20"/>
  <c r="AY17" i="20"/>
  <c r="AI17" i="20"/>
  <c r="BC17" i="20"/>
  <c r="BZ17" i="20"/>
  <c r="T17" i="20"/>
  <c r="BY17" i="20"/>
  <c r="BZ18" i="20"/>
  <c r="T18" i="20"/>
  <c r="BY18" i="20"/>
  <c r="BZ19" i="20"/>
  <c r="T19" i="20"/>
  <c r="BY19" i="20"/>
  <c r="W20" i="20"/>
  <c r="V20" i="20"/>
  <c r="X20" i="20"/>
  <c r="Y20" i="20"/>
  <c r="L21" i="79"/>
  <c r="AF20" i="20"/>
  <c r="AY20" i="20"/>
  <c r="AI20" i="20"/>
  <c r="BC20" i="20"/>
  <c r="BZ20" i="20"/>
  <c r="T20" i="20"/>
  <c r="BY20" i="20"/>
  <c r="BZ21" i="20"/>
  <c r="T21" i="20"/>
  <c r="BY21" i="20"/>
  <c r="W22" i="20"/>
  <c r="V22" i="20"/>
  <c r="X22" i="20"/>
  <c r="Y22" i="20"/>
  <c r="L23" i="79"/>
  <c r="AF22" i="20"/>
  <c r="AY22" i="20"/>
  <c r="AI22" i="20"/>
  <c r="BC22" i="20"/>
  <c r="BZ22" i="20"/>
  <c r="T22" i="20"/>
  <c r="BY22" i="20"/>
  <c r="W23" i="20"/>
  <c r="V23" i="20"/>
  <c r="X23" i="20"/>
  <c r="Y23" i="20"/>
  <c r="L24" i="79"/>
  <c r="AF23" i="20"/>
  <c r="AY23" i="20"/>
  <c r="AI23" i="20"/>
  <c r="BC23" i="20"/>
  <c r="BZ23" i="20"/>
  <c r="T23" i="20"/>
  <c r="BY23" i="20"/>
  <c r="W24" i="20"/>
  <c r="V24" i="20"/>
  <c r="X24" i="20"/>
  <c r="Y24" i="20"/>
  <c r="L25" i="79"/>
  <c r="AF24" i="20"/>
  <c r="AY24" i="20"/>
  <c r="AI24" i="20"/>
  <c r="BC24" i="20"/>
  <c r="BZ24" i="20"/>
  <c r="T24" i="20"/>
  <c r="BY24" i="20"/>
  <c r="W25" i="20"/>
  <c r="V25" i="20"/>
  <c r="X25" i="20"/>
  <c r="Y25" i="20"/>
  <c r="L26" i="79"/>
  <c r="AF25" i="20"/>
  <c r="AY25" i="20"/>
  <c r="AI25" i="20"/>
  <c r="BC25" i="20"/>
  <c r="BZ25" i="20"/>
  <c r="T25" i="20"/>
  <c r="BY25" i="20"/>
  <c r="W26" i="20"/>
  <c r="V26" i="20"/>
  <c r="X26" i="20"/>
  <c r="Y26" i="20"/>
  <c r="L27" i="79"/>
  <c r="AF26" i="20"/>
  <c r="AY26" i="20"/>
  <c r="AI26" i="20"/>
  <c r="BC26" i="20"/>
  <c r="BZ26" i="20"/>
  <c r="T26" i="20"/>
  <c r="BY26" i="20"/>
  <c r="BZ27" i="20"/>
  <c r="T27" i="20"/>
  <c r="BY27" i="20"/>
  <c r="BZ28" i="20"/>
  <c r="T28" i="20"/>
  <c r="BY28" i="20"/>
  <c r="BZ29" i="20"/>
  <c r="T29" i="20"/>
  <c r="BY29" i="20"/>
  <c r="BZ30" i="20"/>
  <c r="T30" i="20"/>
  <c r="BY30" i="20"/>
  <c r="BZ31" i="20"/>
  <c r="T31" i="20"/>
  <c r="BY31" i="20"/>
  <c r="BZ32" i="20"/>
  <c r="T32" i="20"/>
  <c r="BY32" i="20"/>
  <c r="BZ33" i="20"/>
  <c r="T33" i="20"/>
  <c r="BY33" i="20"/>
  <c r="BZ34" i="20"/>
  <c r="T34" i="20"/>
  <c r="BY34" i="20"/>
  <c r="BZ35" i="20"/>
  <c r="T35" i="20"/>
  <c r="BY35" i="20"/>
  <c r="BZ36" i="20"/>
  <c r="T36" i="20"/>
  <c r="BY36" i="20"/>
  <c r="BZ37" i="20"/>
  <c r="T37" i="20"/>
  <c r="BY37" i="20"/>
  <c r="BZ38" i="20"/>
  <c r="T38" i="20"/>
  <c r="BY38" i="20"/>
  <c r="BZ39" i="20"/>
  <c r="T39" i="20"/>
  <c r="BY39" i="20"/>
  <c r="BZ40" i="20"/>
  <c r="T40" i="20"/>
  <c r="BY40" i="20"/>
  <c r="BZ41" i="20"/>
  <c r="T41" i="20"/>
  <c r="BY41" i="20"/>
  <c r="BZ42" i="20"/>
  <c r="T42" i="20"/>
  <c r="BY42" i="20"/>
  <c r="BZ43" i="20"/>
  <c r="T43" i="20"/>
  <c r="BY43" i="20"/>
  <c r="BZ44" i="20"/>
  <c r="T44" i="20"/>
  <c r="BY44" i="20"/>
  <c r="BZ45" i="20"/>
  <c r="T45" i="20"/>
  <c r="BY45" i="20"/>
  <c r="BZ46" i="20"/>
  <c r="T46" i="20"/>
  <c r="BY46" i="20"/>
  <c r="BZ47" i="20"/>
  <c r="T47" i="20"/>
  <c r="BY47" i="20"/>
  <c r="BZ48" i="20"/>
  <c r="T48" i="20"/>
  <c r="BY48" i="20"/>
  <c r="BZ49" i="20"/>
  <c r="T49" i="20"/>
  <c r="BY49" i="20"/>
  <c r="BZ50" i="20"/>
  <c r="T50" i="20"/>
  <c r="BY50" i="20"/>
  <c r="BZ51" i="20"/>
  <c r="T51" i="20"/>
  <c r="BY51" i="20"/>
  <c r="BZ52" i="20"/>
  <c r="O52" i="20"/>
  <c r="J53" i="79"/>
  <c r="T52" i="20"/>
  <c r="BY52" i="20"/>
  <c r="BZ53" i="20"/>
  <c r="T53" i="20"/>
  <c r="BY53" i="20"/>
  <c r="BZ54" i="20"/>
  <c r="T54" i="20"/>
  <c r="BY54" i="20"/>
  <c r="BZ55" i="20"/>
  <c r="T55" i="20"/>
  <c r="BY55" i="20"/>
  <c r="BY6" i="20"/>
  <c r="B20" i="33"/>
  <c r="AG9" i="20"/>
  <c r="AJ9" i="20"/>
  <c r="AK9" i="20"/>
  <c r="AL9" i="20"/>
  <c r="BG9" i="20"/>
  <c r="AX9" i="20"/>
  <c r="BA9" i="20"/>
  <c r="BM9" i="20"/>
  <c r="BN9" i="20"/>
  <c r="BO9" i="20"/>
  <c r="BP9" i="20"/>
  <c r="L11" i="79"/>
  <c r="AF10" i="20"/>
  <c r="AG10" i="20"/>
  <c r="AI10" i="20"/>
  <c r="AJ10" i="20"/>
  <c r="AK10" i="20"/>
  <c r="AL10" i="20"/>
  <c r="BG10" i="20"/>
  <c r="BM10" i="20"/>
  <c r="V10" i="20"/>
  <c r="W10" i="20"/>
  <c r="X10" i="20"/>
  <c r="Y10" i="20"/>
  <c r="AX10" i="20"/>
  <c r="BA10" i="20"/>
  <c r="BN10" i="20"/>
  <c r="BO10" i="20"/>
  <c r="BP10" i="20"/>
  <c r="L12" i="79"/>
  <c r="AF11" i="20"/>
  <c r="AG11" i="20"/>
  <c r="AI11" i="20"/>
  <c r="AJ11" i="20"/>
  <c r="AK11" i="20"/>
  <c r="AL11" i="20"/>
  <c r="BG11" i="20"/>
  <c r="BM11" i="20"/>
  <c r="V11" i="20"/>
  <c r="W11" i="20"/>
  <c r="X11" i="20"/>
  <c r="Y11" i="20"/>
  <c r="AX11" i="20"/>
  <c r="BA11" i="20"/>
  <c r="BN11" i="20"/>
  <c r="BO11" i="20"/>
  <c r="BP11" i="20"/>
  <c r="AG12" i="20"/>
  <c r="AJ12" i="20"/>
  <c r="AK12" i="20"/>
  <c r="AL12" i="20"/>
  <c r="BG12" i="20"/>
  <c r="AX12" i="20"/>
  <c r="BA12" i="20"/>
  <c r="BM12" i="20"/>
  <c r="BN12" i="20"/>
  <c r="BO12" i="20"/>
  <c r="BP12" i="20"/>
  <c r="AG13" i="20"/>
  <c r="AJ13" i="20"/>
  <c r="AK13" i="20"/>
  <c r="AL13" i="20"/>
  <c r="BG13" i="20"/>
  <c r="AX13" i="20"/>
  <c r="BA13" i="20"/>
  <c r="BM13" i="20"/>
  <c r="BN13" i="20"/>
  <c r="BO13" i="20"/>
  <c r="BP13" i="20"/>
  <c r="AG14" i="20"/>
  <c r="AJ14" i="20"/>
  <c r="AK14" i="20"/>
  <c r="AL14" i="20"/>
  <c r="BG14" i="20"/>
  <c r="AX14" i="20"/>
  <c r="BA14" i="20"/>
  <c r="BM14" i="20"/>
  <c r="BN14" i="20"/>
  <c r="BO14" i="20"/>
  <c r="BP14" i="20"/>
  <c r="AG15" i="20"/>
  <c r="AJ15" i="20"/>
  <c r="AK15" i="20"/>
  <c r="AL15" i="20"/>
  <c r="BG15" i="20"/>
  <c r="AX15" i="20"/>
  <c r="BA15" i="20"/>
  <c r="BM15" i="20"/>
  <c r="BN15" i="20"/>
  <c r="BO15" i="20"/>
  <c r="BP15" i="20"/>
  <c r="L17" i="79"/>
  <c r="AF16" i="20"/>
  <c r="AG16" i="20"/>
  <c r="AI16" i="20"/>
  <c r="AJ16" i="20"/>
  <c r="AK16" i="20"/>
  <c r="AL16" i="20"/>
  <c r="BG16" i="20"/>
  <c r="BM16" i="20"/>
  <c r="V16" i="20"/>
  <c r="W16" i="20"/>
  <c r="X16" i="20"/>
  <c r="Y16" i="20"/>
  <c r="AX16" i="20"/>
  <c r="BA16" i="20"/>
  <c r="BN16" i="20"/>
  <c r="BO16" i="20"/>
  <c r="BP16" i="20"/>
  <c r="AG17" i="20"/>
  <c r="AJ17" i="20"/>
  <c r="AK17" i="20"/>
  <c r="AL17" i="20"/>
  <c r="BG17" i="20"/>
  <c r="AX17" i="20"/>
  <c r="BA17" i="20"/>
  <c r="BM17" i="20"/>
  <c r="BN17" i="20"/>
  <c r="BO17" i="20"/>
  <c r="BP17" i="20"/>
  <c r="L19" i="79"/>
  <c r="AF18" i="20"/>
  <c r="AG18" i="20"/>
  <c r="AI18" i="20"/>
  <c r="AJ18" i="20"/>
  <c r="AK18" i="20"/>
  <c r="AL18" i="20"/>
  <c r="BG18" i="20"/>
  <c r="BM18" i="20"/>
  <c r="V18" i="20"/>
  <c r="W18" i="20"/>
  <c r="X18" i="20"/>
  <c r="Y18" i="20"/>
  <c r="AX18" i="20"/>
  <c r="BA18" i="20"/>
  <c r="BN18" i="20"/>
  <c r="BO18" i="20"/>
  <c r="BP18" i="20"/>
  <c r="L20" i="79"/>
  <c r="AF19" i="20"/>
  <c r="AG19" i="20"/>
  <c r="AI19" i="20"/>
  <c r="AJ19" i="20"/>
  <c r="AK19" i="20"/>
  <c r="AL19" i="20"/>
  <c r="BG19" i="20"/>
  <c r="BM19" i="20"/>
  <c r="V19" i="20"/>
  <c r="W19" i="20"/>
  <c r="X19" i="20"/>
  <c r="Y19" i="20"/>
  <c r="AX19" i="20"/>
  <c r="BA19" i="20"/>
  <c r="BN19" i="20"/>
  <c r="BO19" i="20"/>
  <c r="BP19" i="20"/>
  <c r="AG20" i="20"/>
  <c r="AJ20" i="20"/>
  <c r="AK20" i="20"/>
  <c r="AL20" i="20"/>
  <c r="BG20" i="20"/>
  <c r="AX20" i="20"/>
  <c r="BA20" i="20"/>
  <c r="BM20" i="20"/>
  <c r="BN20" i="20"/>
  <c r="BO20" i="20"/>
  <c r="BP20" i="20"/>
  <c r="L22" i="79"/>
  <c r="AF21" i="20"/>
  <c r="AG21" i="20"/>
  <c r="AI21" i="20"/>
  <c r="AJ21" i="20"/>
  <c r="AK21" i="20"/>
  <c r="AL21" i="20"/>
  <c r="BG21" i="20"/>
  <c r="BM21" i="20"/>
  <c r="V21" i="20"/>
  <c r="W21" i="20"/>
  <c r="X21" i="20"/>
  <c r="Y21" i="20"/>
  <c r="AX21" i="20"/>
  <c r="BA21" i="20"/>
  <c r="BN21" i="20"/>
  <c r="BO21" i="20"/>
  <c r="BP21" i="20"/>
  <c r="AG22" i="20"/>
  <c r="AJ22" i="20"/>
  <c r="AK22" i="20"/>
  <c r="AL22" i="20"/>
  <c r="BG22" i="20"/>
  <c r="AX22" i="20"/>
  <c r="BA22" i="20"/>
  <c r="BM22" i="20"/>
  <c r="BN22" i="20"/>
  <c r="BO22" i="20"/>
  <c r="BP22" i="20"/>
  <c r="AG23" i="20"/>
  <c r="AJ23" i="20"/>
  <c r="AK23" i="20"/>
  <c r="AL23" i="20"/>
  <c r="BG23" i="20"/>
  <c r="AX23" i="20"/>
  <c r="BA23" i="20"/>
  <c r="BM23" i="20"/>
  <c r="BN23" i="20"/>
  <c r="BO23" i="20"/>
  <c r="BP23" i="20"/>
  <c r="AG24" i="20"/>
  <c r="AJ24" i="20"/>
  <c r="AK24" i="20"/>
  <c r="AL24" i="20"/>
  <c r="BG24" i="20"/>
  <c r="AX24" i="20"/>
  <c r="BA24" i="20"/>
  <c r="BM24" i="20"/>
  <c r="BN24" i="20"/>
  <c r="BO24" i="20"/>
  <c r="BP24" i="20"/>
  <c r="AG25" i="20"/>
  <c r="AJ25" i="20"/>
  <c r="AK25" i="20"/>
  <c r="AL25" i="20"/>
  <c r="BG25" i="20"/>
  <c r="AX25" i="20"/>
  <c r="BA25" i="20"/>
  <c r="BM25" i="20"/>
  <c r="BN25" i="20"/>
  <c r="BO25" i="20"/>
  <c r="BP25" i="20"/>
  <c r="AG26" i="20"/>
  <c r="AJ26" i="20"/>
  <c r="AK26" i="20"/>
  <c r="AL26" i="20"/>
  <c r="BG26" i="20"/>
  <c r="AX26" i="20"/>
  <c r="BA26" i="20"/>
  <c r="BM26" i="20"/>
  <c r="BN26" i="20"/>
  <c r="BO26" i="20"/>
  <c r="BP26" i="20"/>
  <c r="L28" i="79"/>
  <c r="AF27" i="20"/>
  <c r="AG27" i="20"/>
  <c r="AI27" i="20"/>
  <c r="AJ27" i="20"/>
  <c r="AK27" i="20"/>
  <c r="AL27" i="20"/>
  <c r="BG27" i="20"/>
  <c r="BM27" i="20"/>
  <c r="BN27" i="20"/>
  <c r="BO27" i="20"/>
  <c r="BP27" i="20"/>
  <c r="L29" i="79"/>
  <c r="AF28" i="20"/>
  <c r="AG28" i="20"/>
  <c r="AI28" i="20"/>
  <c r="AJ28" i="20"/>
  <c r="AK28" i="20"/>
  <c r="AL28" i="20"/>
  <c r="BG28" i="20"/>
  <c r="BM28" i="20"/>
  <c r="BN28" i="20"/>
  <c r="BO28" i="20"/>
  <c r="BP28" i="20"/>
  <c r="L30" i="79"/>
  <c r="AF29" i="20"/>
  <c r="AG29" i="20"/>
  <c r="AI29" i="20"/>
  <c r="AJ29" i="20"/>
  <c r="AK29" i="20"/>
  <c r="AL29" i="20"/>
  <c r="BG29" i="20"/>
  <c r="BM29" i="20"/>
  <c r="BN29" i="20"/>
  <c r="BO29" i="20"/>
  <c r="BP29" i="20"/>
  <c r="L31" i="79"/>
  <c r="AF30" i="20"/>
  <c r="AG30" i="20"/>
  <c r="AI30" i="20"/>
  <c r="AJ30" i="20"/>
  <c r="AK30" i="20"/>
  <c r="AL30" i="20"/>
  <c r="BG30" i="20"/>
  <c r="BM30" i="20"/>
  <c r="BN30" i="20"/>
  <c r="BO30" i="20"/>
  <c r="BP30" i="20"/>
  <c r="L32" i="79"/>
  <c r="AF31" i="20"/>
  <c r="AG31" i="20"/>
  <c r="AI31" i="20"/>
  <c r="AJ31" i="20"/>
  <c r="AK31" i="20"/>
  <c r="AL31" i="20"/>
  <c r="BG31" i="20"/>
  <c r="BM31" i="20"/>
  <c r="BN31" i="20"/>
  <c r="BO31" i="20"/>
  <c r="BP31" i="20"/>
  <c r="L33" i="79"/>
  <c r="AF32" i="20"/>
  <c r="AG32" i="20"/>
  <c r="AI32" i="20"/>
  <c r="AJ32" i="20"/>
  <c r="AK32" i="20"/>
  <c r="AL32" i="20"/>
  <c r="BG32" i="20"/>
  <c r="BM32" i="20"/>
  <c r="BN32" i="20"/>
  <c r="BO32" i="20"/>
  <c r="BP32" i="20"/>
  <c r="L34" i="79"/>
  <c r="AF33" i="20"/>
  <c r="AG33" i="20"/>
  <c r="AI33" i="20"/>
  <c r="AJ33" i="20"/>
  <c r="AK33" i="20"/>
  <c r="AL33" i="20"/>
  <c r="BG33" i="20"/>
  <c r="BM33" i="20"/>
  <c r="BN33" i="20"/>
  <c r="BO33" i="20"/>
  <c r="BP33" i="20"/>
  <c r="L35" i="79"/>
  <c r="AF34" i="20"/>
  <c r="AG34" i="20"/>
  <c r="AI34" i="20"/>
  <c r="AJ34" i="20"/>
  <c r="AK34" i="20"/>
  <c r="AL34" i="20"/>
  <c r="BG34" i="20"/>
  <c r="BM34" i="20"/>
  <c r="BN34" i="20"/>
  <c r="BO34" i="20"/>
  <c r="BP34" i="20"/>
  <c r="L36" i="79"/>
  <c r="AF35" i="20"/>
  <c r="AG35" i="20"/>
  <c r="AI35" i="20"/>
  <c r="AJ35" i="20"/>
  <c r="AK35" i="20"/>
  <c r="AL35" i="20"/>
  <c r="BG35" i="20"/>
  <c r="BM35" i="20"/>
  <c r="BN35" i="20"/>
  <c r="BO35" i="20"/>
  <c r="BP35" i="20"/>
  <c r="L37" i="79"/>
  <c r="AF36" i="20"/>
  <c r="AG36" i="20"/>
  <c r="AI36" i="20"/>
  <c r="AJ36" i="20"/>
  <c r="AK36" i="20"/>
  <c r="AL36" i="20"/>
  <c r="BG36" i="20"/>
  <c r="BM36" i="20"/>
  <c r="BN36" i="20"/>
  <c r="BO36" i="20"/>
  <c r="BP36" i="20"/>
  <c r="L38" i="79"/>
  <c r="AF37" i="20"/>
  <c r="AG37" i="20"/>
  <c r="AI37" i="20"/>
  <c r="AJ37" i="20"/>
  <c r="AK37" i="20"/>
  <c r="AL37" i="20"/>
  <c r="BG37" i="20"/>
  <c r="BM37" i="20"/>
  <c r="BN37" i="20"/>
  <c r="BO37" i="20"/>
  <c r="BP37" i="20"/>
  <c r="L39" i="79"/>
  <c r="AF38" i="20"/>
  <c r="AG38" i="20"/>
  <c r="AI38" i="20"/>
  <c r="AJ38" i="20"/>
  <c r="AK38" i="20"/>
  <c r="AL38" i="20"/>
  <c r="BG38" i="20"/>
  <c r="BM38" i="20"/>
  <c r="BN38" i="20"/>
  <c r="BO38" i="20"/>
  <c r="BP38" i="20"/>
  <c r="L40" i="79"/>
  <c r="AF39" i="20"/>
  <c r="AG39" i="20"/>
  <c r="AI39" i="20"/>
  <c r="AJ39" i="20"/>
  <c r="AK39" i="20"/>
  <c r="AL39" i="20"/>
  <c r="BG39" i="20"/>
  <c r="BM39" i="20"/>
  <c r="BN39" i="20"/>
  <c r="BO39" i="20"/>
  <c r="BP39" i="20"/>
  <c r="L41" i="79"/>
  <c r="AF40" i="20"/>
  <c r="AG40" i="20"/>
  <c r="AI40" i="20"/>
  <c r="AJ40" i="20"/>
  <c r="AK40" i="20"/>
  <c r="AL40" i="20"/>
  <c r="BG40" i="20"/>
  <c r="BM40" i="20"/>
  <c r="BN40" i="20"/>
  <c r="BO40" i="20"/>
  <c r="BP40" i="20"/>
  <c r="L42" i="79"/>
  <c r="AF41" i="20"/>
  <c r="AG41" i="20"/>
  <c r="AI41" i="20"/>
  <c r="AJ41" i="20"/>
  <c r="AK41" i="20"/>
  <c r="AL41" i="20"/>
  <c r="BG41" i="20"/>
  <c r="BM41" i="20"/>
  <c r="BN41" i="20"/>
  <c r="BO41" i="20"/>
  <c r="BP41" i="20"/>
  <c r="L43" i="79"/>
  <c r="AF42" i="20"/>
  <c r="AG42" i="20"/>
  <c r="AI42" i="20"/>
  <c r="AJ42" i="20"/>
  <c r="AK42" i="20"/>
  <c r="AL42" i="20"/>
  <c r="BG42" i="20"/>
  <c r="BM42" i="20"/>
  <c r="BN42" i="20"/>
  <c r="BO42" i="20"/>
  <c r="BP42" i="20"/>
  <c r="L44" i="79"/>
  <c r="AF43" i="20"/>
  <c r="AG43" i="20"/>
  <c r="AI43" i="20"/>
  <c r="AJ43" i="20"/>
  <c r="AK43" i="20"/>
  <c r="AL43" i="20"/>
  <c r="BG43" i="20"/>
  <c r="BM43" i="20"/>
  <c r="BN43" i="20"/>
  <c r="BO43" i="20"/>
  <c r="BP43" i="20"/>
  <c r="L45" i="79"/>
  <c r="AF44" i="20"/>
  <c r="AG44" i="20"/>
  <c r="AI44" i="20"/>
  <c r="AJ44" i="20"/>
  <c r="AK44" i="20"/>
  <c r="AL44" i="20"/>
  <c r="BG44" i="20"/>
  <c r="BM44" i="20"/>
  <c r="BN44" i="20"/>
  <c r="BO44" i="20"/>
  <c r="BP44" i="20"/>
  <c r="L46" i="79"/>
  <c r="AF45" i="20"/>
  <c r="AG45" i="20"/>
  <c r="AI45" i="20"/>
  <c r="AJ45" i="20"/>
  <c r="AK45" i="20"/>
  <c r="AL45" i="20"/>
  <c r="BG45" i="20"/>
  <c r="BM45" i="20"/>
  <c r="BN45" i="20"/>
  <c r="BO45" i="20"/>
  <c r="BP45" i="20"/>
  <c r="L47" i="79"/>
  <c r="AF46" i="20"/>
  <c r="AG46" i="20"/>
  <c r="AI46" i="20"/>
  <c r="AJ46" i="20"/>
  <c r="AK46" i="20"/>
  <c r="AL46" i="20"/>
  <c r="BG46" i="20"/>
  <c r="BM46" i="20"/>
  <c r="BN46" i="20"/>
  <c r="BO46" i="20"/>
  <c r="BP46" i="20"/>
  <c r="L48" i="79"/>
  <c r="AF47" i="20"/>
  <c r="AG47" i="20"/>
  <c r="AI47" i="20"/>
  <c r="AJ47" i="20"/>
  <c r="AK47" i="20"/>
  <c r="AL47" i="20"/>
  <c r="BG47" i="20"/>
  <c r="BM47" i="20"/>
  <c r="BN47" i="20"/>
  <c r="BO47" i="20"/>
  <c r="BP47" i="20"/>
  <c r="L49" i="79"/>
  <c r="AF48" i="20"/>
  <c r="AG48" i="20"/>
  <c r="AI48" i="20"/>
  <c r="AJ48" i="20"/>
  <c r="AK48" i="20"/>
  <c r="AL48" i="20"/>
  <c r="BG48" i="20"/>
  <c r="BM48" i="20"/>
  <c r="BN48" i="20"/>
  <c r="BO48" i="20"/>
  <c r="BP48" i="20"/>
  <c r="L50" i="79"/>
  <c r="AF49" i="20"/>
  <c r="AG49" i="20"/>
  <c r="AI49" i="20"/>
  <c r="AJ49" i="20"/>
  <c r="AK49" i="20"/>
  <c r="AL49" i="20"/>
  <c r="BG49" i="20"/>
  <c r="BM49" i="20"/>
  <c r="BN49" i="20"/>
  <c r="BO49" i="20"/>
  <c r="BP49" i="20"/>
  <c r="L51" i="79"/>
  <c r="AF50" i="20"/>
  <c r="AG50" i="20"/>
  <c r="AI50" i="20"/>
  <c r="AJ50" i="20"/>
  <c r="AK50" i="20"/>
  <c r="AL50" i="20"/>
  <c r="BG50" i="20"/>
  <c r="BM50" i="20"/>
  <c r="BN50" i="20"/>
  <c r="BO50" i="20"/>
  <c r="BP50" i="20"/>
  <c r="B52" i="79"/>
  <c r="L52" i="79"/>
  <c r="AF51" i="20"/>
  <c r="AG51" i="20"/>
  <c r="AI51" i="20"/>
  <c r="AJ51" i="20"/>
  <c r="AK51" i="20"/>
  <c r="AL51" i="20"/>
  <c r="BG51" i="20"/>
  <c r="BM51" i="20"/>
  <c r="BN51" i="20"/>
  <c r="BO51" i="20"/>
  <c r="BP51" i="20"/>
  <c r="B53" i="79"/>
  <c r="L53" i="79"/>
  <c r="AF52" i="20"/>
  <c r="AG52" i="20"/>
  <c r="AI52" i="20"/>
  <c r="AJ52" i="20"/>
  <c r="AK52" i="20"/>
  <c r="AL52" i="20"/>
  <c r="BG52" i="20"/>
  <c r="BM52" i="20"/>
  <c r="BN52" i="20"/>
  <c r="BO52" i="20"/>
  <c r="BP52" i="20"/>
  <c r="AF53" i="20"/>
  <c r="AG53" i="20"/>
  <c r="AI53" i="20"/>
  <c r="AJ53" i="20"/>
  <c r="AK53" i="20"/>
  <c r="AL53" i="20"/>
  <c r="BG53" i="20"/>
  <c r="BM53" i="20"/>
  <c r="BN53" i="20"/>
  <c r="BO53" i="20"/>
  <c r="BP53" i="20"/>
  <c r="AF54" i="20"/>
  <c r="AG54" i="20"/>
  <c r="AI54" i="20"/>
  <c r="AJ54" i="20"/>
  <c r="AK54" i="20"/>
  <c r="AL54" i="20"/>
  <c r="BG54" i="20"/>
  <c r="BM54" i="20"/>
  <c r="BN54" i="20"/>
  <c r="BO54" i="20"/>
  <c r="BP54" i="20"/>
  <c r="AF55" i="20"/>
  <c r="AG55" i="20"/>
  <c r="AI55" i="20"/>
  <c r="AJ55" i="20"/>
  <c r="AK55" i="20"/>
  <c r="AL55" i="20"/>
  <c r="BG55" i="20"/>
  <c r="BM55" i="20"/>
  <c r="BN55" i="20"/>
  <c r="BO55" i="20"/>
  <c r="BP55" i="20"/>
  <c r="BP6" i="20"/>
  <c r="B13" i="33"/>
  <c r="D13" i="33"/>
  <c r="L13" i="33"/>
  <c r="J13" i="33"/>
  <c r="F13" i="33"/>
  <c r="BQ6" i="20"/>
  <c r="B12" i="33"/>
  <c r="D12" i="33"/>
  <c r="L12" i="33"/>
  <c r="J12" i="33"/>
  <c r="F12" i="33"/>
  <c r="BR6" i="20"/>
  <c r="B11" i="33"/>
  <c r="D11" i="33"/>
  <c r="L11" i="33"/>
  <c r="J11" i="33"/>
  <c r="F11" i="33"/>
  <c r="BS9" i="20"/>
  <c r="BS10" i="20"/>
  <c r="BS11" i="20"/>
  <c r="BS12" i="20"/>
  <c r="BS13" i="20"/>
  <c r="BS14" i="20"/>
  <c r="BS15" i="20"/>
  <c r="BS16" i="20"/>
  <c r="BS17" i="20"/>
  <c r="BS18" i="20"/>
  <c r="BS19" i="20"/>
  <c r="BS20" i="20"/>
  <c r="BS21" i="20"/>
  <c r="BS22" i="20"/>
  <c r="BS23" i="20"/>
  <c r="BS24" i="20"/>
  <c r="BS25" i="20"/>
  <c r="BS26" i="20"/>
  <c r="BS27" i="20"/>
  <c r="BS28" i="20"/>
  <c r="BS29" i="20"/>
  <c r="BS30" i="20"/>
  <c r="BS31" i="20"/>
  <c r="BS32" i="20"/>
  <c r="BS33" i="20"/>
  <c r="BS34" i="20"/>
  <c r="BS35" i="20"/>
  <c r="BS36" i="20"/>
  <c r="BS37" i="20"/>
  <c r="BS38" i="20"/>
  <c r="BS39" i="20"/>
  <c r="BS40" i="20"/>
  <c r="BS41" i="20"/>
  <c r="BS42" i="20"/>
  <c r="BS43" i="20"/>
  <c r="BS44" i="20"/>
  <c r="BS45" i="20"/>
  <c r="BS46" i="20"/>
  <c r="BS47" i="20"/>
  <c r="BS48" i="20"/>
  <c r="BS49" i="20"/>
  <c r="BS50" i="20"/>
  <c r="BS51" i="20"/>
  <c r="BS52" i="20"/>
  <c r="BS53" i="20"/>
  <c r="BS54" i="20"/>
  <c r="BS55" i="20"/>
  <c r="BS6" i="20"/>
  <c r="B10" i="33"/>
  <c r="D10" i="33"/>
  <c r="L10" i="33"/>
  <c r="J10" i="33"/>
  <c r="F10" i="33"/>
  <c r="B8" i="33"/>
  <c r="D8" i="33"/>
  <c r="L8" i="33"/>
  <c r="J8" i="33"/>
  <c r="F8" i="33"/>
  <c r="F7" i="33"/>
  <c r="B6" i="33"/>
  <c r="D6" i="33"/>
  <c r="L6" i="33"/>
  <c r="J6" i="33"/>
  <c r="F6" i="33"/>
  <c r="F5" i="33"/>
  <c r="P10" i="10"/>
  <c r="B2" i="25"/>
  <c r="Q14" i="31"/>
  <c r="Q11" i="31"/>
  <c r="Q6" i="31"/>
  <c r="Q12" i="31"/>
  <c r="E5" i="31"/>
  <c r="E6" i="31"/>
  <c r="E7" i="31"/>
  <c r="E8" i="31"/>
  <c r="E9" i="31"/>
  <c r="E10" i="31"/>
  <c r="E11" i="31"/>
  <c r="E12" i="31"/>
  <c r="D5" i="31"/>
  <c r="D6" i="31"/>
  <c r="D7" i="31"/>
  <c r="D8" i="31"/>
  <c r="D9" i="31"/>
  <c r="D10" i="31"/>
  <c r="D11" i="31"/>
  <c r="D12" i="31"/>
  <c r="B10" i="31"/>
  <c r="B9" i="31"/>
  <c r="B8" i="31"/>
  <c r="Q7" i="31"/>
  <c r="B7" i="31"/>
  <c r="B6" i="31"/>
  <c r="B5" i="31"/>
  <c r="K4" i="31"/>
  <c r="A1" i="31"/>
  <c r="DP9" i="20"/>
  <c r="DQ9" i="20"/>
  <c r="M6" i="73"/>
  <c r="DP10" i="20"/>
  <c r="DQ10" i="20"/>
  <c r="M7" i="73"/>
  <c r="DP11" i="20"/>
  <c r="DQ11" i="20"/>
  <c r="M8" i="73"/>
  <c r="DP12" i="20"/>
  <c r="DQ12" i="20"/>
  <c r="M9" i="73"/>
  <c r="DP13" i="20"/>
  <c r="DQ13" i="20"/>
  <c r="M10" i="73"/>
  <c r="DP14" i="20"/>
  <c r="DQ14" i="20"/>
  <c r="M11" i="73"/>
  <c r="DP15" i="20"/>
  <c r="DQ15" i="20"/>
  <c r="M12" i="73"/>
  <c r="DP16" i="20"/>
  <c r="DQ16" i="20"/>
  <c r="M13" i="73"/>
  <c r="DP17" i="20"/>
  <c r="DQ17" i="20"/>
  <c r="M14" i="73"/>
  <c r="DP18" i="20"/>
  <c r="DQ18" i="20"/>
  <c r="M15" i="73"/>
  <c r="DP19" i="20"/>
  <c r="DQ19" i="20"/>
  <c r="M16" i="73"/>
  <c r="DP20" i="20"/>
  <c r="DQ20" i="20"/>
  <c r="M17" i="73"/>
  <c r="DP21" i="20"/>
  <c r="DQ21" i="20"/>
  <c r="M18" i="73"/>
  <c r="DP22" i="20"/>
  <c r="DQ22" i="20"/>
  <c r="M19" i="73"/>
  <c r="DP23" i="20"/>
  <c r="DQ23" i="20"/>
  <c r="M20" i="73"/>
  <c r="DP24" i="20"/>
  <c r="DQ24" i="20"/>
  <c r="M21" i="73"/>
  <c r="DP25" i="20"/>
  <c r="DQ25" i="20"/>
  <c r="M22" i="73"/>
  <c r="DP26" i="20"/>
  <c r="DQ26" i="20"/>
  <c r="M23" i="73"/>
  <c r="DP27" i="20"/>
  <c r="DQ27" i="20"/>
  <c r="M24" i="73"/>
  <c r="DP28" i="20"/>
  <c r="DQ28" i="20"/>
  <c r="M25" i="73"/>
  <c r="DP29" i="20"/>
  <c r="DQ29" i="20"/>
  <c r="M26" i="73"/>
  <c r="DP30" i="20"/>
  <c r="DQ30" i="20"/>
  <c r="M27" i="73"/>
  <c r="DP31" i="20"/>
  <c r="DQ31" i="20"/>
  <c r="M28" i="73"/>
  <c r="DP32" i="20"/>
  <c r="DQ32" i="20"/>
  <c r="M29" i="73"/>
  <c r="DP33" i="20"/>
  <c r="DQ33" i="20"/>
  <c r="M30" i="73"/>
  <c r="DP34" i="20"/>
  <c r="DQ34" i="20"/>
  <c r="M31" i="73"/>
  <c r="DP35" i="20"/>
  <c r="DQ35" i="20"/>
  <c r="M32" i="73"/>
  <c r="DP36" i="20"/>
  <c r="DQ36" i="20"/>
  <c r="M33" i="73"/>
  <c r="DP37" i="20"/>
  <c r="DQ37" i="20"/>
  <c r="M34" i="73"/>
  <c r="DP38" i="20"/>
  <c r="DQ38" i="20"/>
  <c r="M35" i="73"/>
  <c r="DP39" i="20"/>
  <c r="DQ39" i="20"/>
  <c r="M36" i="73"/>
  <c r="DP40" i="20"/>
  <c r="DQ40" i="20"/>
  <c r="M37" i="73"/>
  <c r="DP41" i="20"/>
  <c r="DQ41" i="20"/>
  <c r="M38" i="73"/>
  <c r="DP42" i="20"/>
  <c r="DQ42" i="20"/>
  <c r="M39" i="73"/>
  <c r="DP43" i="20"/>
  <c r="DQ43" i="20"/>
  <c r="M40" i="73"/>
  <c r="DP44" i="20"/>
  <c r="DQ44" i="20"/>
  <c r="M41" i="73"/>
  <c r="DP45" i="20"/>
  <c r="DQ45" i="20"/>
  <c r="M42" i="73"/>
  <c r="DP46" i="20"/>
  <c r="DQ46" i="20"/>
  <c r="M43" i="73"/>
  <c r="DP47" i="20"/>
  <c r="DQ47" i="20"/>
  <c r="M44" i="73"/>
  <c r="DP48" i="20"/>
  <c r="DQ48" i="20"/>
  <c r="M45" i="73"/>
  <c r="DP49" i="20"/>
  <c r="DQ49" i="20"/>
  <c r="M46" i="73"/>
  <c r="DP50" i="20"/>
  <c r="DQ50" i="20"/>
  <c r="M47" i="73"/>
  <c r="DP51" i="20"/>
  <c r="DQ51" i="20"/>
  <c r="M48" i="73"/>
  <c r="DP52" i="20"/>
  <c r="DQ52" i="20"/>
  <c r="M49" i="73"/>
  <c r="M50" i="73"/>
  <c r="DV9" i="20"/>
  <c r="L6" i="73"/>
  <c r="DV10" i="20"/>
  <c r="L7" i="73"/>
  <c r="DV11" i="20"/>
  <c r="L8" i="73"/>
  <c r="DV12" i="20"/>
  <c r="L9" i="73"/>
  <c r="DV13" i="20"/>
  <c r="L10" i="73"/>
  <c r="DV14" i="20"/>
  <c r="L11" i="73"/>
  <c r="DV15" i="20"/>
  <c r="L12" i="73"/>
  <c r="DV16" i="20"/>
  <c r="L13" i="73"/>
  <c r="DV17" i="20"/>
  <c r="L14" i="73"/>
  <c r="DV18" i="20"/>
  <c r="L15" i="73"/>
  <c r="DV19" i="20"/>
  <c r="L16" i="73"/>
  <c r="DV20" i="20"/>
  <c r="L17" i="73"/>
  <c r="DV21" i="20"/>
  <c r="L18" i="73"/>
  <c r="DV22" i="20"/>
  <c r="L19" i="73"/>
  <c r="DV23" i="20"/>
  <c r="L20" i="73"/>
  <c r="DV24" i="20"/>
  <c r="L21" i="73"/>
  <c r="DV25" i="20"/>
  <c r="L22" i="73"/>
  <c r="DV26" i="20"/>
  <c r="L23" i="73"/>
  <c r="DV27" i="20"/>
  <c r="L24" i="73"/>
  <c r="DV28" i="20"/>
  <c r="L25" i="73"/>
  <c r="DV29" i="20"/>
  <c r="L26" i="73"/>
  <c r="DV30" i="20"/>
  <c r="L27" i="73"/>
  <c r="DV31" i="20"/>
  <c r="L28" i="73"/>
  <c r="DV32" i="20"/>
  <c r="L29" i="73"/>
  <c r="DV33" i="20"/>
  <c r="L30" i="73"/>
  <c r="DV34" i="20"/>
  <c r="L31" i="73"/>
  <c r="DV35" i="20"/>
  <c r="L32" i="73"/>
  <c r="DV36" i="20"/>
  <c r="L33" i="73"/>
  <c r="DV37" i="20"/>
  <c r="L34" i="73"/>
  <c r="DV38" i="20"/>
  <c r="L35" i="73"/>
  <c r="DV39" i="20"/>
  <c r="L36" i="73"/>
  <c r="DV40" i="20"/>
  <c r="L37" i="73"/>
  <c r="DV41" i="20"/>
  <c r="L38" i="73"/>
  <c r="DV42" i="20"/>
  <c r="L39" i="73"/>
  <c r="DV43" i="20"/>
  <c r="L40" i="73"/>
  <c r="DV44" i="20"/>
  <c r="L41" i="73"/>
  <c r="DV45" i="20"/>
  <c r="L42" i="73"/>
  <c r="DV46" i="20"/>
  <c r="L43" i="73"/>
  <c r="DV47" i="20"/>
  <c r="L44" i="73"/>
  <c r="DV48" i="20"/>
  <c r="L45" i="73"/>
  <c r="DV49" i="20"/>
  <c r="L46" i="73"/>
  <c r="DV50" i="20"/>
  <c r="L47" i="73"/>
  <c r="DV51" i="20"/>
  <c r="L48" i="73"/>
  <c r="DV52" i="20"/>
  <c r="L49" i="73"/>
  <c r="L50" i="73"/>
  <c r="DU9" i="20"/>
  <c r="K6" i="73"/>
  <c r="DU10" i="20"/>
  <c r="K7" i="73"/>
  <c r="DU11" i="20"/>
  <c r="K8" i="73"/>
  <c r="DU12" i="20"/>
  <c r="K9" i="73"/>
  <c r="DU13" i="20"/>
  <c r="K10" i="73"/>
  <c r="DU14" i="20"/>
  <c r="K11" i="73"/>
  <c r="DU15" i="20"/>
  <c r="K12" i="73"/>
  <c r="DU16" i="20"/>
  <c r="K13" i="73"/>
  <c r="DU17" i="20"/>
  <c r="K14" i="73"/>
  <c r="DU18" i="20"/>
  <c r="K15" i="73"/>
  <c r="DU19" i="20"/>
  <c r="K16" i="73"/>
  <c r="DU20" i="20"/>
  <c r="K17" i="73"/>
  <c r="DU21" i="20"/>
  <c r="K18" i="73"/>
  <c r="DU22" i="20"/>
  <c r="K19" i="73"/>
  <c r="DU23" i="20"/>
  <c r="K20" i="73"/>
  <c r="DU24" i="20"/>
  <c r="K21" i="73"/>
  <c r="DU25" i="20"/>
  <c r="K22" i="73"/>
  <c r="DU26" i="20"/>
  <c r="K23" i="73"/>
  <c r="DU27" i="20"/>
  <c r="K24" i="73"/>
  <c r="DU28" i="20"/>
  <c r="K25" i="73"/>
  <c r="DU29" i="20"/>
  <c r="K26" i="73"/>
  <c r="DU30" i="20"/>
  <c r="K27" i="73"/>
  <c r="DU31" i="20"/>
  <c r="K28" i="73"/>
  <c r="DU32" i="20"/>
  <c r="K29" i="73"/>
  <c r="DU33" i="20"/>
  <c r="K30" i="73"/>
  <c r="DU34" i="20"/>
  <c r="K31" i="73"/>
  <c r="DU35" i="20"/>
  <c r="K32" i="73"/>
  <c r="DU36" i="20"/>
  <c r="K33" i="73"/>
  <c r="DU37" i="20"/>
  <c r="K34" i="73"/>
  <c r="DU38" i="20"/>
  <c r="K35" i="73"/>
  <c r="DU39" i="20"/>
  <c r="K36" i="73"/>
  <c r="DU40" i="20"/>
  <c r="K37" i="73"/>
  <c r="DU41" i="20"/>
  <c r="K38" i="73"/>
  <c r="DU42" i="20"/>
  <c r="K39" i="73"/>
  <c r="DU43" i="20"/>
  <c r="K40" i="73"/>
  <c r="DU44" i="20"/>
  <c r="K41" i="73"/>
  <c r="DU45" i="20"/>
  <c r="K42" i="73"/>
  <c r="DU46" i="20"/>
  <c r="K43" i="73"/>
  <c r="DU47" i="20"/>
  <c r="K44" i="73"/>
  <c r="DU48" i="20"/>
  <c r="K45" i="73"/>
  <c r="DU49" i="20"/>
  <c r="K46" i="73"/>
  <c r="DU50" i="20"/>
  <c r="K47" i="73"/>
  <c r="DU51" i="20"/>
  <c r="K48" i="73"/>
  <c r="DU52" i="20"/>
  <c r="K49" i="73"/>
  <c r="K50" i="73"/>
  <c r="I50" i="73"/>
  <c r="N52" i="20"/>
  <c r="J49" i="73"/>
  <c r="G49" i="73"/>
  <c r="R52" i="20"/>
  <c r="F49" i="73"/>
  <c r="K52" i="20"/>
  <c r="E49" i="73"/>
  <c r="D49" i="73"/>
  <c r="E52" i="20"/>
  <c r="C49" i="73"/>
  <c r="D52" i="20"/>
  <c r="B49" i="73"/>
  <c r="C52" i="20"/>
  <c r="A49" i="73"/>
  <c r="N51" i="20"/>
  <c r="J48" i="73"/>
  <c r="O51" i="20"/>
  <c r="G48" i="73"/>
  <c r="R51" i="20"/>
  <c r="F48" i="73"/>
  <c r="K51" i="20"/>
  <c r="E48" i="73"/>
  <c r="D48" i="73"/>
  <c r="E51" i="20"/>
  <c r="C48" i="73"/>
  <c r="D51" i="20"/>
  <c r="B48" i="73"/>
  <c r="C51" i="20"/>
  <c r="A48" i="73"/>
  <c r="N50" i="20"/>
  <c r="J47" i="73"/>
  <c r="O50" i="20"/>
  <c r="G47" i="73"/>
  <c r="R50" i="20"/>
  <c r="F47" i="73"/>
  <c r="K50" i="20"/>
  <c r="E47" i="73"/>
  <c r="D47" i="73"/>
  <c r="C47" i="73"/>
  <c r="B47" i="73"/>
  <c r="A47" i="73"/>
  <c r="N49" i="20"/>
  <c r="J46" i="73"/>
  <c r="O49" i="20"/>
  <c r="G46" i="73"/>
  <c r="R49" i="20"/>
  <c r="F46" i="73"/>
  <c r="K49" i="20"/>
  <c r="E46" i="73"/>
  <c r="D46" i="73"/>
  <c r="C46" i="73"/>
  <c r="B46" i="73"/>
  <c r="A46" i="73"/>
  <c r="N48" i="20"/>
  <c r="J45" i="73"/>
  <c r="O48" i="20"/>
  <c r="G45" i="73"/>
  <c r="R48" i="20"/>
  <c r="F45" i="73"/>
  <c r="K48" i="20"/>
  <c r="E45" i="73"/>
  <c r="D45" i="73"/>
  <c r="C45" i="73"/>
  <c r="B45" i="73"/>
  <c r="A45" i="73"/>
  <c r="N47" i="20"/>
  <c r="J44" i="73"/>
  <c r="O47" i="20"/>
  <c r="G44" i="73"/>
  <c r="R47" i="20"/>
  <c r="F44" i="73"/>
  <c r="K47" i="20"/>
  <c r="E44" i="73"/>
  <c r="D44" i="73"/>
  <c r="C44" i="73"/>
  <c r="B44" i="73"/>
  <c r="A44" i="73"/>
  <c r="N46" i="20"/>
  <c r="J43" i="73"/>
  <c r="O46" i="20"/>
  <c r="G43" i="73"/>
  <c r="R46" i="20"/>
  <c r="F43" i="73"/>
  <c r="K46" i="20"/>
  <c r="E43" i="73"/>
  <c r="D43" i="73"/>
  <c r="C43" i="73"/>
  <c r="B43" i="73"/>
  <c r="A43" i="73"/>
  <c r="N45" i="20"/>
  <c r="J42" i="73"/>
  <c r="O45" i="20"/>
  <c r="G42" i="73"/>
  <c r="R45" i="20"/>
  <c r="F42" i="73"/>
  <c r="K45" i="20"/>
  <c r="E42" i="73"/>
  <c r="D42" i="73"/>
  <c r="C42" i="73"/>
  <c r="B42" i="73"/>
  <c r="A42" i="73"/>
  <c r="N44" i="20"/>
  <c r="J41" i="73"/>
  <c r="O44" i="20"/>
  <c r="G41" i="73"/>
  <c r="R44" i="20"/>
  <c r="F41" i="73"/>
  <c r="K44" i="20"/>
  <c r="E41" i="73"/>
  <c r="D41" i="73"/>
  <c r="C41" i="73"/>
  <c r="B41" i="73"/>
  <c r="A41" i="73"/>
  <c r="N43" i="20"/>
  <c r="J40" i="73"/>
  <c r="O43" i="20"/>
  <c r="G40" i="73"/>
  <c r="R43" i="20"/>
  <c r="F40" i="73"/>
  <c r="K43" i="20"/>
  <c r="E40" i="73"/>
  <c r="D40" i="73"/>
  <c r="C40" i="73"/>
  <c r="B40" i="73"/>
  <c r="A40" i="73"/>
  <c r="N42" i="20"/>
  <c r="J39" i="73"/>
  <c r="O42" i="20"/>
  <c r="G39" i="73"/>
  <c r="R42" i="20"/>
  <c r="F39" i="73"/>
  <c r="K42" i="20"/>
  <c r="E39" i="73"/>
  <c r="D39" i="73"/>
  <c r="C39" i="73"/>
  <c r="B39" i="73"/>
  <c r="A39" i="73"/>
  <c r="N41" i="20"/>
  <c r="J38" i="73"/>
  <c r="O41" i="20"/>
  <c r="G38" i="73"/>
  <c r="R41" i="20"/>
  <c r="F38" i="73"/>
  <c r="K41" i="20"/>
  <c r="E38" i="73"/>
  <c r="D38" i="73"/>
  <c r="C38" i="73"/>
  <c r="B38" i="73"/>
  <c r="A38" i="73"/>
  <c r="N40" i="20"/>
  <c r="J37" i="73"/>
  <c r="O40" i="20"/>
  <c r="G37" i="73"/>
  <c r="R40" i="20"/>
  <c r="F37" i="73"/>
  <c r="K40" i="20"/>
  <c r="E37" i="73"/>
  <c r="D37" i="73"/>
  <c r="C37" i="73"/>
  <c r="B37" i="73"/>
  <c r="A37" i="73"/>
  <c r="N39" i="20"/>
  <c r="J36" i="73"/>
  <c r="O39" i="20"/>
  <c r="G36" i="73"/>
  <c r="R39" i="20"/>
  <c r="F36" i="73"/>
  <c r="K39" i="20"/>
  <c r="E36" i="73"/>
  <c r="D36" i="73"/>
  <c r="C36" i="73"/>
  <c r="B36" i="73"/>
  <c r="A36" i="73"/>
  <c r="N38" i="20"/>
  <c r="J35" i="73"/>
  <c r="O38" i="20"/>
  <c r="G35" i="73"/>
  <c r="R38" i="20"/>
  <c r="F35" i="73"/>
  <c r="K38" i="20"/>
  <c r="E35" i="73"/>
  <c r="D35" i="73"/>
  <c r="C35" i="73"/>
  <c r="B35" i="73"/>
  <c r="A35" i="73"/>
  <c r="N37" i="20"/>
  <c r="J34" i="73"/>
  <c r="O37" i="20"/>
  <c r="G34" i="73"/>
  <c r="R37" i="20"/>
  <c r="F34" i="73"/>
  <c r="K37" i="20"/>
  <c r="E34" i="73"/>
  <c r="D34" i="73"/>
  <c r="C34" i="73"/>
  <c r="B34" i="73"/>
  <c r="A34" i="73"/>
  <c r="N36" i="20"/>
  <c r="J33" i="73"/>
  <c r="O36" i="20"/>
  <c r="G33" i="73"/>
  <c r="R36" i="20"/>
  <c r="F33" i="73"/>
  <c r="K36" i="20"/>
  <c r="E33" i="73"/>
  <c r="D33" i="73"/>
  <c r="C33" i="73"/>
  <c r="B33" i="73"/>
  <c r="A33" i="73"/>
  <c r="N35" i="20"/>
  <c r="J32" i="73"/>
  <c r="O35" i="20"/>
  <c r="G32" i="73"/>
  <c r="R35" i="20"/>
  <c r="F32" i="73"/>
  <c r="K35" i="20"/>
  <c r="E32" i="73"/>
  <c r="D32" i="73"/>
  <c r="C32" i="73"/>
  <c r="B32" i="73"/>
  <c r="A32" i="73"/>
  <c r="N34" i="20"/>
  <c r="J31" i="73"/>
  <c r="O34" i="20"/>
  <c r="G31" i="73"/>
  <c r="R34" i="20"/>
  <c r="F31" i="73"/>
  <c r="K34" i="20"/>
  <c r="E31" i="73"/>
  <c r="D31" i="73"/>
  <c r="C31" i="73"/>
  <c r="B31" i="73"/>
  <c r="A31" i="73"/>
  <c r="N33" i="20"/>
  <c r="J30" i="73"/>
  <c r="O33" i="20"/>
  <c r="G30" i="73"/>
  <c r="R33" i="20"/>
  <c r="F30" i="73"/>
  <c r="K33" i="20"/>
  <c r="E30" i="73"/>
  <c r="D30" i="73"/>
  <c r="C30" i="73"/>
  <c r="B30" i="73"/>
  <c r="A30" i="73"/>
  <c r="N32" i="20"/>
  <c r="J29" i="73"/>
  <c r="O32" i="20"/>
  <c r="G29" i="73"/>
  <c r="R32" i="20"/>
  <c r="F29" i="73"/>
  <c r="K32" i="20"/>
  <c r="E29" i="73"/>
  <c r="D29" i="73"/>
  <c r="C29" i="73"/>
  <c r="B29" i="73"/>
  <c r="A29" i="73"/>
  <c r="N31" i="20"/>
  <c r="J28" i="73"/>
  <c r="O31" i="20"/>
  <c r="G28" i="73"/>
  <c r="R31" i="20"/>
  <c r="F28" i="73"/>
  <c r="K31" i="20"/>
  <c r="E28" i="73"/>
  <c r="D28" i="73"/>
  <c r="C28" i="73"/>
  <c r="B28" i="73"/>
  <c r="A28" i="73"/>
  <c r="N30" i="20"/>
  <c r="J27" i="73"/>
  <c r="O30" i="20"/>
  <c r="G27" i="73"/>
  <c r="R30" i="20"/>
  <c r="F27" i="73"/>
  <c r="K30" i="20"/>
  <c r="E27" i="73"/>
  <c r="D27" i="73"/>
  <c r="C27" i="73"/>
  <c r="B27" i="73"/>
  <c r="A27" i="73"/>
  <c r="N29" i="20"/>
  <c r="J26" i="73"/>
  <c r="O29" i="20"/>
  <c r="G26" i="73"/>
  <c r="R29" i="20"/>
  <c r="F26" i="73"/>
  <c r="K29" i="20"/>
  <c r="E26" i="73"/>
  <c r="D26" i="73"/>
  <c r="C26" i="73"/>
  <c r="B26" i="73"/>
  <c r="A26" i="73"/>
  <c r="N28" i="20"/>
  <c r="J25" i="73"/>
  <c r="O28" i="20"/>
  <c r="G25" i="73"/>
  <c r="R28" i="20"/>
  <c r="F25" i="73"/>
  <c r="K28" i="20"/>
  <c r="E25" i="73"/>
  <c r="D25" i="73"/>
  <c r="C25" i="73"/>
  <c r="B25" i="73"/>
  <c r="A25" i="73"/>
  <c r="N27" i="20"/>
  <c r="J24" i="73"/>
  <c r="O27" i="20"/>
  <c r="G24" i="73"/>
  <c r="R27" i="20"/>
  <c r="F24" i="73"/>
  <c r="K27" i="20"/>
  <c r="E24" i="73"/>
  <c r="D24" i="73"/>
  <c r="C24" i="73"/>
  <c r="B24" i="73"/>
  <c r="A24" i="73"/>
  <c r="M26" i="20"/>
  <c r="N26" i="20"/>
  <c r="J23" i="73"/>
  <c r="O26" i="20"/>
  <c r="G23" i="73"/>
  <c r="R26" i="20"/>
  <c r="F23" i="73"/>
  <c r="K26" i="20"/>
  <c r="E23" i="73"/>
  <c r="D23" i="73"/>
  <c r="C23" i="73"/>
  <c r="B23" i="73"/>
  <c r="A23" i="73"/>
  <c r="M25" i="20"/>
  <c r="N25" i="20"/>
  <c r="J22" i="73"/>
  <c r="O25" i="20"/>
  <c r="G22" i="73"/>
  <c r="R25" i="20"/>
  <c r="F22" i="73"/>
  <c r="K25" i="20"/>
  <c r="E22" i="73"/>
  <c r="D22" i="73"/>
  <c r="C22" i="73"/>
  <c r="B22" i="73"/>
  <c r="A22" i="73"/>
  <c r="M24" i="20"/>
  <c r="N24" i="20"/>
  <c r="J21" i="73"/>
  <c r="O24" i="20"/>
  <c r="G21" i="73"/>
  <c r="R24" i="20"/>
  <c r="F21" i="73"/>
  <c r="K24" i="20"/>
  <c r="E21" i="73"/>
  <c r="D21" i="73"/>
  <c r="C21" i="73"/>
  <c r="B21" i="73"/>
  <c r="A21" i="73"/>
  <c r="M23" i="20"/>
  <c r="N23" i="20"/>
  <c r="J20" i="73"/>
  <c r="O23" i="20"/>
  <c r="G20" i="73"/>
  <c r="R23" i="20"/>
  <c r="F20" i="73"/>
  <c r="K23" i="20"/>
  <c r="E20" i="73"/>
  <c r="D20" i="73"/>
  <c r="C20" i="73"/>
  <c r="B20" i="73"/>
  <c r="A20" i="73"/>
  <c r="M22" i="20"/>
  <c r="N22" i="20"/>
  <c r="J19" i="73"/>
  <c r="O22" i="20"/>
  <c r="G19" i="73"/>
  <c r="R22" i="20"/>
  <c r="F19" i="73"/>
  <c r="K22" i="20"/>
  <c r="E19" i="73"/>
  <c r="D19" i="73"/>
  <c r="C19" i="73"/>
  <c r="B19" i="73"/>
  <c r="A19" i="73"/>
  <c r="M21" i="20"/>
  <c r="N21" i="20"/>
  <c r="J18" i="73"/>
  <c r="O21" i="20"/>
  <c r="G18" i="73"/>
  <c r="R21" i="20"/>
  <c r="F18" i="73"/>
  <c r="K21" i="20"/>
  <c r="E18" i="73"/>
  <c r="D18" i="73"/>
  <c r="C18" i="73"/>
  <c r="B18" i="73"/>
  <c r="A18" i="73"/>
  <c r="M20" i="20"/>
  <c r="N20" i="20"/>
  <c r="J17" i="73"/>
  <c r="O20" i="20"/>
  <c r="G17" i="73"/>
  <c r="R20" i="20"/>
  <c r="F17" i="73"/>
  <c r="K20" i="20"/>
  <c r="E17" i="73"/>
  <c r="D17" i="73"/>
  <c r="C17" i="73"/>
  <c r="B17" i="73"/>
  <c r="A17" i="73"/>
  <c r="M19" i="20"/>
  <c r="N19" i="20"/>
  <c r="J16" i="73"/>
  <c r="O19" i="20"/>
  <c r="G16" i="73"/>
  <c r="R19" i="20"/>
  <c r="F16" i="73"/>
  <c r="K19" i="20"/>
  <c r="E16" i="73"/>
  <c r="D16" i="73"/>
  <c r="C16" i="73"/>
  <c r="B16" i="73"/>
  <c r="A16" i="73"/>
  <c r="M18" i="20"/>
  <c r="N18" i="20"/>
  <c r="J15" i="73"/>
  <c r="O18" i="20"/>
  <c r="G15" i="73"/>
  <c r="R18" i="20"/>
  <c r="F15" i="73"/>
  <c r="K18" i="20"/>
  <c r="E15" i="73"/>
  <c r="D15" i="73"/>
  <c r="C15" i="73"/>
  <c r="B15" i="73"/>
  <c r="A15" i="73"/>
  <c r="M17" i="20"/>
  <c r="N17" i="20"/>
  <c r="J14" i="73"/>
  <c r="O17" i="20"/>
  <c r="G14" i="73"/>
  <c r="R17" i="20"/>
  <c r="F14" i="73"/>
  <c r="K17" i="20"/>
  <c r="E14" i="73"/>
  <c r="D14" i="73"/>
  <c r="C14" i="73"/>
  <c r="B14" i="73"/>
  <c r="A14" i="73"/>
  <c r="M16" i="20"/>
  <c r="N16" i="20"/>
  <c r="J13" i="73"/>
  <c r="O16" i="20"/>
  <c r="G13" i="73"/>
  <c r="R16" i="20"/>
  <c r="F13" i="73"/>
  <c r="K16" i="20"/>
  <c r="E13" i="73"/>
  <c r="D13" i="73"/>
  <c r="C13" i="73"/>
  <c r="B13" i="73"/>
  <c r="A13" i="73"/>
  <c r="M15" i="20"/>
  <c r="N15" i="20"/>
  <c r="J12" i="73"/>
  <c r="O15" i="20"/>
  <c r="G12" i="73"/>
  <c r="R15" i="20"/>
  <c r="F12" i="73"/>
  <c r="K15" i="20"/>
  <c r="E12" i="73"/>
  <c r="D12" i="73"/>
  <c r="C12" i="73"/>
  <c r="B12" i="73"/>
  <c r="A12" i="73"/>
  <c r="M14" i="20"/>
  <c r="N14" i="20"/>
  <c r="J11" i="73"/>
  <c r="O14" i="20"/>
  <c r="G11" i="73"/>
  <c r="R14" i="20"/>
  <c r="F11" i="73"/>
  <c r="K14" i="20"/>
  <c r="E11" i="73"/>
  <c r="D11" i="73"/>
  <c r="C11" i="73"/>
  <c r="B11" i="73"/>
  <c r="A11" i="73"/>
  <c r="M13" i="20"/>
  <c r="N13" i="20"/>
  <c r="J10" i="73"/>
  <c r="O13" i="20"/>
  <c r="G10" i="73"/>
  <c r="R13" i="20"/>
  <c r="F10" i="73"/>
  <c r="K13" i="20"/>
  <c r="E10" i="73"/>
  <c r="D10" i="73"/>
  <c r="C10" i="73"/>
  <c r="B10" i="73"/>
  <c r="A10" i="73"/>
  <c r="M12" i="20"/>
  <c r="N12" i="20"/>
  <c r="J9" i="73"/>
  <c r="O12" i="20"/>
  <c r="G9" i="73"/>
  <c r="R12" i="20"/>
  <c r="F9" i="73"/>
  <c r="K12" i="20"/>
  <c r="E9" i="73"/>
  <c r="D9" i="73"/>
  <c r="C9" i="73"/>
  <c r="B9" i="73"/>
  <c r="A9" i="73"/>
  <c r="M11" i="20"/>
  <c r="N11" i="20"/>
  <c r="J8" i="73"/>
  <c r="O11" i="20"/>
  <c r="G8" i="73"/>
  <c r="R11" i="20"/>
  <c r="F8" i="73"/>
  <c r="K11" i="20"/>
  <c r="E8" i="73"/>
  <c r="D8" i="73"/>
  <c r="C8" i="73"/>
  <c r="B8" i="73"/>
  <c r="A8" i="73"/>
  <c r="M10" i="20"/>
  <c r="N10" i="20"/>
  <c r="J7" i="73"/>
  <c r="O10" i="20"/>
  <c r="G7" i="73"/>
  <c r="R10" i="20"/>
  <c r="F7" i="73"/>
  <c r="K10" i="20"/>
  <c r="E7" i="73"/>
  <c r="D7" i="73"/>
  <c r="C7" i="73"/>
  <c r="B7" i="73"/>
  <c r="A7" i="73"/>
  <c r="M9" i="20"/>
  <c r="N9" i="20"/>
  <c r="J6" i="73"/>
  <c r="O9" i="20"/>
  <c r="G6" i="73"/>
  <c r="R9" i="20"/>
  <c r="F6" i="73"/>
  <c r="K9" i="20"/>
  <c r="E6" i="73"/>
  <c r="D6" i="73"/>
  <c r="C6" i="73"/>
  <c r="B6" i="73"/>
  <c r="A6" i="73"/>
  <c r="B1" i="73"/>
  <c r="M53" i="80"/>
  <c r="L53" i="80"/>
  <c r="K53" i="80"/>
  <c r="J53" i="80"/>
  <c r="I53" i="80"/>
  <c r="H53" i="80"/>
  <c r="G53" i="80"/>
  <c r="F53" i="80"/>
  <c r="E53" i="80"/>
  <c r="D53" i="80"/>
  <c r="M52" i="80"/>
  <c r="L52" i="80"/>
  <c r="K52" i="80"/>
  <c r="J52" i="80"/>
  <c r="I52" i="80"/>
  <c r="H52" i="80"/>
  <c r="G52" i="80"/>
  <c r="F52" i="80"/>
  <c r="E52" i="80"/>
  <c r="D52" i="80"/>
  <c r="M51" i="80"/>
  <c r="L51" i="80"/>
  <c r="K51" i="80"/>
  <c r="J51" i="80"/>
  <c r="I51" i="80"/>
  <c r="H51" i="80"/>
  <c r="G51" i="80"/>
  <c r="F51" i="80"/>
  <c r="E51" i="80"/>
  <c r="D51" i="80"/>
  <c r="M50" i="80"/>
  <c r="L50" i="80"/>
  <c r="K50" i="80"/>
  <c r="J50" i="80"/>
  <c r="I50" i="80"/>
  <c r="H50" i="80"/>
  <c r="G50" i="80"/>
  <c r="F50" i="80"/>
  <c r="E50" i="80"/>
  <c r="D50" i="80"/>
  <c r="M49" i="80"/>
  <c r="L49" i="80"/>
  <c r="K49" i="80"/>
  <c r="J49" i="80"/>
  <c r="I49" i="80"/>
  <c r="H49" i="80"/>
  <c r="G49" i="80"/>
  <c r="F49" i="80"/>
  <c r="E49" i="80"/>
  <c r="D49" i="80"/>
  <c r="M48" i="80"/>
  <c r="L48" i="80"/>
  <c r="K48" i="80"/>
  <c r="J48" i="80"/>
  <c r="I48" i="80"/>
  <c r="H48" i="80"/>
  <c r="G48" i="80"/>
  <c r="F48" i="80"/>
  <c r="E48" i="80"/>
  <c r="D48" i="80"/>
  <c r="M47" i="80"/>
  <c r="L47" i="80"/>
  <c r="K47" i="80"/>
  <c r="J47" i="80"/>
  <c r="I47" i="80"/>
  <c r="H47" i="80"/>
  <c r="G47" i="80"/>
  <c r="F47" i="80"/>
  <c r="E47" i="80"/>
  <c r="D47" i="80"/>
  <c r="M46" i="80"/>
  <c r="L46" i="80"/>
  <c r="K46" i="80"/>
  <c r="J46" i="80"/>
  <c r="I46" i="80"/>
  <c r="H46" i="80"/>
  <c r="G46" i="80"/>
  <c r="F46" i="80"/>
  <c r="E46" i="80"/>
  <c r="D46" i="80"/>
  <c r="M45" i="80"/>
  <c r="L45" i="80"/>
  <c r="K45" i="80"/>
  <c r="J45" i="80"/>
  <c r="I45" i="80"/>
  <c r="H45" i="80"/>
  <c r="G45" i="80"/>
  <c r="F45" i="80"/>
  <c r="E45" i="80"/>
  <c r="D45" i="80"/>
  <c r="M44" i="80"/>
  <c r="L44" i="80"/>
  <c r="K44" i="80"/>
  <c r="J44" i="80"/>
  <c r="I44" i="80"/>
  <c r="H44" i="80"/>
  <c r="G44" i="80"/>
  <c r="F44" i="80"/>
  <c r="E44" i="80"/>
  <c r="D44" i="80"/>
  <c r="M43" i="80"/>
  <c r="L43" i="80"/>
  <c r="K43" i="80"/>
  <c r="J43" i="80"/>
  <c r="I43" i="80"/>
  <c r="H43" i="80"/>
  <c r="G43" i="80"/>
  <c r="F43" i="80"/>
  <c r="E43" i="80"/>
  <c r="D43" i="80"/>
  <c r="M42" i="80"/>
  <c r="L42" i="80"/>
  <c r="K42" i="80"/>
  <c r="J42" i="80"/>
  <c r="I42" i="80"/>
  <c r="H42" i="80"/>
  <c r="G42" i="80"/>
  <c r="F42" i="80"/>
  <c r="E42" i="80"/>
  <c r="D42" i="80"/>
  <c r="M41" i="80"/>
  <c r="L41" i="80"/>
  <c r="K41" i="80"/>
  <c r="J41" i="80"/>
  <c r="I41" i="80"/>
  <c r="H41" i="80"/>
  <c r="G41" i="80"/>
  <c r="F41" i="80"/>
  <c r="E41" i="80"/>
  <c r="D41" i="80"/>
  <c r="M40" i="80"/>
  <c r="L40" i="80"/>
  <c r="K40" i="80"/>
  <c r="J40" i="80"/>
  <c r="I40" i="80"/>
  <c r="H40" i="80"/>
  <c r="G40" i="80"/>
  <c r="F40" i="80"/>
  <c r="E40" i="80"/>
  <c r="D40" i="80"/>
  <c r="M39" i="80"/>
  <c r="L39" i="80"/>
  <c r="K39" i="80"/>
  <c r="J39" i="80"/>
  <c r="I39" i="80"/>
  <c r="H39" i="80"/>
  <c r="G39" i="80"/>
  <c r="F39" i="80"/>
  <c r="E39" i="80"/>
  <c r="D39" i="80"/>
  <c r="M38" i="80"/>
  <c r="L38" i="80"/>
  <c r="K38" i="80"/>
  <c r="J38" i="80"/>
  <c r="I38" i="80"/>
  <c r="H38" i="80"/>
  <c r="G38" i="80"/>
  <c r="F38" i="80"/>
  <c r="E38" i="80"/>
  <c r="D38" i="80"/>
  <c r="M37" i="80"/>
  <c r="L37" i="80"/>
  <c r="K37" i="80"/>
  <c r="J37" i="80"/>
  <c r="I37" i="80"/>
  <c r="H37" i="80"/>
  <c r="G37" i="80"/>
  <c r="F37" i="80"/>
  <c r="E37" i="80"/>
  <c r="D37" i="80"/>
  <c r="M36" i="80"/>
  <c r="L36" i="80"/>
  <c r="K36" i="80"/>
  <c r="J36" i="80"/>
  <c r="I36" i="80"/>
  <c r="H36" i="80"/>
  <c r="G36" i="80"/>
  <c r="F36" i="80"/>
  <c r="E36" i="80"/>
  <c r="D36" i="80"/>
  <c r="M35" i="80"/>
  <c r="L35" i="80"/>
  <c r="K35" i="80"/>
  <c r="J35" i="80"/>
  <c r="I35" i="80"/>
  <c r="H35" i="80"/>
  <c r="G35" i="80"/>
  <c r="F35" i="80"/>
  <c r="E35" i="80"/>
  <c r="D35" i="80"/>
  <c r="M34" i="80"/>
  <c r="L34" i="80"/>
  <c r="K34" i="80"/>
  <c r="J34" i="80"/>
  <c r="I34" i="80"/>
  <c r="H34" i="80"/>
  <c r="G34" i="80"/>
  <c r="F34" i="80"/>
  <c r="E34" i="80"/>
  <c r="D34" i="80"/>
  <c r="M33" i="80"/>
  <c r="L33" i="80"/>
  <c r="K33" i="80"/>
  <c r="J33" i="80"/>
  <c r="I33" i="80"/>
  <c r="H33" i="80"/>
  <c r="G33" i="80"/>
  <c r="F33" i="80"/>
  <c r="E33" i="80"/>
  <c r="D33" i="80"/>
  <c r="M32" i="80"/>
  <c r="L32" i="80"/>
  <c r="K32" i="80"/>
  <c r="J32" i="80"/>
  <c r="I32" i="80"/>
  <c r="H32" i="80"/>
  <c r="G32" i="80"/>
  <c r="F32" i="80"/>
  <c r="E32" i="80"/>
  <c r="D32" i="80"/>
  <c r="M31" i="80"/>
  <c r="L31" i="80"/>
  <c r="K31" i="80"/>
  <c r="J31" i="80"/>
  <c r="I31" i="80"/>
  <c r="H31" i="80"/>
  <c r="G31" i="80"/>
  <c r="F31" i="80"/>
  <c r="E31" i="80"/>
  <c r="D31" i="80"/>
  <c r="M30" i="80"/>
  <c r="L30" i="80"/>
  <c r="K30" i="80"/>
  <c r="J30" i="80"/>
  <c r="I30" i="80"/>
  <c r="H30" i="80"/>
  <c r="G30" i="80"/>
  <c r="F30" i="80"/>
  <c r="E30" i="80"/>
  <c r="D30" i="80"/>
  <c r="M29" i="80"/>
  <c r="L29" i="80"/>
  <c r="K29" i="80"/>
  <c r="J29" i="80"/>
  <c r="I29" i="80"/>
  <c r="H29" i="80"/>
  <c r="G29" i="80"/>
  <c r="F29" i="80"/>
  <c r="E29" i="80"/>
  <c r="D29" i="80"/>
  <c r="M28" i="80"/>
  <c r="L28" i="80"/>
  <c r="K28" i="80"/>
  <c r="J28" i="80"/>
  <c r="I28" i="80"/>
  <c r="H28" i="80"/>
  <c r="G28" i="80"/>
  <c r="F28" i="80"/>
  <c r="E28" i="80"/>
  <c r="D28" i="80"/>
  <c r="M27" i="80"/>
  <c r="L27" i="80"/>
  <c r="K27" i="80"/>
  <c r="J27" i="80"/>
  <c r="I27" i="80"/>
  <c r="H27" i="80"/>
  <c r="G27" i="80"/>
  <c r="F27" i="80"/>
  <c r="E27" i="80"/>
  <c r="D27" i="80"/>
  <c r="M26" i="80"/>
  <c r="L26" i="80"/>
  <c r="K26" i="80"/>
  <c r="J26" i="80"/>
  <c r="I26" i="80"/>
  <c r="H26" i="80"/>
  <c r="G26" i="80"/>
  <c r="F26" i="80"/>
  <c r="E26" i="80"/>
  <c r="D26" i="80"/>
  <c r="M25" i="80"/>
  <c r="L25" i="80"/>
  <c r="K25" i="80"/>
  <c r="J25" i="80"/>
  <c r="I25" i="80"/>
  <c r="H25" i="80"/>
  <c r="G25" i="80"/>
  <c r="F25" i="80"/>
  <c r="E25" i="80"/>
  <c r="D25" i="80"/>
  <c r="M24" i="80"/>
  <c r="L24" i="80"/>
  <c r="K24" i="80"/>
  <c r="J24" i="80"/>
  <c r="I24" i="80"/>
  <c r="H24" i="80"/>
  <c r="G24" i="80"/>
  <c r="F24" i="80"/>
  <c r="E24" i="80"/>
  <c r="D24" i="80"/>
  <c r="M23" i="80"/>
  <c r="L23" i="80"/>
  <c r="K23" i="80"/>
  <c r="J23" i="80"/>
  <c r="I23" i="80"/>
  <c r="H23" i="80"/>
  <c r="G23" i="80"/>
  <c r="F23" i="80"/>
  <c r="E23" i="80"/>
  <c r="D23" i="80"/>
  <c r="M22" i="80"/>
  <c r="L22" i="80"/>
  <c r="K22" i="80"/>
  <c r="J22" i="80"/>
  <c r="I22" i="80"/>
  <c r="H22" i="80"/>
  <c r="G22" i="80"/>
  <c r="F22" i="80"/>
  <c r="E22" i="80"/>
  <c r="D22" i="80"/>
  <c r="M21" i="80"/>
  <c r="L21" i="80"/>
  <c r="K21" i="80"/>
  <c r="J21" i="80"/>
  <c r="I21" i="80"/>
  <c r="H21" i="80"/>
  <c r="G21" i="80"/>
  <c r="F21" i="80"/>
  <c r="E21" i="80"/>
  <c r="D21" i="80"/>
  <c r="M20" i="80"/>
  <c r="L20" i="80"/>
  <c r="K20" i="80"/>
  <c r="J20" i="80"/>
  <c r="I20" i="80"/>
  <c r="H20" i="80"/>
  <c r="G20" i="80"/>
  <c r="F20" i="80"/>
  <c r="E20" i="80"/>
  <c r="D20" i="80"/>
  <c r="M19" i="80"/>
  <c r="L19" i="80"/>
  <c r="K19" i="80"/>
  <c r="J19" i="80"/>
  <c r="I19" i="80"/>
  <c r="H19" i="80"/>
  <c r="G19" i="80"/>
  <c r="F19" i="80"/>
  <c r="E19" i="80"/>
  <c r="D19" i="80"/>
  <c r="M18" i="80"/>
  <c r="L18" i="80"/>
  <c r="K18" i="80"/>
  <c r="J18" i="80"/>
  <c r="I18" i="80"/>
  <c r="H18" i="80"/>
  <c r="G18" i="80"/>
  <c r="F18" i="80"/>
  <c r="E18" i="80"/>
  <c r="D18" i="80"/>
  <c r="M17" i="80"/>
  <c r="L17" i="80"/>
  <c r="K17" i="80"/>
  <c r="J17" i="80"/>
  <c r="I17" i="80"/>
  <c r="H17" i="80"/>
  <c r="G17" i="80"/>
  <c r="F17" i="80"/>
  <c r="E17" i="80"/>
  <c r="D17" i="80"/>
  <c r="M16" i="80"/>
  <c r="L16" i="80"/>
  <c r="K16" i="80"/>
  <c r="J16" i="80"/>
  <c r="I16" i="80"/>
  <c r="H16" i="80"/>
  <c r="G16" i="80"/>
  <c r="F16" i="80"/>
  <c r="E16" i="80"/>
  <c r="D16" i="80"/>
  <c r="M15" i="80"/>
  <c r="L15" i="80"/>
  <c r="K15" i="80"/>
  <c r="J15" i="80"/>
  <c r="I15" i="80"/>
  <c r="H15" i="80"/>
  <c r="G15" i="80"/>
  <c r="F15" i="80"/>
  <c r="E15" i="80"/>
  <c r="D15" i="80"/>
  <c r="M14" i="80"/>
  <c r="L14" i="80"/>
  <c r="K14" i="80"/>
  <c r="J14" i="80"/>
  <c r="I14" i="80"/>
  <c r="H14" i="80"/>
  <c r="G14" i="80"/>
  <c r="F14" i="80"/>
  <c r="E14" i="80"/>
  <c r="D14" i="80"/>
  <c r="M13" i="80"/>
  <c r="L13" i="80"/>
  <c r="K13" i="80"/>
  <c r="J13" i="80"/>
  <c r="I13" i="80"/>
  <c r="H13" i="80"/>
  <c r="G13" i="80"/>
  <c r="F13" i="80"/>
  <c r="E13" i="80"/>
  <c r="D13" i="80"/>
  <c r="M12" i="80"/>
  <c r="L12" i="80"/>
  <c r="K12" i="80"/>
  <c r="J12" i="80"/>
  <c r="I12" i="80"/>
  <c r="H12" i="80"/>
  <c r="G12" i="80"/>
  <c r="F12" i="80"/>
  <c r="E12" i="80"/>
  <c r="D12" i="80"/>
  <c r="M11" i="80"/>
  <c r="L11" i="80"/>
  <c r="K11" i="80"/>
  <c r="J11" i="80"/>
  <c r="I11" i="80"/>
  <c r="H11" i="80"/>
  <c r="G11" i="80"/>
  <c r="F11" i="80"/>
  <c r="E11" i="80"/>
  <c r="D11" i="80"/>
  <c r="M10" i="80"/>
  <c r="L10" i="80"/>
  <c r="K10" i="80"/>
  <c r="J10" i="80"/>
  <c r="I10" i="80"/>
  <c r="H10" i="80"/>
  <c r="G10" i="80"/>
  <c r="F10" i="80"/>
  <c r="E10" i="80"/>
  <c r="D10" i="80"/>
  <c r="M9" i="80"/>
  <c r="L9" i="80"/>
  <c r="K9" i="80"/>
  <c r="J9" i="80"/>
  <c r="I9" i="80"/>
  <c r="H9" i="80"/>
  <c r="G9" i="80"/>
  <c r="F9" i="80"/>
  <c r="E9" i="80"/>
  <c r="D9" i="80"/>
  <c r="M8" i="80"/>
  <c r="L8" i="80"/>
  <c r="K8" i="80"/>
  <c r="J8" i="80"/>
  <c r="I8" i="80"/>
  <c r="H8" i="80"/>
  <c r="G8" i="80"/>
  <c r="F8" i="80"/>
  <c r="E8" i="80"/>
  <c r="D8" i="80"/>
  <c r="M7" i="80"/>
  <c r="L7" i="80"/>
  <c r="K7" i="80"/>
  <c r="J7" i="80"/>
  <c r="I7" i="80"/>
  <c r="H7" i="80"/>
  <c r="G7" i="80"/>
  <c r="F7" i="80"/>
  <c r="E7" i="80"/>
  <c r="D7" i="80"/>
  <c r="M6" i="80"/>
  <c r="L6" i="80"/>
  <c r="K6" i="80"/>
  <c r="J6" i="80"/>
  <c r="I6" i="80"/>
  <c r="H6" i="80"/>
  <c r="G6" i="80"/>
  <c r="F6" i="80"/>
  <c r="E6" i="80"/>
  <c r="D6" i="80"/>
  <c r="A9" i="20"/>
  <c r="A10" i="20"/>
  <c r="A11" i="20"/>
  <c r="A12" i="20"/>
  <c r="A13" i="20"/>
  <c r="A14" i="20"/>
  <c r="A15" i="20"/>
  <c r="A16" i="20"/>
  <c r="A17" i="20"/>
  <c r="A18" i="20"/>
  <c r="A12" i="56"/>
  <c r="A53" i="56"/>
  <c r="I42" i="56"/>
  <c r="G3" i="56"/>
  <c r="G4" i="56"/>
  <c r="G5" i="56"/>
  <c r="G6" i="56"/>
  <c r="G7" i="56"/>
  <c r="G8" i="56"/>
  <c r="G9" i="56"/>
  <c r="G10" i="56"/>
  <c r="G11" i="56"/>
  <c r="G12" i="56"/>
  <c r="G13" i="56"/>
  <c r="G14" i="56"/>
  <c r="G15" i="56"/>
  <c r="G16" i="56"/>
  <c r="G17" i="56"/>
  <c r="G18" i="56"/>
  <c r="G19" i="56"/>
  <c r="G20" i="56"/>
  <c r="G21" i="56"/>
  <c r="G22" i="56"/>
  <c r="G23" i="56"/>
  <c r="G24" i="56"/>
  <c r="G25" i="56"/>
  <c r="G26" i="56"/>
  <c r="G27" i="56"/>
  <c r="G28" i="56"/>
  <c r="G29" i="56"/>
  <c r="G30" i="56"/>
  <c r="G31" i="56"/>
  <c r="G32" i="56"/>
  <c r="G33" i="56"/>
  <c r="G34" i="56"/>
  <c r="G35" i="56"/>
  <c r="G36" i="56"/>
  <c r="G37" i="56"/>
  <c r="G38" i="56"/>
  <c r="G39" i="56"/>
  <c r="U9" i="20"/>
  <c r="BK9" i="20"/>
  <c r="I3" i="56"/>
  <c r="BK10" i="20"/>
  <c r="I4" i="56"/>
  <c r="BK11" i="20"/>
  <c r="I5" i="56"/>
  <c r="U12" i="20"/>
  <c r="BK12" i="20"/>
  <c r="I6" i="56"/>
  <c r="U13" i="20"/>
  <c r="BK13" i="20"/>
  <c r="I7" i="56"/>
  <c r="U14" i="20"/>
  <c r="BK14" i="20"/>
  <c r="I8" i="56"/>
  <c r="U15" i="20"/>
  <c r="BK15" i="20"/>
  <c r="I9" i="56"/>
  <c r="BK16" i="20"/>
  <c r="I10" i="56"/>
  <c r="U17" i="20"/>
  <c r="BK17" i="20"/>
  <c r="I11" i="56"/>
  <c r="BK18" i="20"/>
  <c r="I12" i="56"/>
  <c r="BK19" i="20"/>
  <c r="I13" i="56"/>
  <c r="U20" i="20"/>
  <c r="BK20" i="20"/>
  <c r="I14" i="56"/>
  <c r="BK21" i="20"/>
  <c r="I15" i="56"/>
  <c r="U22" i="20"/>
  <c r="BK22" i="20"/>
  <c r="I16" i="56"/>
  <c r="U23" i="20"/>
  <c r="BK23" i="20"/>
  <c r="I17" i="56"/>
  <c r="U24" i="20"/>
  <c r="BK24" i="20"/>
  <c r="I18" i="56"/>
  <c r="U25" i="20"/>
  <c r="BK25" i="20"/>
  <c r="I19" i="56"/>
  <c r="U26" i="20"/>
  <c r="BK26" i="20"/>
  <c r="I20" i="56"/>
  <c r="BK27" i="20"/>
  <c r="I21" i="56"/>
  <c r="BK28" i="20"/>
  <c r="I22" i="56"/>
  <c r="BK29" i="20"/>
  <c r="I23" i="56"/>
  <c r="BK30" i="20"/>
  <c r="I24" i="56"/>
  <c r="BK31" i="20"/>
  <c r="I25" i="56"/>
  <c r="BK32" i="20"/>
  <c r="I26" i="56"/>
  <c r="BK33" i="20"/>
  <c r="I27" i="56"/>
  <c r="BK34" i="20"/>
  <c r="I28" i="56"/>
  <c r="BK35" i="20"/>
  <c r="I29" i="56"/>
  <c r="BK36" i="20"/>
  <c r="I30" i="56"/>
  <c r="BK37" i="20"/>
  <c r="I31" i="56"/>
  <c r="BK38" i="20"/>
  <c r="I32" i="56"/>
  <c r="BK39" i="20"/>
  <c r="I33" i="56"/>
  <c r="BK40" i="20"/>
  <c r="I34" i="56"/>
  <c r="BK41" i="20"/>
  <c r="I35" i="56"/>
  <c r="BK42" i="20"/>
  <c r="I36" i="56"/>
  <c r="BK43" i="20"/>
  <c r="I37" i="56"/>
  <c r="BK44" i="20"/>
  <c r="I38" i="56"/>
  <c r="BK45" i="20"/>
  <c r="I39" i="56"/>
  <c r="I41" i="56"/>
  <c r="G41" i="56"/>
  <c r="J3" i="56"/>
  <c r="J4" i="56"/>
  <c r="J5" i="56"/>
  <c r="J6" i="56"/>
  <c r="J7" i="56"/>
  <c r="J8" i="56"/>
  <c r="J9" i="56"/>
  <c r="J10" i="56"/>
  <c r="J11" i="56"/>
  <c r="J12" i="56"/>
  <c r="J13" i="56"/>
  <c r="J14" i="56"/>
  <c r="J15" i="56"/>
  <c r="J16" i="56"/>
  <c r="J17" i="56"/>
  <c r="J18" i="56"/>
  <c r="J19" i="56"/>
  <c r="J20" i="56"/>
  <c r="J21" i="56"/>
  <c r="J22" i="56"/>
  <c r="J23" i="56"/>
  <c r="J24" i="56"/>
  <c r="J25" i="56"/>
  <c r="J26" i="56"/>
  <c r="J27" i="56"/>
  <c r="J28" i="56"/>
  <c r="J29" i="56"/>
  <c r="J30" i="56"/>
  <c r="J31" i="56"/>
  <c r="J32" i="56"/>
  <c r="J33" i="56"/>
  <c r="J34" i="56"/>
  <c r="J35" i="56"/>
  <c r="J36" i="56"/>
  <c r="J37" i="56"/>
  <c r="J38" i="56"/>
  <c r="J39" i="56"/>
  <c r="J40" i="56"/>
  <c r="I40" i="56"/>
  <c r="G40" i="56"/>
  <c r="A45" i="20"/>
  <c r="F39" i="56"/>
  <c r="E39" i="56"/>
  <c r="D39" i="56"/>
  <c r="C39" i="56"/>
  <c r="B39" i="56"/>
  <c r="A39" i="56"/>
  <c r="A44" i="20"/>
  <c r="F38" i="56"/>
  <c r="E38" i="56"/>
  <c r="D38" i="56"/>
  <c r="C38" i="56"/>
  <c r="B38" i="56"/>
  <c r="A38" i="56"/>
  <c r="A43" i="20"/>
  <c r="F37" i="56"/>
  <c r="E37" i="56"/>
  <c r="D37" i="56"/>
  <c r="C37" i="56"/>
  <c r="B37" i="56"/>
  <c r="A37" i="56"/>
  <c r="A42" i="20"/>
  <c r="F36" i="56"/>
  <c r="E36" i="56"/>
  <c r="D36" i="56"/>
  <c r="C36" i="56"/>
  <c r="B36" i="56"/>
  <c r="A36" i="56"/>
  <c r="A41" i="20"/>
  <c r="F35" i="56"/>
  <c r="E35" i="56"/>
  <c r="D35" i="56"/>
  <c r="C35" i="56"/>
  <c r="B35" i="56"/>
  <c r="A35" i="56"/>
  <c r="A40" i="20"/>
  <c r="F34" i="56"/>
  <c r="E34" i="56"/>
  <c r="D34" i="56"/>
  <c r="C34" i="56"/>
  <c r="B34" i="56"/>
  <c r="A34" i="56"/>
  <c r="A39" i="20"/>
  <c r="F33" i="56"/>
  <c r="E33" i="56"/>
  <c r="D33" i="56"/>
  <c r="C33" i="56"/>
  <c r="B33" i="56"/>
  <c r="A33" i="56"/>
  <c r="A38" i="20"/>
  <c r="F32" i="56"/>
  <c r="E32" i="56"/>
  <c r="D32" i="56"/>
  <c r="C32" i="56"/>
  <c r="B32" i="56"/>
  <c r="A32" i="56"/>
  <c r="A37" i="20"/>
  <c r="F31" i="56"/>
  <c r="E31" i="56"/>
  <c r="D31" i="56"/>
  <c r="C31" i="56"/>
  <c r="B31" i="56"/>
  <c r="A31" i="56"/>
  <c r="A36" i="20"/>
  <c r="F30" i="56"/>
  <c r="E30" i="56"/>
  <c r="D30" i="56"/>
  <c r="C30" i="56"/>
  <c r="B30" i="56"/>
  <c r="A30" i="56"/>
  <c r="A35" i="20"/>
  <c r="F29" i="56"/>
  <c r="E29" i="56"/>
  <c r="D29" i="56"/>
  <c r="C29" i="56"/>
  <c r="B29" i="56"/>
  <c r="A29" i="56"/>
  <c r="A34" i="20"/>
  <c r="F28" i="56"/>
  <c r="E28" i="56"/>
  <c r="D28" i="56"/>
  <c r="C28" i="56"/>
  <c r="B28" i="56"/>
  <c r="A28" i="56"/>
  <c r="A33" i="20"/>
  <c r="F27" i="56"/>
  <c r="E27" i="56"/>
  <c r="D27" i="56"/>
  <c r="C27" i="56"/>
  <c r="B27" i="56"/>
  <c r="A27" i="56"/>
  <c r="A32" i="20"/>
  <c r="F26" i="56"/>
  <c r="E26" i="56"/>
  <c r="D26" i="56"/>
  <c r="C26" i="56"/>
  <c r="B26" i="56"/>
  <c r="A26" i="56"/>
  <c r="A31" i="20"/>
  <c r="F25" i="56"/>
  <c r="E25" i="56"/>
  <c r="D25" i="56"/>
  <c r="C25" i="56"/>
  <c r="B25" i="56"/>
  <c r="A25" i="56"/>
  <c r="A30" i="20"/>
  <c r="F24" i="56"/>
  <c r="E24" i="56"/>
  <c r="D24" i="56"/>
  <c r="C24" i="56"/>
  <c r="B24" i="56"/>
  <c r="A24" i="56"/>
  <c r="A29" i="20"/>
  <c r="F23" i="56"/>
  <c r="E23" i="56"/>
  <c r="D23" i="56"/>
  <c r="C23" i="56"/>
  <c r="B23" i="56"/>
  <c r="A23" i="56"/>
  <c r="A28" i="20"/>
  <c r="F22" i="56"/>
  <c r="E22" i="56"/>
  <c r="D22" i="56"/>
  <c r="C22" i="56"/>
  <c r="B22" i="56"/>
  <c r="A22" i="56"/>
  <c r="A27" i="20"/>
  <c r="F21" i="56"/>
  <c r="E21" i="56"/>
  <c r="D21" i="56"/>
  <c r="C21" i="56"/>
  <c r="B21" i="56"/>
  <c r="A21" i="56"/>
  <c r="A19" i="20"/>
  <c r="A20" i="20"/>
  <c r="A21" i="20"/>
  <c r="A22" i="20"/>
  <c r="A23" i="20"/>
  <c r="A24" i="20"/>
  <c r="A25" i="20"/>
  <c r="A26" i="20"/>
  <c r="F20" i="56"/>
  <c r="E20" i="56"/>
  <c r="D20" i="56"/>
  <c r="C20" i="56"/>
  <c r="B20" i="56"/>
  <c r="A20" i="56"/>
  <c r="F19" i="56"/>
  <c r="E19" i="56"/>
  <c r="D19" i="56"/>
  <c r="C19" i="56"/>
  <c r="B19" i="56"/>
  <c r="A19" i="56"/>
  <c r="F18" i="56"/>
  <c r="E18" i="56"/>
  <c r="D18" i="56"/>
  <c r="C18" i="56"/>
  <c r="B18" i="56"/>
  <c r="A18" i="56"/>
  <c r="F17" i="56"/>
  <c r="E17" i="56"/>
  <c r="D17" i="56"/>
  <c r="C17" i="56"/>
  <c r="B17" i="56"/>
  <c r="A17" i="56"/>
  <c r="F16" i="56"/>
  <c r="E16" i="56"/>
  <c r="D16" i="56"/>
  <c r="C16" i="56"/>
  <c r="B16" i="56"/>
  <c r="A16" i="56"/>
  <c r="F15" i="56"/>
  <c r="E15" i="56"/>
  <c r="D15" i="56"/>
  <c r="C15" i="56"/>
  <c r="B15" i="56"/>
  <c r="A15" i="56"/>
  <c r="F14" i="56"/>
  <c r="E14" i="56"/>
  <c r="D14" i="56"/>
  <c r="C14" i="56"/>
  <c r="B14" i="56"/>
  <c r="A14" i="56"/>
  <c r="F13" i="56"/>
  <c r="E13" i="56"/>
  <c r="D13" i="56"/>
  <c r="C13" i="56"/>
  <c r="B13" i="56"/>
  <c r="A13" i="56"/>
  <c r="F12" i="56"/>
  <c r="E12" i="56"/>
  <c r="D12" i="56"/>
  <c r="C12" i="56"/>
  <c r="B12" i="56"/>
  <c r="F11" i="56"/>
  <c r="E11" i="56"/>
  <c r="D11" i="56"/>
  <c r="C11" i="56"/>
  <c r="B11" i="56"/>
  <c r="A11" i="56"/>
  <c r="F10" i="56"/>
  <c r="E10" i="56"/>
  <c r="D10" i="56"/>
  <c r="C10" i="56"/>
  <c r="B10" i="56"/>
  <c r="A10" i="56"/>
  <c r="F9" i="56"/>
  <c r="E9" i="56"/>
  <c r="D9" i="56"/>
  <c r="C9" i="56"/>
  <c r="B9" i="56"/>
  <c r="A9" i="56"/>
  <c r="F8" i="56"/>
  <c r="E8" i="56"/>
  <c r="D8" i="56"/>
  <c r="C8" i="56"/>
  <c r="B8" i="56"/>
  <c r="A8" i="56"/>
  <c r="F7" i="56"/>
  <c r="E7" i="56"/>
  <c r="D7" i="56"/>
  <c r="C7" i="56"/>
  <c r="B7" i="56"/>
  <c r="A7" i="56"/>
  <c r="F6" i="56"/>
  <c r="E6" i="56"/>
  <c r="D6" i="56"/>
  <c r="C6" i="56"/>
  <c r="B6" i="56"/>
  <c r="A6" i="56"/>
  <c r="F5" i="56"/>
  <c r="E5" i="56"/>
  <c r="D5" i="56"/>
  <c r="C5" i="56"/>
  <c r="B5" i="56"/>
  <c r="A5" i="56"/>
  <c r="F4" i="56"/>
  <c r="E4" i="56"/>
  <c r="D4" i="56"/>
  <c r="C4" i="56"/>
  <c r="B4" i="56"/>
  <c r="A4" i="56"/>
  <c r="F3" i="56"/>
  <c r="E3" i="56"/>
  <c r="D3" i="56"/>
  <c r="C3" i="56"/>
  <c r="B3" i="56"/>
  <c r="A3" i="56"/>
  <c r="I1" i="56"/>
  <c r="A3" i="34"/>
  <c r="A44" i="34"/>
  <c r="I33" i="34"/>
  <c r="G3" i="34"/>
  <c r="G4" i="34"/>
  <c r="G5" i="34"/>
  <c r="G6" i="34"/>
  <c r="G7" i="34"/>
  <c r="G8" i="34"/>
  <c r="G9" i="34"/>
  <c r="G10" i="34"/>
  <c r="G11" i="34"/>
  <c r="G12" i="34"/>
  <c r="G13" i="34"/>
  <c r="G14" i="34"/>
  <c r="G15" i="34"/>
  <c r="G16" i="34"/>
  <c r="G17" i="34"/>
  <c r="G18" i="34"/>
  <c r="G19" i="34"/>
  <c r="G20" i="34"/>
  <c r="G21" i="34"/>
  <c r="G22" i="34"/>
  <c r="G23" i="34"/>
  <c r="G24" i="34"/>
  <c r="G25" i="34"/>
  <c r="G26" i="34"/>
  <c r="G27" i="34"/>
  <c r="G28" i="34"/>
  <c r="G29" i="34"/>
  <c r="G30" i="34"/>
  <c r="BJ9" i="20"/>
  <c r="I3" i="34"/>
  <c r="BJ10" i="20"/>
  <c r="I4" i="34"/>
  <c r="BJ11" i="20"/>
  <c r="I5" i="34"/>
  <c r="BJ12" i="20"/>
  <c r="I6" i="34"/>
  <c r="BJ13" i="20"/>
  <c r="I7" i="34"/>
  <c r="BJ14" i="20"/>
  <c r="I8" i="34"/>
  <c r="BJ15" i="20"/>
  <c r="I9" i="34"/>
  <c r="BJ16" i="20"/>
  <c r="I10" i="34"/>
  <c r="BJ17" i="20"/>
  <c r="I11" i="34"/>
  <c r="BJ18" i="20"/>
  <c r="I12" i="34"/>
  <c r="BJ19" i="20"/>
  <c r="I13" i="34"/>
  <c r="BJ20" i="20"/>
  <c r="I14" i="34"/>
  <c r="BJ21" i="20"/>
  <c r="I15" i="34"/>
  <c r="BJ22" i="20"/>
  <c r="I16" i="34"/>
  <c r="BJ23" i="20"/>
  <c r="I17" i="34"/>
  <c r="BJ24" i="20"/>
  <c r="I18" i="34"/>
  <c r="BJ25" i="20"/>
  <c r="I19" i="34"/>
  <c r="BJ26" i="20"/>
  <c r="I20" i="34"/>
  <c r="BJ27" i="20"/>
  <c r="I21" i="34"/>
  <c r="BJ28" i="20"/>
  <c r="I22" i="34"/>
  <c r="BJ29" i="20"/>
  <c r="I23" i="34"/>
  <c r="BJ30" i="20"/>
  <c r="I24" i="34"/>
  <c r="BJ31" i="20"/>
  <c r="I25" i="34"/>
  <c r="BJ32" i="20"/>
  <c r="I26" i="34"/>
  <c r="BJ33" i="20"/>
  <c r="I27" i="34"/>
  <c r="BJ34" i="20"/>
  <c r="I28" i="34"/>
  <c r="BJ35" i="20"/>
  <c r="I29" i="34"/>
  <c r="BJ36" i="20"/>
  <c r="I30" i="34"/>
  <c r="I32" i="34"/>
  <c r="G32" i="34"/>
  <c r="J31" i="34"/>
  <c r="I31" i="34"/>
  <c r="G31" i="34"/>
  <c r="B30" i="34"/>
  <c r="V30" i="34"/>
  <c r="U30" i="34"/>
  <c r="T30" i="34"/>
  <c r="S30" i="34"/>
  <c r="R30" i="34"/>
  <c r="Q30" i="34"/>
  <c r="P30" i="34"/>
  <c r="O30" i="34"/>
  <c r="F30" i="34"/>
  <c r="E30" i="34"/>
  <c r="D30" i="34"/>
  <c r="C30" i="34"/>
  <c r="A30" i="34"/>
  <c r="B29" i="34"/>
  <c r="V29" i="34"/>
  <c r="U29" i="34"/>
  <c r="T29" i="34"/>
  <c r="S29" i="34"/>
  <c r="R29" i="34"/>
  <c r="Q29" i="34"/>
  <c r="P29" i="34"/>
  <c r="O29" i="34"/>
  <c r="F29" i="34"/>
  <c r="E29" i="34"/>
  <c r="D29" i="34"/>
  <c r="C29" i="34"/>
  <c r="A29" i="34"/>
  <c r="B28" i="34"/>
  <c r="V28" i="34"/>
  <c r="U28" i="34"/>
  <c r="T28" i="34"/>
  <c r="S28" i="34"/>
  <c r="R28" i="34"/>
  <c r="Q28" i="34"/>
  <c r="P28" i="34"/>
  <c r="O28" i="34"/>
  <c r="F28" i="34"/>
  <c r="E28" i="34"/>
  <c r="D28" i="34"/>
  <c r="C28" i="34"/>
  <c r="A28" i="34"/>
  <c r="B27" i="34"/>
  <c r="V27" i="34"/>
  <c r="U27" i="34"/>
  <c r="T27" i="34"/>
  <c r="S27" i="34"/>
  <c r="R27" i="34"/>
  <c r="Q27" i="34"/>
  <c r="P27" i="34"/>
  <c r="O27" i="34"/>
  <c r="F27" i="34"/>
  <c r="E27" i="34"/>
  <c r="D27" i="34"/>
  <c r="C27" i="34"/>
  <c r="A27" i="34"/>
  <c r="B26" i="34"/>
  <c r="V26" i="34"/>
  <c r="U26" i="34"/>
  <c r="T26" i="34"/>
  <c r="S26" i="34"/>
  <c r="R26" i="34"/>
  <c r="Q26" i="34"/>
  <c r="P26" i="34"/>
  <c r="O26" i="34"/>
  <c r="F26" i="34"/>
  <c r="E26" i="34"/>
  <c r="D26" i="34"/>
  <c r="C26" i="34"/>
  <c r="A26" i="34"/>
  <c r="B25" i="34"/>
  <c r="V25" i="34"/>
  <c r="U25" i="34"/>
  <c r="T25" i="34"/>
  <c r="S25" i="34"/>
  <c r="R25" i="34"/>
  <c r="Q25" i="34"/>
  <c r="P25" i="34"/>
  <c r="O25" i="34"/>
  <c r="F25" i="34"/>
  <c r="E25" i="34"/>
  <c r="D25" i="34"/>
  <c r="C25" i="34"/>
  <c r="A25" i="34"/>
  <c r="B24" i="34"/>
  <c r="V24" i="34"/>
  <c r="U24" i="34"/>
  <c r="T24" i="34"/>
  <c r="S24" i="34"/>
  <c r="R24" i="34"/>
  <c r="Q24" i="34"/>
  <c r="P24" i="34"/>
  <c r="O24" i="34"/>
  <c r="F24" i="34"/>
  <c r="E24" i="34"/>
  <c r="D24" i="34"/>
  <c r="C24" i="34"/>
  <c r="A24" i="34"/>
  <c r="B23" i="34"/>
  <c r="V23" i="34"/>
  <c r="U23" i="34"/>
  <c r="T23" i="34"/>
  <c r="S23" i="34"/>
  <c r="R23" i="34"/>
  <c r="Q23" i="34"/>
  <c r="P23" i="34"/>
  <c r="O23" i="34"/>
  <c r="F23" i="34"/>
  <c r="E23" i="34"/>
  <c r="D23" i="34"/>
  <c r="C23" i="34"/>
  <c r="A23" i="34"/>
  <c r="B22" i="34"/>
  <c r="V22" i="34"/>
  <c r="U22" i="34"/>
  <c r="T22" i="34"/>
  <c r="S22" i="34"/>
  <c r="R22" i="34"/>
  <c r="Q22" i="34"/>
  <c r="P22" i="34"/>
  <c r="O22" i="34"/>
  <c r="F22" i="34"/>
  <c r="E22" i="34"/>
  <c r="D22" i="34"/>
  <c r="C22" i="34"/>
  <c r="A22" i="34"/>
  <c r="B21" i="34"/>
  <c r="V21" i="34"/>
  <c r="U21" i="34"/>
  <c r="T21" i="34"/>
  <c r="S21" i="34"/>
  <c r="R21" i="34"/>
  <c r="Q21" i="34"/>
  <c r="P21" i="34"/>
  <c r="O21" i="34"/>
  <c r="F21" i="34"/>
  <c r="E21" i="34"/>
  <c r="D21" i="34"/>
  <c r="C21" i="34"/>
  <c r="A21" i="34"/>
  <c r="B20" i="34"/>
  <c r="V20" i="34"/>
  <c r="U20" i="34"/>
  <c r="T20" i="34"/>
  <c r="S20" i="34"/>
  <c r="R20" i="34"/>
  <c r="Q20" i="34"/>
  <c r="P20" i="34"/>
  <c r="O20" i="34"/>
  <c r="F20" i="34"/>
  <c r="E20" i="34"/>
  <c r="D20" i="34"/>
  <c r="C20" i="34"/>
  <c r="A20" i="34"/>
  <c r="B19" i="34"/>
  <c r="V19" i="34"/>
  <c r="U19" i="34"/>
  <c r="T19" i="34"/>
  <c r="S19" i="34"/>
  <c r="R19" i="34"/>
  <c r="Q19" i="34"/>
  <c r="P19" i="34"/>
  <c r="O19" i="34"/>
  <c r="F19" i="34"/>
  <c r="E19" i="34"/>
  <c r="D19" i="34"/>
  <c r="C19" i="34"/>
  <c r="A19" i="34"/>
  <c r="B18" i="34"/>
  <c r="V18" i="34"/>
  <c r="U18" i="34"/>
  <c r="T18" i="34"/>
  <c r="S18" i="34"/>
  <c r="R18" i="34"/>
  <c r="Q18" i="34"/>
  <c r="P18" i="34"/>
  <c r="O18" i="34"/>
  <c r="F18" i="34"/>
  <c r="E18" i="34"/>
  <c r="D18" i="34"/>
  <c r="C18" i="34"/>
  <c r="A18" i="34"/>
  <c r="B17" i="34"/>
  <c r="V17" i="34"/>
  <c r="U17" i="34"/>
  <c r="T17" i="34"/>
  <c r="S17" i="34"/>
  <c r="R17" i="34"/>
  <c r="Q17" i="34"/>
  <c r="P17" i="34"/>
  <c r="O17" i="34"/>
  <c r="F17" i="34"/>
  <c r="E17" i="34"/>
  <c r="D17" i="34"/>
  <c r="C17" i="34"/>
  <c r="A17" i="34"/>
  <c r="B16" i="34"/>
  <c r="V16" i="34"/>
  <c r="U16" i="34"/>
  <c r="T16" i="34"/>
  <c r="S16" i="34"/>
  <c r="R16" i="34"/>
  <c r="Q16" i="34"/>
  <c r="P16" i="34"/>
  <c r="O16" i="34"/>
  <c r="F16" i="34"/>
  <c r="E16" i="34"/>
  <c r="D16" i="34"/>
  <c r="C16" i="34"/>
  <c r="A16" i="34"/>
  <c r="B15" i="34"/>
  <c r="V15" i="34"/>
  <c r="U15" i="34"/>
  <c r="T15" i="34"/>
  <c r="S15" i="34"/>
  <c r="R15" i="34"/>
  <c r="Q15" i="34"/>
  <c r="P15" i="34"/>
  <c r="O15" i="34"/>
  <c r="F15" i="34"/>
  <c r="E15" i="34"/>
  <c r="D15" i="34"/>
  <c r="C15" i="34"/>
  <c r="A15" i="34"/>
  <c r="B14" i="34"/>
  <c r="V14" i="34"/>
  <c r="U14" i="34"/>
  <c r="T14" i="34"/>
  <c r="S14" i="34"/>
  <c r="R14" i="34"/>
  <c r="Q14" i="34"/>
  <c r="P14" i="34"/>
  <c r="O14" i="34"/>
  <c r="F14" i="34"/>
  <c r="E14" i="34"/>
  <c r="D14" i="34"/>
  <c r="C14" i="34"/>
  <c r="A14" i="34"/>
  <c r="B13" i="34"/>
  <c r="V13" i="34"/>
  <c r="U13" i="34"/>
  <c r="T13" i="34"/>
  <c r="S13" i="34"/>
  <c r="R13" i="34"/>
  <c r="Q13" i="34"/>
  <c r="P13" i="34"/>
  <c r="O13" i="34"/>
  <c r="F13" i="34"/>
  <c r="E13" i="34"/>
  <c r="D13" i="34"/>
  <c r="C13" i="34"/>
  <c r="A13" i="34"/>
  <c r="B12" i="34"/>
  <c r="V12" i="34"/>
  <c r="U12" i="34"/>
  <c r="T12" i="34"/>
  <c r="S12" i="34"/>
  <c r="R12" i="34"/>
  <c r="Q12" i="34"/>
  <c r="P12" i="34"/>
  <c r="O12" i="34"/>
  <c r="F12" i="34"/>
  <c r="E12" i="34"/>
  <c r="D12" i="34"/>
  <c r="C12" i="34"/>
  <c r="A12" i="34"/>
  <c r="B11" i="34"/>
  <c r="V11" i="34"/>
  <c r="U11" i="34"/>
  <c r="T11" i="34"/>
  <c r="S11" i="34"/>
  <c r="R11" i="34"/>
  <c r="Q11" i="34"/>
  <c r="P11" i="34"/>
  <c r="O11" i="34"/>
  <c r="F11" i="34"/>
  <c r="E11" i="34"/>
  <c r="D11" i="34"/>
  <c r="C11" i="34"/>
  <c r="A11" i="34"/>
  <c r="B10" i="34"/>
  <c r="V10" i="34"/>
  <c r="U10" i="34"/>
  <c r="T10" i="34"/>
  <c r="S10" i="34"/>
  <c r="R10" i="34"/>
  <c r="Q10" i="34"/>
  <c r="P10" i="34"/>
  <c r="O10" i="34"/>
  <c r="F10" i="34"/>
  <c r="E10" i="34"/>
  <c r="D10" i="34"/>
  <c r="C10" i="34"/>
  <c r="A10" i="34"/>
  <c r="B9" i="34"/>
  <c r="V9" i="34"/>
  <c r="U9" i="34"/>
  <c r="T9" i="34"/>
  <c r="S9" i="34"/>
  <c r="R9" i="34"/>
  <c r="Q9" i="34"/>
  <c r="P9" i="34"/>
  <c r="O9" i="34"/>
  <c r="F9" i="34"/>
  <c r="E9" i="34"/>
  <c r="D9" i="34"/>
  <c r="C9" i="34"/>
  <c r="A9" i="34"/>
  <c r="B8" i="34"/>
  <c r="V8" i="34"/>
  <c r="U8" i="34"/>
  <c r="T8" i="34"/>
  <c r="S8" i="34"/>
  <c r="R8" i="34"/>
  <c r="Q8" i="34"/>
  <c r="P8" i="34"/>
  <c r="O8" i="34"/>
  <c r="F8" i="34"/>
  <c r="E8" i="34"/>
  <c r="D8" i="34"/>
  <c r="C8" i="34"/>
  <c r="A8" i="34"/>
  <c r="B7" i="34"/>
  <c r="V7" i="34"/>
  <c r="U7" i="34"/>
  <c r="T7" i="34"/>
  <c r="S7" i="34"/>
  <c r="R7" i="34"/>
  <c r="Q7" i="34"/>
  <c r="P7" i="34"/>
  <c r="O7" i="34"/>
  <c r="F7" i="34"/>
  <c r="E7" i="34"/>
  <c r="D7" i="34"/>
  <c r="C7" i="34"/>
  <c r="A7" i="34"/>
  <c r="B6" i="34"/>
  <c r="V6" i="34"/>
  <c r="U6" i="34"/>
  <c r="T6" i="34"/>
  <c r="S6" i="34"/>
  <c r="R6" i="34"/>
  <c r="Q6" i="34"/>
  <c r="P6" i="34"/>
  <c r="O6" i="34"/>
  <c r="F6" i="34"/>
  <c r="E6" i="34"/>
  <c r="D6" i="34"/>
  <c r="C6" i="34"/>
  <c r="A6" i="34"/>
  <c r="B5" i="34"/>
  <c r="V5" i="34"/>
  <c r="U5" i="34"/>
  <c r="T5" i="34"/>
  <c r="S5" i="34"/>
  <c r="R5" i="34"/>
  <c r="Q5" i="34"/>
  <c r="P5" i="34"/>
  <c r="O5" i="34"/>
  <c r="F5" i="34"/>
  <c r="E5" i="34"/>
  <c r="D5" i="34"/>
  <c r="C5" i="34"/>
  <c r="A5" i="34"/>
  <c r="B4" i="34"/>
  <c r="V4" i="34"/>
  <c r="U4" i="34"/>
  <c r="T4" i="34"/>
  <c r="S4" i="34"/>
  <c r="R4" i="34"/>
  <c r="Q4" i="34"/>
  <c r="P4" i="34"/>
  <c r="O4" i="34"/>
  <c r="F4" i="34"/>
  <c r="E4" i="34"/>
  <c r="D4" i="34"/>
  <c r="C4" i="34"/>
  <c r="A4" i="34"/>
  <c r="B3" i="34"/>
  <c r="V3" i="34"/>
  <c r="U3" i="34"/>
  <c r="T3" i="34"/>
  <c r="S3" i="34"/>
  <c r="R3" i="34"/>
  <c r="Q3" i="34"/>
  <c r="P3" i="34"/>
  <c r="O3" i="34"/>
  <c r="F3" i="34"/>
  <c r="E3" i="34"/>
  <c r="D3" i="34"/>
  <c r="C3" i="34"/>
  <c r="F1" i="34"/>
  <c r="M275" i="75"/>
  <c r="L275" i="75"/>
  <c r="K275" i="75"/>
  <c r="J275" i="75"/>
  <c r="I275" i="75"/>
  <c r="H275" i="75"/>
  <c r="G275" i="75"/>
  <c r="F275" i="75"/>
  <c r="E275" i="75"/>
  <c r="D275" i="75"/>
  <c r="C275" i="75"/>
  <c r="B275" i="75"/>
  <c r="A275" i="75"/>
  <c r="M274" i="75"/>
  <c r="L274" i="75"/>
  <c r="K274" i="75"/>
  <c r="J274" i="75"/>
  <c r="I274" i="75"/>
  <c r="H274" i="75"/>
  <c r="G274" i="75"/>
  <c r="F274" i="75"/>
  <c r="E274" i="75"/>
  <c r="D274" i="75"/>
  <c r="C274" i="75"/>
  <c r="B274" i="75"/>
  <c r="A274" i="75"/>
  <c r="M273" i="75"/>
  <c r="L273" i="75"/>
  <c r="K273" i="75"/>
  <c r="J273" i="75"/>
  <c r="I273" i="75"/>
  <c r="H273" i="75"/>
  <c r="G273" i="75"/>
  <c r="F273" i="75"/>
  <c r="E273" i="75"/>
  <c r="D273" i="75"/>
  <c r="C273" i="75"/>
  <c r="B273" i="75"/>
  <c r="A273" i="75"/>
  <c r="M272" i="75"/>
  <c r="L272" i="75"/>
  <c r="K272" i="75"/>
  <c r="J272" i="75"/>
  <c r="I272" i="75"/>
  <c r="H272" i="75"/>
  <c r="G272" i="75"/>
  <c r="F272" i="75"/>
  <c r="E272" i="75"/>
  <c r="D272" i="75"/>
  <c r="C272" i="75"/>
  <c r="B272" i="75"/>
  <c r="A272" i="75"/>
  <c r="M271" i="75"/>
  <c r="L271" i="75"/>
  <c r="K271" i="75"/>
  <c r="J271" i="75"/>
  <c r="I271" i="75"/>
  <c r="H271" i="75"/>
  <c r="G271" i="75"/>
  <c r="F271" i="75"/>
  <c r="E271" i="75"/>
  <c r="D271" i="75"/>
  <c r="C271" i="75"/>
  <c r="B271" i="75"/>
  <c r="A271" i="75"/>
  <c r="M270" i="75"/>
  <c r="L270" i="75"/>
  <c r="K270" i="75"/>
  <c r="J270" i="75"/>
  <c r="I270" i="75"/>
  <c r="H270" i="75"/>
  <c r="G270" i="75"/>
  <c r="F270" i="75"/>
  <c r="E270" i="75"/>
  <c r="D270" i="75"/>
  <c r="C270" i="75"/>
  <c r="B270" i="75"/>
  <c r="A270" i="75"/>
  <c r="M269" i="75"/>
  <c r="L269" i="75"/>
  <c r="K269" i="75"/>
  <c r="J269" i="75"/>
  <c r="I269" i="75"/>
  <c r="H269" i="75"/>
  <c r="G269" i="75"/>
  <c r="F269" i="75"/>
  <c r="E269" i="75"/>
  <c r="D269" i="75"/>
  <c r="C269" i="75"/>
  <c r="B269" i="75"/>
  <c r="A269" i="75"/>
  <c r="M268" i="75"/>
  <c r="L268" i="75"/>
  <c r="K268" i="75"/>
  <c r="J268" i="75"/>
  <c r="I268" i="75"/>
  <c r="H268" i="75"/>
  <c r="G268" i="75"/>
  <c r="F268" i="75"/>
  <c r="E268" i="75"/>
  <c r="D268" i="75"/>
  <c r="C268" i="75"/>
  <c r="B268" i="75"/>
  <c r="A268" i="75"/>
  <c r="M267" i="75"/>
  <c r="L267" i="75"/>
  <c r="K267" i="75"/>
  <c r="J267" i="75"/>
  <c r="I267" i="75"/>
  <c r="H267" i="75"/>
  <c r="G267" i="75"/>
  <c r="F267" i="75"/>
  <c r="E267" i="75"/>
  <c r="D267" i="75"/>
  <c r="C267" i="75"/>
  <c r="B267" i="75"/>
  <c r="A267" i="75"/>
  <c r="M266" i="75"/>
  <c r="L266" i="75"/>
  <c r="K266" i="75"/>
  <c r="J266" i="75"/>
  <c r="I266" i="75"/>
  <c r="H266" i="75"/>
  <c r="G266" i="75"/>
  <c r="F266" i="75"/>
  <c r="E266" i="75"/>
  <c r="D266" i="75"/>
  <c r="C266" i="75"/>
  <c r="B266" i="75"/>
  <c r="A266" i="75"/>
  <c r="M265" i="75"/>
  <c r="L265" i="75"/>
  <c r="K265" i="75"/>
  <c r="J265" i="75"/>
  <c r="I265" i="75"/>
  <c r="H265" i="75"/>
  <c r="G265" i="75"/>
  <c r="F265" i="75"/>
  <c r="E265" i="75"/>
  <c r="D265" i="75"/>
  <c r="C265" i="75"/>
  <c r="B265" i="75"/>
  <c r="A265" i="75"/>
  <c r="M264" i="75"/>
  <c r="L264" i="75"/>
  <c r="K264" i="75"/>
  <c r="J264" i="75"/>
  <c r="I264" i="75"/>
  <c r="H264" i="75"/>
  <c r="G264" i="75"/>
  <c r="F264" i="75"/>
  <c r="E264" i="75"/>
  <c r="D264" i="75"/>
  <c r="C264" i="75"/>
  <c r="B264" i="75"/>
  <c r="A264" i="75"/>
  <c r="M263" i="75"/>
  <c r="L263" i="75"/>
  <c r="K263" i="75"/>
  <c r="J263" i="75"/>
  <c r="I263" i="75"/>
  <c r="H263" i="75"/>
  <c r="G263" i="75"/>
  <c r="F263" i="75"/>
  <c r="E263" i="75"/>
  <c r="D263" i="75"/>
  <c r="C263" i="75"/>
  <c r="B263" i="75"/>
  <c r="A263" i="75"/>
  <c r="M262" i="75"/>
  <c r="L262" i="75"/>
  <c r="K262" i="75"/>
  <c r="J262" i="75"/>
  <c r="I262" i="75"/>
  <c r="H262" i="75"/>
  <c r="G262" i="75"/>
  <c r="F262" i="75"/>
  <c r="E262" i="75"/>
  <c r="D262" i="75"/>
  <c r="C262" i="75"/>
  <c r="B262" i="75"/>
  <c r="A262" i="75"/>
  <c r="M261" i="75"/>
  <c r="L261" i="75"/>
  <c r="K261" i="75"/>
  <c r="J261" i="75"/>
  <c r="I261" i="75"/>
  <c r="H261" i="75"/>
  <c r="G261" i="75"/>
  <c r="F261" i="75"/>
  <c r="E261" i="75"/>
  <c r="D261" i="75"/>
  <c r="C261" i="75"/>
  <c r="B261" i="75"/>
  <c r="A261" i="75"/>
  <c r="M260" i="75"/>
  <c r="L260" i="75"/>
  <c r="K260" i="75"/>
  <c r="J260" i="75"/>
  <c r="I260" i="75"/>
  <c r="H260" i="75"/>
  <c r="G260" i="75"/>
  <c r="F260" i="75"/>
  <c r="E260" i="75"/>
  <c r="D260" i="75"/>
  <c r="C260" i="75"/>
  <c r="B260" i="75"/>
  <c r="A260" i="75"/>
  <c r="M259" i="75"/>
  <c r="L259" i="75"/>
  <c r="K259" i="75"/>
  <c r="J259" i="75"/>
  <c r="I259" i="75"/>
  <c r="H259" i="75"/>
  <c r="G259" i="75"/>
  <c r="F259" i="75"/>
  <c r="E259" i="75"/>
  <c r="D259" i="75"/>
  <c r="C259" i="75"/>
  <c r="B259" i="75"/>
  <c r="A259" i="75"/>
  <c r="M258" i="75"/>
  <c r="L258" i="75"/>
  <c r="K258" i="75"/>
  <c r="J258" i="75"/>
  <c r="I258" i="75"/>
  <c r="H258" i="75"/>
  <c r="G258" i="75"/>
  <c r="F258" i="75"/>
  <c r="E258" i="75"/>
  <c r="D258" i="75"/>
  <c r="C258" i="75"/>
  <c r="B258" i="75"/>
  <c r="A258" i="75"/>
  <c r="M257" i="75"/>
  <c r="L257" i="75"/>
  <c r="K257" i="75"/>
  <c r="J257" i="75"/>
  <c r="I257" i="75"/>
  <c r="H257" i="75"/>
  <c r="G257" i="75"/>
  <c r="F257" i="75"/>
  <c r="E257" i="75"/>
  <c r="D257" i="75"/>
  <c r="C257" i="75"/>
  <c r="B257" i="75"/>
  <c r="A257" i="75"/>
  <c r="M256" i="75"/>
  <c r="L256" i="75"/>
  <c r="K256" i="75"/>
  <c r="J256" i="75"/>
  <c r="I256" i="75"/>
  <c r="H256" i="75"/>
  <c r="G256" i="75"/>
  <c r="F256" i="75"/>
  <c r="E256" i="75"/>
  <c r="D256" i="75"/>
  <c r="C256" i="75"/>
  <c r="B256" i="75"/>
  <c r="A256" i="75"/>
  <c r="M255" i="75"/>
  <c r="L255" i="75"/>
  <c r="K255" i="75"/>
  <c r="J255" i="75"/>
  <c r="I255" i="75"/>
  <c r="H255" i="75"/>
  <c r="G255" i="75"/>
  <c r="F255" i="75"/>
  <c r="E255" i="75"/>
  <c r="D255" i="75"/>
  <c r="C255" i="75"/>
  <c r="B255" i="75"/>
  <c r="A255" i="75"/>
  <c r="M254" i="75"/>
  <c r="L254" i="75"/>
  <c r="K254" i="75"/>
  <c r="J254" i="75"/>
  <c r="I254" i="75"/>
  <c r="H254" i="75"/>
  <c r="G254" i="75"/>
  <c r="F254" i="75"/>
  <c r="E254" i="75"/>
  <c r="D254" i="75"/>
  <c r="C254" i="75"/>
  <c r="B254" i="75"/>
  <c r="A254" i="75"/>
  <c r="M253" i="75"/>
  <c r="L253" i="75"/>
  <c r="K253" i="75"/>
  <c r="J253" i="75"/>
  <c r="I253" i="75"/>
  <c r="H253" i="75"/>
  <c r="G253" i="75"/>
  <c r="F253" i="75"/>
  <c r="E253" i="75"/>
  <c r="D253" i="75"/>
  <c r="C253" i="75"/>
  <c r="B253" i="75"/>
  <c r="A253" i="75"/>
  <c r="M252" i="75"/>
  <c r="L252" i="75"/>
  <c r="K252" i="75"/>
  <c r="J252" i="75"/>
  <c r="I252" i="75"/>
  <c r="H252" i="75"/>
  <c r="G252" i="75"/>
  <c r="F252" i="75"/>
  <c r="E252" i="75"/>
  <c r="D252" i="75"/>
  <c r="C252" i="75"/>
  <c r="B252" i="75"/>
  <c r="A252" i="75"/>
  <c r="M251" i="75"/>
  <c r="L251" i="75"/>
  <c r="K251" i="75"/>
  <c r="J251" i="75"/>
  <c r="I251" i="75"/>
  <c r="H251" i="75"/>
  <c r="G251" i="75"/>
  <c r="F251" i="75"/>
  <c r="E251" i="75"/>
  <c r="D251" i="75"/>
  <c r="C251" i="75"/>
  <c r="B251" i="75"/>
  <c r="A251" i="75"/>
  <c r="M250" i="75"/>
  <c r="L250" i="75"/>
  <c r="K250" i="75"/>
  <c r="J250" i="75"/>
  <c r="I250" i="75"/>
  <c r="H250" i="75"/>
  <c r="G250" i="75"/>
  <c r="F250" i="75"/>
  <c r="E250" i="75"/>
  <c r="D250" i="75"/>
  <c r="C250" i="75"/>
  <c r="B250" i="75"/>
  <c r="A250" i="75"/>
  <c r="M249" i="75"/>
  <c r="L249" i="75"/>
  <c r="K249" i="75"/>
  <c r="J249" i="75"/>
  <c r="I249" i="75"/>
  <c r="H249" i="75"/>
  <c r="G249" i="75"/>
  <c r="F249" i="75"/>
  <c r="E249" i="75"/>
  <c r="D249" i="75"/>
  <c r="C249" i="75"/>
  <c r="B249" i="75"/>
  <c r="A249" i="75"/>
  <c r="M248" i="75"/>
  <c r="L248" i="75"/>
  <c r="K248" i="75"/>
  <c r="J248" i="75"/>
  <c r="I248" i="75"/>
  <c r="H248" i="75"/>
  <c r="G248" i="75"/>
  <c r="F248" i="75"/>
  <c r="E248" i="75"/>
  <c r="D248" i="75"/>
  <c r="C248" i="75"/>
  <c r="B248" i="75"/>
  <c r="A248" i="75"/>
  <c r="M247" i="75"/>
  <c r="L247" i="75"/>
  <c r="K247" i="75"/>
  <c r="J247" i="75"/>
  <c r="I247" i="75"/>
  <c r="H247" i="75"/>
  <c r="G247" i="75"/>
  <c r="F247" i="75"/>
  <c r="E247" i="75"/>
  <c r="D247" i="75"/>
  <c r="C247" i="75"/>
  <c r="B247" i="75"/>
  <c r="A247" i="75"/>
  <c r="M246" i="75"/>
  <c r="L246" i="75"/>
  <c r="K246" i="75"/>
  <c r="J246" i="75"/>
  <c r="I246" i="75"/>
  <c r="H246" i="75"/>
  <c r="G246" i="75"/>
  <c r="F246" i="75"/>
  <c r="E246" i="75"/>
  <c r="D246" i="75"/>
  <c r="C246" i="75"/>
  <c r="B246" i="75"/>
  <c r="A246" i="75"/>
  <c r="M245" i="75"/>
  <c r="L245" i="75"/>
  <c r="K245" i="75"/>
  <c r="J245" i="75"/>
  <c r="I245" i="75"/>
  <c r="H245" i="75"/>
  <c r="G245" i="75"/>
  <c r="F245" i="75"/>
  <c r="E245" i="75"/>
  <c r="D245" i="75"/>
  <c r="C245" i="75"/>
  <c r="B245" i="75"/>
  <c r="A245" i="75"/>
  <c r="M244" i="75"/>
  <c r="L244" i="75"/>
  <c r="K244" i="75"/>
  <c r="J244" i="75"/>
  <c r="I244" i="75"/>
  <c r="H244" i="75"/>
  <c r="G244" i="75"/>
  <c r="F244" i="75"/>
  <c r="E244" i="75"/>
  <c r="D244" i="75"/>
  <c r="C244" i="75"/>
  <c r="B244" i="75"/>
  <c r="A244" i="75"/>
  <c r="M243" i="75"/>
  <c r="L243" i="75"/>
  <c r="K243" i="75"/>
  <c r="J243" i="75"/>
  <c r="I243" i="75"/>
  <c r="H243" i="75"/>
  <c r="G243" i="75"/>
  <c r="F243" i="75"/>
  <c r="E243" i="75"/>
  <c r="D243" i="75"/>
  <c r="C243" i="75"/>
  <c r="B243" i="75"/>
  <c r="A243" i="75"/>
  <c r="M242" i="75"/>
  <c r="L242" i="75"/>
  <c r="K242" i="75"/>
  <c r="J242" i="75"/>
  <c r="I242" i="75"/>
  <c r="H242" i="75"/>
  <c r="G242" i="75"/>
  <c r="F242" i="75"/>
  <c r="E242" i="75"/>
  <c r="D242" i="75"/>
  <c r="C242" i="75"/>
  <c r="B242" i="75"/>
  <c r="A242" i="75"/>
  <c r="M241" i="75"/>
  <c r="L241" i="75"/>
  <c r="K241" i="75"/>
  <c r="J241" i="75"/>
  <c r="I241" i="75"/>
  <c r="H241" i="75"/>
  <c r="G241" i="75"/>
  <c r="F241" i="75"/>
  <c r="E241" i="75"/>
  <c r="D241" i="75"/>
  <c r="C241" i="75"/>
  <c r="B241" i="75"/>
  <c r="A241" i="75"/>
  <c r="M240" i="75"/>
  <c r="L240" i="75"/>
  <c r="K240" i="75"/>
  <c r="J240" i="75"/>
  <c r="I240" i="75"/>
  <c r="H240" i="75"/>
  <c r="G240" i="75"/>
  <c r="F240" i="75"/>
  <c r="E240" i="75"/>
  <c r="D240" i="75"/>
  <c r="C240" i="75"/>
  <c r="B240" i="75"/>
  <c r="A240" i="75"/>
  <c r="M239" i="75"/>
  <c r="L239" i="75"/>
  <c r="K239" i="75"/>
  <c r="J239" i="75"/>
  <c r="I239" i="75"/>
  <c r="H239" i="75"/>
  <c r="G239" i="75"/>
  <c r="F239" i="75"/>
  <c r="E239" i="75"/>
  <c r="D239" i="75"/>
  <c r="C239" i="75"/>
  <c r="B239" i="75"/>
  <c r="A239" i="75"/>
  <c r="M238" i="75"/>
  <c r="L238" i="75"/>
  <c r="K238" i="75"/>
  <c r="J238" i="75"/>
  <c r="I238" i="75"/>
  <c r="H238" i="75"/>
  <c r="G238" i="75"/>
  <c r="F238" i="75"/>
  <c r="E238" i="75"/>
  <c r="D238" i="75"/>
  <c r="C238" i="75"/>
  <c r="B238" i="75"/>
  <c r="A238" i="75"/>
  <c r="M237" i="75"/>
  <c r="L237" i="75"/>
  <c r="K237" i="75"/>
  <c r="J237" i="75"/>
  <c r="I237" i="75"/>
  <c r="H237" i="75"/>
  <c r="G237" i="75"/>
  <c r="F237" i="75"/>
  <c r="E237" i="75"/>
  <c r="D237" i="75"/>
  <c r="C237" i="75"/>
  <c r="B237" i="75"/>
  <c r="A237" i="75"/>
  <c r="M236" i="75"/>
  <c r="L236" i="75"/>
  <c r="K236" i="75"/>
  <c r="J236" i="75"/>
  <c r="I236" i="75"/>
  <c r="H236" i="75"/>
  <c r="G236" i="75"/>
  <c r="F236" i="75"/>
  <c r="E236" i="75"/>
  <c r="D236" i="75"/>
  <c r="C236" i="75"/>
  <c r="B236" i="75"/>
  <c r="A236" i="75"/>
  <c r="M235" i="75"/>
  <c r="L235" i="75"/>
  <c r="K235" i="75"/>
  <c r="J235" i="75"/>
  <c r="I235" i="75"/>
  <c r="H235" i="75"/>
  <c r="G235" i="75"/>
  <c r="F235" i="75"/>
  <c r="E235" i="75"/>
  <c r="D235" i="75"/>
  <c r="C235" i="75"/>
  <c r="B235" i="75"/>
  <c r="A235" i="75"/>
  <c r="M234" i="75"/>
  <c r="L234" i="75"/>
  <c r="K234" i="75"/>
  <c r="J234" i="75"/>
  <c r="I234" i="75"/>
  <c r="H234" i="75"/>
  <c r="G234" i="75"/>
  <c r="F234" i="75"/>
  <c r="E234" i="75"/>
  <c r="D234" i="75"/>
  <c r="C234" i="75"/>
  <c r="B234" i="75"/>
  <c r="A234" i="75"/>
  <c r="M233" i="75"/>
  <c r="L233" i="75"/>
  <c r="K233" i="75"/>
  <c r="J233" i="75"/>
  <c r="I233" i="75"/>
  <c r="H233" i="75"/>
  <c r="G233" i="75"/>
  <c r="F233" i="75"/>
  <c r="E233" i="75"/>
  <c r="D233" i="75"/>
  <c r="C233" i="75"/>
  <c r="B233" i="75"/>
  <c r="A233" i="75"/>
  <c r="M232" i="75"/>
  <c r="L232" i="75"/>
  <c r="K232" i="75"/>
  <c r="J232" i="75"/>
  <c r="I232" i="75"/>
  <c r="H232" i="75"/>
  <c r="G232" i="75"/>
  <c r="F232" i="75"/>
  <c r="E232" i="75"/>
  <c r="D232" i="75"/>
  <c r="C232" i="75"/>
  <c r="B232" i="75"/>
  <c r="A232" i="75"/>
  <c r="M231" i="75"/>
  <c r="L231" i="75"/>
  <c r="K231" i="75"/>
  <c r="J231" i="75"/>
  <c r="I231" i="75"/>
  <c r="H231" i="75"/>
  <c r="G231" i="75"/>
  <c r="F231" i="75"/>
  <c r="E231" i="75"/>
  <c r="D231" i="75"/>
  <c r="C231" i="75"/>
  <c r="B231" i="75"/>
  <c r="A231" i="75"/>
  <c r="M230" i="75"/>
  <c r="L230" i="75"/>
  <c r="K230" i="75"/>
  <c r="J230" i="75"/>
  <c r="I230" i="75"/>
  <c r="H230" i="75"/>
  <c r="G230" i="75"/>
  <c r="F230" i="75"/>
  <c r="E230" i="75"/>
  <c r="D230" i="75"/>
  <c r="C230" i="75"/>
  <c r="B230" i="75"/>
  <c r="A230" i="75"/>
  <c r="M229" i="75"/>
  <c r="L229" i="75"/>
  <c r="K229" i="75"/>
  <c r="J229" i="75"/>
  <c r="I229" i="75"/>
  <c r="H229" i="75"/>
  <c r="G229" i="75"/>
  <c r="F229" i="75"/>
  <c r="E229" i="75"/>
  <c r="D229" i="75"/>
  <c r="C229" i="75"/>
  <c r="B229" i="75"/>
  <c r="A229" i="75"/>
  <c r="M228" i="75"/>
  <c r="L228" i="75"/>
  <c r="K228" i="75"/>
  <c r="J228" i="75"/>
  <c r="I228" i="75"/>
  <c r="H228" i="75"/>
  <c r="G228" i="75"/>
  <c r="F228" i="75"/>
  <c r="E228" i="75"/>
  <c r="D228" i="75"/>
  <c r="C228" i="75"/>
  <c r="B228" i="75"/>
  <c r="A228" i="75"/>
  <c r="M227" i="75"/>
  <c r="L227" i="75"/>
  <c r="K227" i="75"/>
  <c r="J227" i="75"/>
  <c r="I227" i="75"/>
  <c r="H227" i="75"/>
  <c r="G227" i="75"/>
  <c r="F227" i="75"/>
  <c r="E227" i="75"/>
  <c r="D227" i="75"/>
  <c r="C227" i="75"/>
  <c r="B227" i="75"/>
  <c r="A227" i="75"/>
  <c r="M226" i="75"/>
  <c r="L226" i="75"/>
  <c r="K226" i="75"/>
  <c r="J226" i="75"/>
  <c r="I226" i="75"/>
  <c r="H226" i="75"/>
  <c r="G226" i="75"/>
  <c r="F226" i="75"/>
  <c r="E226" i="75"/>
  <c r="D226" i="75"/>
  <c r="C226" i="75"/>
  <c r="B226" i="75"/>
  <c r="A226" i="75"/>
  <c r="M225" i="75"/>
  <c r="L225" i="75"/>
  <c r="K225" i="75"/>
  <c r="J225" i="75"/>
  <c r="I225" i="75"/>
  <c r="H225" i="75"/>
  <c r="G225" i="75"/>
  <c r="F225" i="75"/>
  <c r="E225" i="75"/>
  <c r="D225" i="75"/>
  <c r="C225" i="75"/>
  <c r="B225" i="75"/>
  <c r="A225" i="75"/>
  <c r="M224" i="75"/>
  <c r="L224" i="75"/>
  <c r="K224" i="75"/>
  <c r="J224" i="75"/>
  <c r="I224" i="75"/>
  <c r="H224" i="75"/>
  <c r="G224" i="75"/>
  <c r="F224" i="75"/>
  <c r="E224" i="75"/>
  <c r="D224" i="75"/>
  <c r="C224" i="75"/>
  <c r="B224" i="75"/>
  <c r="A224" i="75"/>
  <c r="M223" i="75"/>
  <c r="L223" i="75"/>
  <c r="K223" i="75"/>
  <c r="J223" i="75"/>
  <c r="I223" i="75"/>
  <c r="H223" i="75"/>
  <c r="G223" i="75"/>
  <c r="F223" i="75"/>
  <c r="E223" i="75"/>
  <c r="D223" i="75"/>
  <c r="C223" i="75"/>
  <c r="B223" i="75"/>
  <c r="A223" i="75"/>
  <c r="M222" i="75"/>
  <c r="L222" i="75"/>
  <c r="K222" i="75"/>
  <c r="J222" i="75"/>
  <c r="I222" i="75"/>
  <c r="H222" i="75"/>
  <c r="G222" i="75"/>
  <c r="F222" i="75"/>
  <c r="E222" i="75"/>
  <c r="D222" i="75"/>
  <c r="C222" i="75"/>
  <c r="B222" i="75"/>
  <c r="A222" i="75"/>
  <c r="M221" i="75"/>
  <c r="L221" i="75"/>
  <c r="K221" i="75"/>
  <c r="J221" i="75"/>
  <c r="I221" i="75"/>
  <c r="H221" i="75"/>
  <c r="G221" i="75"/>
  <c r="F221" i="75"/>
  <c r="E221" i="75"/>
  <c r="D221" i="75"/>
  <c r="C221" i="75"/>
  <c r="B221" i="75"/>
  <c r="A221" i="75"/>
  <c r="M220" i="75"/>
  <c r="L220" i="75"/>
  <c r="K220" i="75"/>
  <c r="J220" i="75"/>
  <c r="I220" i="75"/>
  <c r="H220" i="75"/>
  <c r="G220" i="75"/>
  <c r="F220" i="75"/>
  <c r="E220" i="75"/>
  <c r="D220" i="75"/>
  <c r="C220" i="75"/>
  <c r="B220" i="75"/>
  <c r="A220" i="75"/>
  <c r="M219" i="75"/>
  <c r="L219" i="75"/>
  <c r="K219" i="75"/>
  <c r="J219" i="75"/>
  <c r="I219" i="75"/>
  <c r="H219" i="75"/>
  <c r="G219" i="75"/>
  <c r="F219" i="75"/>
  <c r="E219" i="75"/>
  <c r="D219" i="75"/>
  <c r="C219" i="75"/>
  <c r="B219" i="75"/>
  <c r="A219" i="75"/>
  <c r="M218" i="75"/>
  <c r="L218" i="75"/>
  <c r="K218" i="75"/>
  <c r="J218" i="75"/>
  <c r="I218" i="75"/>
  <c r="H218" i="75"/>
  <c r="G218" i="75"/>
  <c r="F218" i="75"/>
  <c r="E218" i="75"/>
  <c r="D218" i="75"/>
  <c r="C218" i="75"/>
  <c r="B218" i="75"/>
  <c r="A218" i="75"/>
  <c r="M217" i="75"/>
  <c r="L217" i="75"/>
  <c r="K217" i="75"/>
  <c r="J217" i="75"/>
  <c r="I217" i="75"/>
  <c r="H217" i="75"/>
  <c r="G217" i="75"/>
  <c r="F217" i="75"/>
  <c r="E217" i="75"/>
  <c r="D217" i="75"/>
  <c r="C217" i="75"/>
  <c r="B217" i="75"/>
  <c r="A217" i="75"/>
  <c r="M216" i="75"/>
  <c r="L216" i="75"/>
  <c r="K216" i="75"/>
  <c r="J216" i="75"/>
  <c r="I216" i="75"/>
  <c r="H216" i="75"/>
  <c r="G216" i="75"/>
  <c r="F216" i="75"/>
  <c r="E216" i="75"/>
  <c r="D216" i="75"/>
  <c r="C216" i="75"/>
  <c r="B216" i="75"/>
  <c r="A216" i="75"/>
  <c r="M215" i="75"/>
  <c r="L215" i="75"/>
  <c r="K215" i="75"/>
  <c r="J215" i="75"/>
  <c r="I215" i="75"/>
  <c r="H215" i="75"/>
  <c r="G215" i="75"/>
  <c r="F215" i="75"/>
  <c r="E215" i="75"/>
  <c r="D215" i="75"/>
  <c r="C215" i="75"/>
  <c r="B215" i="75"/>
  <c r="A215" i="75"/>
  <c r="M214" i="75"/>
  <c r="L214" i="75"/>
  <c r="K214" i="75"/>
  <c r="J214" i="75"/>
  <c r="I214" i="75"/>
  <c r="H214" i="75"/>
  <c r="G214" i="75"/>
  <c r="F214" i="75"/>
  <c r="E214" i="75"/>
  <c r="D214" i="75"/>
  <c r="C214" i="75"/>
  <c r="B214" i="75"/>
  <c r="A214" i="75"/>
  <c r="M213" i="75"/>
  <c r="L213" i="75"/>
  <c r="K213" i="75"/>
  <c r="J213" i="75"/>
  <c r="I213" i="75"/>
  <c r="H213" i="75"/>
  <c r="G213" i="75"/>
  <c r="F213" i="75"/>
  <c r="E213" i="75"/>
  <c r="D213" i="75"/>
  <c r="C213" i="75"/>
  <c r="B213" i="75"/>
  <c r="A213" i="75"/>
  <c r="M212" i="75"/>
  <c r="L212" i="75"/>
  <c r="K212" i="75"/>
  <c r="J212" i="75"/>
  <c r="I212" i="75"/>
  <c r="H212" i="75"/>
  <c r="G212" i="75"/>
  <c r="F212" i="75"/>
  <c r="E212" i="75"/>
  <c r="D212" i="75"/>
  <c r="C212" i="75"/>
  <c r="B212" i="75"/>
  <c r="A212" i="75"/>
  <c r="M211" i="75"/>
  <c r="L211" i="75"/>
  <c r="K211" i="75"/>
  <c r="J211" i="75"/>
  <c r="I211" i="75"/>
  <c r="H211" i="75"/>
  <c r="G211" i="75"/>
  <c r="F211" i="75"/>
  <c r="E211" i="75"/>
  <c r="D211" i="75"/>
  <c r="C211" i="75"/>
  <c r="B211" i="75"/>
  <c r="A211" i="75"/>
  <c r="M210" i="75"/>
  <c r="L210" i="75"/>
  <c r="K210" i="75"/>
  <c r="J210" i="75"/>
  <c r="I210" i="75"/>
  <c r="H210" i="75"/>
  <c r="G210" i="75"/>
  <c r="F210" i="75"/>
  <c r="E210" i="75"/>
  <c r="D210" i="75"/>
  <c r="C210" i="75"/>
  <c r="B210" i="75"/>
  <c r="A210" i="75"/>
  <c r="M209" i="75"/>
  <c r="L209" i="75"/>
  <c r="K209" i="75"/>
  <c r="J209" i="75"/>
  <c r="I209" i="75"/>
  <c r="H209" i="75"/>
  <c r="G209" i="75"/>
  <c r="F209" i="75"/>
  <c r="E209" i="75"/>
  <c r="D209" i="75"/>
  <c r="C209" i="75"/>
  <c r="B209" i="75"/>
  <c r="A209" i="75"/>
  <c r="M208" i="75"/>
  <c r="L208" i="75"/>
  <c r="K208" i="75"/>
  <c r="J208" i="75"/>
  <c r="I208" i="75"/>
  <c r="H208" i="75"/>
  <c r="G208" i="75"/>
  <c r="F208" i="75"/>
  <c r="E208" i="75"/>
  <c r="D208" i="75"/>
  <c r="C208" i="75"/>
  <c r="B208" i="75"/>
  <c r="A208" i="75"/>
  <c r="M207" i="75"/>
  <c r="L207" i="75"/>
  <c r="K207" i="75"/>
  <c r="J207" i="75"/>
  <c r="I207" i="75"/>
  <c r="H207" i="75"/>
  <c r="G207" i="75"/>
  <c r="F207" i="75"/>
  <c r="E207" i="75"/>
  <c r="D207" i="75"/>
  <c r="C207" i="75"/>
  <c r="B207" i="75"/>
  <c r="A207" i="75"/>
  <c r="M206" i="75"/>
  <c r="L206" i="75"/>
  <c r="K206" i="75"/>
  <c r="J206" i="75"/>
  <c r="I206" i="75"/>
  <c r="H206" i="75"/>
  <c r="G206" i="75"/>
  <c r="F206" i="75"/>
  <c r="E206" i="75"/>
  <c r="D206" i="75"/>
  <c r="C206" i="75"/>
  <c r="B206" i="75"/>
  <c r="A206" i="75"/>
  <c r="M205" i="75"/>
  <c r="L205" i="75"/>
  <c r="K205" i="75"/>
  <c r="J205" i="75"/>
  <c r="I205" i="75"/>
  <c r="H205" i="75"/>
  <c r="G205" i="75"/>
  <c r="F205" i="75"/>
  <c r="E205" i="75"/>
  <c r="D205" i="75"/>
  <c r="C205" i="75"/>
  <c r="B205" i="75"/>
  <c r="A205" i="75"/>
  <c r="M204" i="75"/>
  <c r="L204" i="75"/>
  <c r="K204" i="75"/>
  <c r="J204" i="75"/>
  <c r="I204" i="75"/>
  <c r="H204" i="75"/>
  <c r="G204" i="75"/>
  <c r="F204" i="75"/>
  <c r="E204" i="75"/>
  <c r="D204" i="75"/>
  <c r="C204" i="75"/>
  <c r="B204" i="75"/>
  <c r="A204" i="75"/>
  <c r="M203" i="75"/>
  <c r="L203" i="75"/>
  <c r="K203" i="75"/>
  <c r="J203" i="75"/>
  <c r="I203" i="75"/>
  <c r="H203" i="75"/>
  <c r="G203" i="75"/>
  <c r="F203" i="75"/>
  <c r="E203" i="75"/>
  <c r="D203" i="75"/>
  <c r="C203" i="75"/>
  <c r="B203" i="75"/>
  <c r="A203" i="75"/>
  <c r="M202" i="75"/>
  <c r="L202" i="75"/>
  <c r="K202" i="75"/>
  <c r="J202" i="75"/>
  <c r="I202" i="75"/>
  <c r="H202" i="75"/>
  <c r="G202" i="75"/>
  <c r="F202" i="75"/>
  <c r="E202" i="75"/>
  <c r="D202" i="75"/>
  <c r="C202" i="75"/>
  <c r="B202" i="75"/>
  <c r="A202" i="75"/>
  <c r="M201" i="75"/>
  <c r="L201" i="75"/>
  <c r="K201" i="75"/>
  <c r="J201" i="75"/>
  <c r="I201" i="75"/>
  <c r="H201" i="75"/>
  <c r="G201" i="75"/>
  <c r="F201" i="75"/>
  <c r="E201" i="75"/>
  <c r="D201" i="75"/>
  <c r="C201" i="75"/>
  <c r="B201" i="75"/>
  <c r="A201" i="75"/>
  <c r="M200" i="75"/>
  <c r="L200" i="75"/>
  <c r="K200" i="75"/>
  <c r="J200" i="75"/>
  <c r="I200" i="75"/>
  <c r="H200" i="75"/>
  <c r="G200" i="75"/>
  <c r="F200" i="75"/>
  <c r="E200" i="75"/>
  <c r="D200" i="75"/>
  <c r="C200" i="75"/>
  <c r="B200" i="75"/>
  <c r="A200" i="75"/>
  <c r="M199" i="75"/>
  <c r="L199" i="75"/>
  <c r="K199" i="75"/>
  <c r="J199" i="75"/>
  <c r="I199" i="75"/>
  <c r="H199" i="75"/>
  <c r="G199" i="75"/>
  <c r="F199" i="75"/>
  <c r="E199" i="75"/>
  <c r="D199" i="75"/>
  <c r="C199" i="75"/>
  <c r="B199" i="75"/>
  <c r="A199" i="75"/>
  <c r="M198" i="75"/>
  <c r="L198" i="75"/>
  <c r="K198" i="75"/>
  <c r="J198" i="75"/>
  <c r="I198" i="75"/>
  <c r="H198" i="75"/>
  <c r="G198" i="75"/>
  <c r="F198" i="75"/>
  <c r="E198" i="75"/>
  <c r="D198" i="75"/>
  <c r="C198" i="75"/>
  <c r="B198" i="75"/>
  <c r="A198" i="75"/>
  <c r="M197" i="75"/>
  <c r="L197" i="75"/>
  <c r="K197" i="75"/>
  <c r="J197" i="75"/>
  <c r="I197" i="75"/>
  <c r="H197" i="75"/>
  <c r="G197" i="75"/>
  <c r="F197" i="75"/>
  <c r="E197" i="75"/>
  <c r="D197" i="75"/>
  <c r="C197" i="75"/>
  <c r="B197" i="75"/>
  <c r="A197" i="75"/>
  <c r="M196" i="75"/>
  <c r="L196" i="75"/>
  <c r="K196" i="75"/>
  <c r="J196" i="75"/>
  <c r="I196" i="75"/>
  <c r="H196" i="75"/>
  <c r="G196" i="75"/>
  <c r="F196" i="75"/>
  <c r="E196" i="75"/>
  <c r="D196" i="75"/>
  <c r="C196" i="75"/>
  <c r="B196" i="75"/>
  <c r="A196" i="75"/>
  <c r="M195" i="75"/>
  <c r="L195" i="75"/>
  <c r="K195" i="75"/>
  <c r="J195" i="75"/>
  <c r="I195" i="75"/>
  <c r="H195" i="75"/>
  <c r="G195" i="75"/>
  <c r="F195" i="75"/>
  <c r="E195" i="75"/>
  <c r="D195" i="75"/>
  <c r="C195" i="75"/>
  <c r="B195" i="75"/>
  <c r="A195" i="75"/>
  <c r="M194" i="75"/>
  <c r="L194" i="75"/>
  <c r="K194" i="75"/>
  <c r="J194" i="75"/>
  <c r="I194" i="75"/>
  <c r="H194" i="75"/>
  <c r="G194" i="75"/>
  <c r="F194" i="75"/>
  <c r="E194" i="75"/>
  <c r="D194" i="75"/>
  <c r="C194" i="75"/>
  <c r="B194" i="75"/>
  <c r="A194" i="75"/>
  <c r="M193" i="75"/>
  <c r="L193" i="75"/>
  <c r="K193" i="75"/>
  <c r="J193" i="75"/>
  <c r="I193" i="75"/>
  <c r="H193" i="75"/>
  <c r="G193" i="75"/>
  <c r="F193" i="75"/>
  <c r="E193" i="75"/>
  <c r="D193" i="75"/>
  <c r="C193" i="75"/>
  <c r="B193" i="75"/>
  <c r="A193" i="75"/>
  <c r="M192" i="75"/>
  <c r="L192" i="75"/>
  <c r="K192" i="75"/>
  <c r="J192" i="75"/>
  <c r="I192" i="75"/>
  <c r="H192" i="75"/>
  <c r="G192" i="75"/>
  <c r="F192" i="75"/>
  <c r="E192" i="75"/>
  <c r="D192" i="75"/>
  <c r="C192" i="75"/>
  <c r="B192" i="75"/>
  <c r="A192" i="75"/>
  <c r="M191" i="75"/>
  <c r="L191" i="75"/>
  <c r="K191" i="75"/>
  <c r="J191" i="75"/>
  <c r="I191" i="75"/>
  <c r="H191" i="75"/>
  <c r="G191" i="75"/>
  <c r="F191" i="75"/>
  <c r="E191" i="75"/>
  <c r="D191" i="75"/>
  <c r="C191" i="75"/>
  <c r="B191" i="75"/>
  <c r="A191" i="75"/>
  <c r="M190" i="75"/>
  <c r="L190" i="75"/>
  <c r="K190" i="75"/>
  <c r="J190" i="75"/>
  <c r="I190" i="75"/>
  <c r="H190" i="75"/>
  <c r="G190" i="75"/>
  <c r="F190" i="75"/>
  <c r="E190" i="75"/>
  <c r="D190" i="75"/>
  <c r="C190" i="75"/>
  <c r="B190" i="75"/>
  <c r="A190" i="75"/>
  <c r="M189" i="75"/>
  <c r="L189" i="75"/>
  <c r="K189" i="75"/>
  <c r="J189" i="75"/>
  <c r="I189" i="75"/>
  <c r="H189" i="75"/>
  <c r="G189" i="75"/>
  <c r="F189" i="75"/>
  <c r="E189" i="75"/>
  <c r="D189" i="75"/>
  <c r="C189" i="75"/>
  <c r="B189" i="75"/>
  <c r="A189" i="75"/>
  <c r="M188" i="75"/>
  <c r="L188" i="75"/>
  <c r="K188" i="75"/>
  <c r="J188" i="75"/>
  <c r="I188" i="75"/>
  <c r="H188" i="75"/>
  <c r="G188" i="75"/>
  <c r="F188" i="75"/>
  <c r="E188" i="75"/>
  <c r="D188" i="75"/>
  <c r="C188" i="75"/>
  <c r="B188" i="75"/>
  <c r="A188" i="75"/>
  <c r="M187" i="75"/>
  <c r="L187" i="75"/>
  <c r="K187" i="75"/>
  <c r="J187" i="75"/>
  <c r="I187" i="75"/>
  <c r="H187" i="75"/>
  <c r="G187" i="75"/>
  <c r="F187" i="75"/>
  <c r="E187" i="75"/>
  <c r="D187" i="75"/>
  <c r="C187" i="75"/>
  <c r="B187" i="75"/>
  <c r="A187" i="75"/>
  <c r="M186" i="75"/>
  <c r="L186" i="75"/>
  <c r="K186" i="75"/>
  <c r="J186" i="75"/>
  <c r="I186" i="75"/>
  <c r="H186" i="75"/>
  <c r="G186" i="75"/>
  <c r="F186" i="75"/>
  <c r="E186" i="75"/>
  <c r="D186" i="75"/>
  <c r="C186" i="75"/>
  <c r="B186" i="75"/>
  <c r="A186" i="75"/>
  <c r="M185" i="75"/>
  <c r="L185" i="75"/>
  <c r="K185" i="75"/>
  <c r="J185" i="75"/>
  <c r="I185" i="75"/>
  <c r="H185" i="75"/>
  <c r="G185" i="75"/>
  <c r="F185" i="75"/>
  <c r="E185" i="75"/>
  <c r="D185" i="75"/>
  <c r="C185" i="75"/>
  <c r="B185" i="75"/>
  <c r="A185" i="75"/>
  <c r="M184" i="75"/>
  <c r="L184" i="75"/>
  <c r="K184" i="75"/>
  <c r="J184" i="75"/>
  <c r="I184" i="75"/>
  <c r="H184" i="75"/>
  <c r="G184" i="75"/>
  <c r="F184" i="75"/>
  <c r="E184" i="75"/>
  <c r="D184" i="75"/>
  <c r="C184" i="75"/>
  <c r="B184" i="75"/>
  <c r="A184" i="75"/>
  <c r="M183" i="75"/>
  <c r="L183" i="75"/>
  <c r="K183" i="75"/>
  <c r="J183" i="75"/>
  <c r="I183" i="75"/>
  <c r="H183" i="75"/>
  <c r="G183" i="75"/>
  <c r="F183" i="75"/>
  <c r="E183" i="75"/>
  <c r="D183" i="75"/>
  <c r="C183" i="75"/>
  <c r="B183" i="75"/>
  <c r="A183" i="75"/>
  <c r="M182" i="75"/>
  <c r="L182" i="75"/>
  <c r="K182" i="75"/>
  <c r="J182" i="75"/>
  <c r="I182" i="75"/>
  <c r="H182" i="75"/>
  <c r="G182" i="75"/>
  <c r="F182" i="75"/>
  <c r="E182" i="75"/>
  <c r="D182" i="75"/>
  <c r="C182" i="75"/>
  <c r="B182" i="75"/>
  <c r="A182" i="75"/>
  <c r="M181" i="75"/>
  <c r="L181" i="75"/>
  <c r="K181" i="75"/>
  <c r="J181" i="75"/>
  <c r="I181" i="75"/>
  <c r="H181" i="75"/>
  <c r="G181" i="75"/>
  <c r="F181" i="75"/>
  <c r="E181" i="75"/>
  <c r="D181" i="75"/>
  <c r="C181" i="75"/>
  <c r="B181" i="75"/>
  <c r="A181" i="75"/>
  <c r="M180" i="75"/>
  <c r="L180" i="75"/>
  <c r="K180" i="75"/>
  <c r="J180" i="75"/>
  <c r="I180" i="75"/>
  <c r="H180" i="75"/>
  <c r="G180" i="75"/>
  <c r="F180" i="75"/>
  <c r="E180" i="75"/>
  <c r="D180" i="75"/>
  <c r="C180" i="75"/>
  <c r="B180" i="75"/>
  <c r="A180" i="75"/>
  <c r="M179" i="75"/>
  <c r="L179" i="75"/>
  <c r="K179" i="75"/>
  <c r="J179" i="75"/>
  <c r="I179" i="75"/>
  <c r="H179" i="75"/>
  <c r="G179" i="75"/>
  <c r="F179" i="75"/>
  <c r="E179" i="75"/>
  <c r="D179" i="75"/>
  <c r="C179" i="75"/>
  <c r="B179" i="75"/>
  <c r="A179" i="75"/>
  <c r="M178" i="75"/>
  <c r="L178" i="75"/>
  <c r="K178" i="75"/>
  <c r="J178" i="75"/>
  <c r="I178" i="75"/>
  <c r="H178" i="75"/>
  <c r="G178" i="75"/>
  <c r="F178" i="75"/>
  <c r="E178" i="75"/>
  <c r="D178" i="75"/>
  <c r="C178" i="75"/>
  <c r="B178" i="75"/>
  <c r="A178" i="75"/>
  <c r="M177" i="75"/>
  <c r="L177" i="75"/>
  <c r="K177" i="75"/>
  <c r="J177" i="75"/>
  <c r="I177" i="75"/>
  <c r="H177" i="75"/>
  <c r="G177" i="75"/>
  <c r="F177" i="75"/>
  <c r="E177" i="75"/>
  <c r="D177" i="75"/>
  <c r="C177" i="75"/>
  <c r="B177" i="75"/>
  <c r="A177" i="75"/>
  <c r="M176" i="75"/>
  <c r="L176" i="75"/>
  <c r="K176" i="75"/>
  <c r="J176" i="75"/>
  <c r="I176" i="75"/>
  <c r="H176" i="75"/>
  <c r="G176" i="75"/>
  <c r="F176" i="75"/>
  <c r="E176" i="75"/>
  <c r="D176" i="75"/>
  <c r="C176" i="75"/>
  <c r="B176" i="75"/>
  <c r="A176" i="75"/>
  <c r="M175" i="75"/>
  <c r="L175" i="75"/>
  <c r="K175" i="75"/>
  <c r="J175" i="75"/>
  <c r="I175" i="75"/>
  <c r="H175" i="75"/>
  <c r="G175" i="75"/>
  <c r="F175" i="75"/>
  <c r="E175" i="75"/>
  <c r="D175" i="75"/>
  <c r="C175" i="75"/>
  <c r="B175" i="75"/>
  <c r="A175" i="75"/>
  <c r="M174" i="75"/>
  <c r="L174" i="75"/>
  <c r="K174" i="75"/>
  <c r="J174" i="75"/>
  <c r="I174" i="75"/>
  <c r="H174" i="75"/>
  <c r="G174" i="75"/>
  <c r="F174" i="75"/>
  <c r="E174" i="75"/>
  <c r="D174" i="75"/>
  <c r="C174" i="75"/>
  <c r="B174" i="75"/>
  <c r="A174" i="75"/>
  <c r="M173" i="75"/>
  <c r="L173" i="75"/>
  <c r="K173" i="75"/>
  <c r="J173" i="75"/>
  <c r="I173" i="75"/>
  <c r="H173" i="75"/>
  <c r="G173" i="75"/>
  <c r="F173" i="75"/>
  <c r="E173" i="75"/>
  <c r="D173" i="75"/>
  <c r="C173" i="75"/>
  <c r="B173" i="75"/>
  <c r="A173" i="75"/>
  <c r="M172" i="75"/>
  <c r="L172" i="75"/>
  <c r="K172" i="75"/>
  <c r="J172" i="75"/>
  <c r="I172" i="75"/>
  <c r="H172" i="75"/>
  <c r="G172" i="75"/>
  <c r="F172" i="75"/>
  <c r="E172" i="75"/>
  <c r="D172" i="75"/>
  <c r="C172" i="75"/>
  <c r="B172" i="75"/>
  <c r="A172" i="75"/>
  <c r="M171" i="75"/>
  <c r="L171" i="75"/>
  <c r="K171" i="75"/>
  <c r="J171" i="75"/>
  <c r="I171" i="75"/>
  <c r="H171" i="75"/>
  <c r="G171" i="75"/>
  <c r="F171" i="75"/>
  <c r="E171" i="75"/>
  <c r="D171" i="75"/>
  <c r="C171" i="75"/>
  <c r="B171" i="75"/>
  <c r="A171" i="75"/>
  <c r="M170" i="75"/>
  <c r="L170" i="75"/>
  <c r="K170" i="75"/>
  <c r="J170" i="75"/>
  <c r="I170" i="75"/>
  <c r="H170" i="75"/>
  <c r="G170" i="75"/>
  <c r="F170" i="75"/>
  <c r="E170" i="75"/>
  <c r="D170" i="75"/>
  <c r="C170" i="75"/>
  <c r="B170" i="75"/>
  <c r="A170" i="75"/>
  <c r="M169" i="75"/>
  <c r="L169" i="75"/>
  <c r="K169" i="75"/>
  <c r="J169" i="75"/>
  <c r="I169" i="75"/>
  <c r="H169" i="75"/>
  <c r="G169" i="75"/>
  <c r="F169" i="75"/>
  <c r="E169" i="75"/>
  <c r="D169" i="75"/>
  <c r="C169" i="75"/>
  <c r="B169" i="75"/>
  <c r="A169" i="75"/>
  <c r="M168" i="75"/>
  <c r="L168" i="75"/>
  <c r="K168" i="75"/>
  <c r="J168" i="75"/>
  <c r="I168" i="75"/>
  <c r="H168" i="75"/>
  <c r="G168" i="75"/>
  <c r="F168" i="75"/>
  <c r="E168" i="75"/>
  <c r="D168" i="75"/>
  <c r="C168" i="75"/>
  <c r="B168" i="75"/>
  <c r="A168" i="75"/>
  <c r="M167" i="75"/>
  <c r="L167" i="75"/>
  <c r="K167" i="75"/>
  <c r="J167" i="75"/>
  <c r="I167" i="75"/>
  <c r="H167" i="75"/>
  <c r="G167" i="75"/>
  <c r="F167" i="75"/>
  <c r="E167" i="75"/>
  <c r="D167" i="75"/>
  <c r="C167" i="75"/>
  <c r="B167" i="75"/>
  <c r="A167" i="75"/>
  <c r="M166" i="75"/>
  <c r="L166" i="75"/>
  <c r="K166" i="75"/>
  <c r="J166" i="75"/>
  <c r="I166" i="75"/>
  <c r="H166" i="75"/>
  <c r="G166" i="75"/>
  <c r="F166" i="75"/>
  <c r="E166" i="75"/>
  <c r="D166" i="75"/>
  <c r="C166" i="75"/>
  <c r="B166" i="75"/>
  <c r="A166" i="75"/>
  <c r="M165" i="75"/>
  <c r="L165" i="75"/>
  <c r="K165" i="75"/>
  <c r="J165" i="75"/>
  <c r="I165" i="75"/>
  <c r="H165" i="75"/>
  <c r="G165" i="75"/>
  <c r="F165" i="75"/>
  <c r="E165" i="75"/>
  <c r="D165" i="75"/>
  <c r="C165" i="75"/>
  <c r="B165" i="75"/>
  <c r="A165" i="75"/>
  <c r="M164" i="75"/>
  <c r="L164" i="75"/>
  <c r="K164" i="75"/>
  <c r="J164" i="75"/>
  <c r="I164" i="75"/>
  <c r="H164" i="75"/>
  <c r="G164" i="75"/>
  <c r="F164" i="75"/>
  <c r="E164" i="75"/>
  <c r="D164" i="75"/>
  <c r="C164" i="75"/>
  <c r="B164" i="75"/>
  <c r="A164" i="75"/>
  <c r="M163" i="75"/>
  <c r="L163" i="75"/>
  <c r="K163" i="75"/>
  <c r="J163" i="75"/>
  <c r="I163" i="75"/>
  <c r="H163" i="75"/>
  <c r="G163" i="75"/>
  <c r="F163" i="75"/>
  <c r="E163" i="75"/>
  <c r="D163" i="75"/>
  <c r="C163" i="75"/>
  <c r="B163" i="75"/>
  <c r="A163" i="75"/>
  <c r="M162" i="75"/>
  <c r="L162" i="75"/>
  <c r="K162" i="75"/>
  <c r="J162" i="75"/>
  <c r="I162" i="75"/>
  <c r="H162" i="75"/>
  <c r="G162" i="75"/>
  <c r="F162" i="75"/>
  <c r="E162" i="75"/>
  <c r="D162" i="75"/>
  <c r="C162" i="75"/>
  <c r="B162" i="75"/>
  <c r="A162" i="75"/>
  <c r="M161" i="75"/>
  <c r="L161" i="75"/>
  <c r="K161" i="75"/>
  <c r="J161" i="75"/>
  <c r="I161" i="75"/>
  <c r="H161" i="75"/>
  <c r="G161" i="75"/>
  <c r="F161" i="75"/>
  <c r="E161" i="75"/>
  <c r="D161" i="75"/>
  <c r="C161" i="75"/>
  <c r="B161" i="75"/>
  <c r="A161" i="75"/>
  <c r="M160" i="75"/>
  <c r="L160" i="75"/>
  <c r="K160" i="75"/>
  <c r="J160" i="75"/>
  <c r="I160" i="75"/>
  <c r="H160" i="75"/>
  <c r="G160" i="75"/>
  <c r="F160" i="75"/>
  <c r="E160" i="75"/>
  <c r="D160" i="75"/>
  <c r="C160" i="75"/>
  <c r="B160" i="75"/>
  <c r="A160" i="75"/>
  <c r="M159" i="75"/>
  <c r="L159" i="75"/>
  <c r="K159" i="75"/>
  <c r="J159" i="75"/>
  <c r="I159" i="75"/>
  <c r="H159" i="75"/>
  <c r="G159" i="75"/>
  <c r="F159" i="75"/>
  <c r="E159" i="75"/>
  <c r="D159" i="75"/>
  <c r="C159" i="75"/>
  <c r="B159" i="75"/>
  <c r="A159" i="75"/>
  <c r="M158" i="75"/>
  <c r="L158" i="75"/>
  <c r="K158" i="75"/>
  <c r="J158" i="75"/>
  <c r="I158" i="75"/>
  <c r="H158" i="75"/>
  <c r="G158" i="75"/>
  <c r="F158" i="75"/>
  <c r="E158" i="75"/>
  <c r="D158" i="75"/>
  <c r="C158" i="75"/>
  <c r="B158" i="75"/>
  <c r="A158" i="75"/>
  <c r="M157" i="75"/>
  <c r="L157" i="75"/>
  <c r="K157" i="75"/>
  <c r="J157" i="75"/>
  <c r="I157" i="75"/>
  <c r="H157" i="75"/>
  <c r="G157" i="75"/>
  <c r="F157" i="75"/>
  <c r="E157" i="75"/>
  <c r="D157" i="75"/>
  <c r="C157" i="75"/>
  <c r="B157" i="75"/>
  <c r="A157" i="75"/>
  <c r="M156" i="75"/>
  <c r="L156" i="75"/>
  <c r="K156" i="75"/>
  <c r="J156" i="75"/>
  <c r="I156" i="75"/>
  <c r="H156" i="75"/>
  <c r="G156" i="75"/>
  <c r="F156" i="75"/>
  <c r="E156" i="75"/>
  <c r="D156" i="75"/>
  <c r="C156" i="75"/>
  <c r="B156" i="75"/>
  <c r="A156" i="75"/>
  <c r="M155" i="75"/>
  <c r="L155" i="75"/>
  <c r="K155" i="75"/>
  <c r="J155" i="75"/>
  <c r="I155" i="75"/>
  <c r="H155" i="75"/>
  <c r="G155" i="75"/>
  <c r="F155" i="75"/>
  <c r="E155" i="75"/>
  <c r="D155" i="75"/>
  <c r="C155" i="75"/>
  <c r="B155" i="75"/>
  <c r="A155" i="75"/>
  <c r="M154" i="75"/>
  <c r="L154" i="75"/>
  <c r="K154" i="75"/>
  <c r="J154" i="75"/>
  <c r="I154" i="75"/>
  <c r="H154" i="75"/>
  <c r="G154" i="75"/>
  <c r="F154" i="75"/>
  <c r="E154" i="75"/>
  <c r="D154" i="75"/>
  <c r="C154" i="75"/>
  <c r="B154" i="75"/>
  <c r="A154" i="75"/>
  <c r="M153" i="75"/>
  <c r="L153" i="75"/>
  <c r="K153" i="75"/>
  <c r="J153" i="75"/>
  <c r="I153" i="75"/>
  <c r="H153" i="75"/>
  <c r="G153" i="75"/>
  <c r="F153" i="75"/>
  <c r="E153" i="75"/>
  <c r="D153" i="75"/>
  <c r="C153" i="75"/>
  <c r="B153" i="75"/>
  <c r="A153" i="75"/>
  <c r="M152" i="75"/>
  <c r="L152" i="75"/>
  <c r="K152" i="75"/>
  <c r="J152" i="75"/>
  <c r="I152" i="75"/>
  <c r="H152" i="75"/>
  <c r="G152" i="75"/>
  <c r="F152" i="75"/>
  <c r="E152" i="75"/>
  <c r="D152" i="75"/>
  <c r="C152" i="75"/>
  <c r="B152" i="75"/>
  <c r="A152" i="75"/>
  <c r="M151" i="75"/>
  <c r="L151" i="75"/>
  <c r="K151" i="75"/>
  <c r="J151" i="75"/>
  <c r="I151" i="75"/>
  <c r="H151" i="75"/>
  <c r="G151" i="75"/>
  <c r="F151" i="75"/>
  <c r="E151" i="75"/>
  <c r="D151" i="75"/>
  <c r="C151" i="75"/>
  <c r="B151" i="75"/>
  <c r="A151" i="75"/>
  <c r="M150" i="75"/>
  <c r="L150" i="75"/>
  <c r="K150" i="75"/>
  <c r="J150" i="75"/>
  <c r="I150" i="75"/>
  <c r="H150" i="75"/>
  <c r="G150" i="75"/>
  <c r="F150" i="75"/>
  <c r="E150" i="75"/>
  <c r="D150" i="75"/>
  <c r="C150" i="75"/>
  <c r="B150" i="75"/>
  <c r="A150" i="75"/>
  <c r="M149" i="75"/>
  <c r="L149" i="75"/>
  <c r="K149" i="75"/>
  <c r="J149" i="75"/>
  <c r="I149" i="75"/>
  <c r="H149" i="75"/>
  <c r="G149" i="75"/>
  <c r="F149" i="75"/>
  <c r="E149" i="75"/>
  <c r="D149" i="75"/>
  <c r="C149" i="75"/>
  <c r="B149" i="75"/>
  <c r="A149" i="75"/>
  <c r="M148" i="75"/>
  <c r="L148" i="75"/>
  <c r="K148" i="75"/>
  <c r="J148" i="75"/>
  <c r="I148" i="75"/>
  <c r="H148" i="75"/>
  <c r="G148" i="75"/>
  <c r="F148" i="75"/>
  <c r="E148" i="75"/>
  <c r="D148" i="75"/>
  <c r="C148" i="75"/>
  <c r="B148" i="75"/>
  <c r="A148" i="75"/>
  <c r="M147" i="75"/>
  <c r="L147" i="75"/>
  <c r="K147" i="75"/>
  <c r="J147" i="75"/>
  <c r="I147" i="75"/>
  <c r="H147" i="75"/>
  <c r="G147" i="75"/>
  <c r="F147" i="75"/>
  <c r="E147" i="75"/>
  <c r="D147" i="75"/>
  <c r="C147" i="75"/>
  <c r="B147" i="75"/>
  <c r="A147" i="75"/>
  <c r="M146" i="75"/>
  <c r="L146" i="75"/>
  <c r="K146" i="75"/>
  <c r="J146" i="75"/>
  <c r="I146" i="75"/>
  <c r="H146" i="75"/>
  <c r="G146" i="75"/>
  <c r="F146" i="75"/>
  <c r="E146" i="75"/>
  <c r="D146" i="75"/>
  <c r="C146" i="75"/>
  <c r="B146" i="75"/>
  <c r="A146" i="75"/>
  <c r="M145" i="75"/>
  <c r="L145" i="75"/>
  <c r="K145" i="75"/>
  <c r="J145" i="75"/>
  <c r="I145" i="75"/>
  <c r="H145" i="75"/>
  <c r="G145" i="75"/>
  <c r="F145" i="75"/>
  <c r="E145" i="75"/>
  <c r="D145" i="75"/>
  <c r="C145" i="75"/>
  <c r="B145" i="75"/>
  <c r="A145" i="75"/>
  <c r="M144" i="75"/>
  <c r="L144" i="75"/>
  <c r="K144" i="75"/>
  <c r="J144" i="75"/>
  <c r="I144" i="75"/>
  <c r="H144" i="75"/>
  <c r="G144" i="75"/>
  <c r="F144" i="75"/>
  <c r="E144" i="75"/>
  <c r="D144" i="75"/>
  <c r="C144" i="75"/>
  <c r="B144" i="75"/>
  <c r="A144" i="75"/>
  <c r="M143" i="75"/>
  <c r="L143" i="75"/>
  <c r="K143" i="75"/>
  <c r="J143" i="75"/>
  <c r="I143" i="75"/>
  <c r="H143" i="75"/>
  <c r="G143" i="75"/>
  <c r="F143" i="75"/>
  <c r="E143" i="75"/>
  <c r="D143" i="75"/>
  <c r="C143" i="75"/>
  <c r="B143" i="75"/>
  <c r="A143" i="75"/>
  <c r="M142" i="75"/>
  <c r="L142" i="75"/>
  <c r="K142" i="75"/>
  <c r="J142" i="75"/>
  <c r="I142" i="75"/>
  <c r="H142" i="75"/>
  <c r="G142" i="75"/>
  <c r="F142" i="75"/>
  <c r="E142" i="75"/>
  <c r="D142" i="75"/>
  <c r="C142" i="75"/>
  <c r="B142" i="75"/>
  <c r="A142" i="75"/>
  <c r="M141" i="75"/>
  <c r="L141" i="75"/>
  <c r="K141" i="75"/>
  <c r="J141" i="75"/>
  <c r="I141" i="75"/>
  <c r="H141" i="75"/>
  <c r="G141" i="75"/>
  <c r="F141" i="75"/>
  <c r="E141" i="75"/>
  <c r="D141" i="75"/>
  <c r="C141" i="75"/>
  <c r="B141" i="75"/>
  <c r="A141" i="75"/>
  <c r="M140" i="75"/>
  <c r="L140" i="75"/>
  <c r="K140" i="75"/>
  <c r="J140" i="75"/>
  <c r="I140" i="75"/>
  <c r="H140" i="75"/>
  <c r="G140" i="75"/>
  <c r="F140" i="75"/>
  <c r="E140" i="75"/>
  <c r="D140" i="75"/>
  <c r="C140" i="75"/>
  <c r="B140" i="75"/>
  <c r="A140" i="75"/>
  <c r="M139" i="75"/>
  <c r="L139" i="75"/>
  <c r="K139" i="75"/>
  <c r="J139" i="75"/>
  <c r="I139" i="75"/>
  <c r="H139" i="75"/>
  <c r="G139" i="75"/>
  <c r="F139" i="75"/>
  <c r="E139" i="75"/>
  <c r="D139" i="75"/>
  <c r="C139" i="75"/>
  <c r="B139" i="75"/>
  <c r="A139" i="75"/>
  <c r="M138" i="75"/>
  <c r="L138" i="75"/>
  <c r="K138" i="75"/>
  <c r="J138" i="75"/>
  <c r="I138" i="75"/>
  <c r="H138" i="75"/>
  <c r="G138" i="75"/>
  <c r="F138" i="75"/>
  <c r="E138" i="75"/>
  <c r="D138" i="75"/>
  <c r="C138" i="75"/>
  <c r="B138" i="75"/>
  <c r="A138" i="75"/>
  <c r="M137" i="75"/>
  <c r="L137" i="75"/>
  <c r="K137" i="75"/>
  <c r="J137" i="75"/>
  <c r="I137" i="75"/>
  <c r="H137" i="75"/>
  <c r="G137" i="75"/>
  <c r="F137" i="75"/>
  <c r="E137" i="75"/>
  <c r="D137" i="75"/>
  <c r="C137" i="75"/>
  <c r="B137" i="75"/>
  <c r="A137" i="75"/>
  <c r="M136" i="75"/>
  <c r="L136" i="75"/>
  <c r="K136" i="75"/>
  <c r="J136" i="75"/>
  <c r="I136" i="75"/>
  <c r="H136" i="75"/>
  <c r="G136" i="75"/>
  <c r="F136" i="75"/>
  <c r="E136" i="75"/>
  <c r="D136" i="75"/>
  <c r="C136" i="75"/>
  <c r="B136" i="75"/>
  <c r="A136" i="75"/>
  <c r="M135" i="75"/>
  <c r="L135" i="75"/>
  <c r="K135" i="75"/>
  <c r="J135" i="75"/>
  <c r="I135" i="75"/>
  <c r="H135" i="75"/>
  <c r="G135" i="75"/>
  <c r="F135" i="75"/>
  <c r="E135" i="75"/>
  <c r="D135" i="75"/>
  <c r="C135" i="75"/>
  <c r="B135" i="75"/>
  <c r="A135" i="75"/>
  <c r="M134" i="75"/>
  <c r="L134" i="75"/>
  <c r="K134" i="75"/>
  <c r="J134" i="75"/>
  <c r="I134" i="75"/>
  <c r="H134" i="75"/>
  <c r="G134" i="75"/>
  <c r="F134" i="75"/>
  <c r="E134" i="75"/>
  <c r="D134" i="75"/>
  <c r="C134" i="75"/>
  <c r="B134" i="75"/>
  <c r="A134" i="75"/>
  <c r="M133" i="75"/>
  <c r="L133" i="75"/>
  <c r="K133" i="75"/>
  <c r="J133" i="75"/>
  <c r="I133" i="75"/>
  <c r="H133" i="75"/>
  <c r="G133" i="75"/>
  <c r="F133" i="75"/>
  <c r="E133" i="75"/>
  <c r="D133" i="75"/>
  <c r="C133" i="75"/>
  <c r="B133" i="75"/>
  <c r="A133" i="75"/>
  <c r="M132" i="75"/>
  <c r="L132" i="75"/>
  <c r="K132" i="75"/>
  <c r="J132" i="75"/>
  <c r="I132" i="75"/>
  <c r="H132" i="75"/>
  <c r="G132" i="75"/>
  <c r="F132" i="75"/>
  <c r="E132" i="75"/>
  <c r="D132" i="75"/>
  <c r="C132" i="75"/>
  <c r="B132" i="75"/>
  <c r="A132" i="75"/>
  <c r="M131" i="75"/>
  <c r="L131" i="75"/>
  <c r="K131" i="75"/>
  <c r="J131" i="75"/>
  <c r="I131" i="75"/>
  <c r="H131" i="75"/>
  <c r="G131" i="75"/>
  <c r="F131" i="75"/>
  <c r="E131" i="75"/>
  <c r="D131" i="75"/>
  <c r="C131" i="75"/>
  <c r="B131" i="75"/>
  <c r="A131" i="75"/>
  <c r="M130" i="75"/>
  <c r="L130" i="75"/>
  <c r="K130" i="75"/>
  <c r="J130" i="75"/>
  <c r="I130" i="75"/>
  <c r="H130" i="75"/>
  <c r="G130" i="75"/>
  <c r="F130" i="75"/>
  <c r="E130" i="75"/>
  <c r="D130" i="75"/>
  <c r="C130" i="75"/>
  <c r="B130" i="75"/>
  <c r="A130" i="75"/>
  <c r="M129" i="75"/>
  <c r="L129" i="75"/>
  <c r="K129" i="75"/>
  <c r="J129" i="75"/>
  <c r="I129" i="75"/>
  <c r="H129" i="75"/>
  <c r="G129" i="75"/>
  <c r="F129" i="75"/>
  <c r="E129" i="75"/>
  <c r="D129" i="75"/>
  <c r="C129" i="75"/>
  <c r="B129" i="75"/>
  <c r="A129" i="75"/>
  <c r="M128" i="75"/>
  <c r="L128" i="75"/>
  <c r="K128" i="75"/>
  <c r="J128" i="75"/>
  <c r="I128" i="75"/>
  <c r="H128" i="75"/>
  <c r="G128" i="75"/>
  <c r="F128" i="75"/>
  <c r="E128" i="75"/>
  <c r="D128" i="75"/>
  <c r="C128" i="75"/>
  <c r="B128" i="75"/>
  <c r="A128" i="75"/>
  <c r="M127" i="75"/>
  <c r="L127" i="75"/>
  <c r="K127" i="75"/>
  <c r="J127" i="75"/>
  <c r="I127" i="75"/>
  <c r="H127" i="75"/>
  <c r="G127" i="75"/>
  <c r="F127" i="75"/>
  <c r="E127" i="75"/>
  <c r="D127" i="75"/>
  <c r="C127" i="75"/>
  <c r="B127" i="75"/>
  <c r="A127" i="75"/>
  <c r="M126" i="75"/>
  <c r="L126" i="75"/>
  <c r="K126" i="75"/>
  <c r="J126" i="75"/>
  <c r="I126" i="75"/>
  <c r="H126" i="75"/>
  <c r="G126" i="75"/>
  <c r="F126" i="75"/>
  <c r="E126" i="75"/>
  <c r="D126" i="75"/>
  <c r="C126" i="75"/>
  <c r="B126" i="75"/>
  <c r="A126" i="75"/>
  <c r="M125" i="75"/>
  <c r="L125" i="75"/>
  <c r="K125" i="75"/>
  <c r="J125" i="75"/>
  <c r="I125" i="75"/>
  <c r="H125" i="75"/>
  <c r="G125" i="75"/>
  <c r="F125" i="75"/>
  <c r="E125" i="75"/>
  <c r="D125" i="75"/>
  <c r="C125" i="75"/>
  <c r="B125" i="75"/>
  <c r="A125" i="75"/>
  <c r="M124" i="75"/>
  <c r="L124" i="75"/>
  <c r="K124" i="75"/>
  <c r="J124" i="75"/>
  <c r="I124" i="75"/>
  <c r="H124" i="75"/>
  <c r="G124" i="75"/>
  <c r="F124" i="75"/>
  <c r="E124" i="75"/>
  <c r="D124" i="75"/>
  <c r="C124" i="75"/>
  <c r="B124" i="75"/>
  <c r="A124" i="75"/>
  <c r="M123" i="75"/>
  <c r="L123" i="75"/>
  <c r="K123" i="75"/>
  <c r="J123" i="75"/>
  <c r="I123" i="75"/>
  <c r="H123" i="75"/>
  <c r="G123" i="75"/>
  <c r="F123" i="75"/>
  <c r="E123" i="75"/>
  <c r="D123" i="75"/>
  <c r="C123" i="75"/>
  <c r="B123" i="75"/>
  <c r="A123" i="75"/>
  <c r="M122" i="75"/>
  <c r="L122" i="75"/>
  <c r="K122" i="75"/>
  <c r="J122" i="75"/>
  <c r="I122" i="75"/>
  <c r="H122" i="75"/>
  <c r="G122" i="75"/>
  <c r="F122" i="75"/>
  <c r="E122" i="75"/>
  <c r="D122" i="75"/>
  <c r="C122" i="75"/>
  <c r="B122" i="75"/>
  <c r="A122" i="75"/>
  <c r="M121" i="75"/>
  <c r="L121" i="75"/>
  <c r="K121" i="75"/>
  <c r="J121" i="75"/>
  <c r="I121" i="75"/>
  <c r="H121" i="75"/>
  <c r="G121" i="75"/>
  <c r="F121" i="75"/>
  <c r="E121" i="75"/>
  <c r="D121" i="75"/>
  <c r="C121" i="75"/>
  <c r="B121" i="75"/>
  <c r="A121" i="75"/>
  <c r="M120" i="75"/>
  <c r="L120" i="75"/>
  <c r="K120" i="75"/>
  <c r="J120" i="75"/>
  <c r="I120" i="75"/>
  <c r="H120" i="75"/>
  <c r="G120" i="75"/>
  <c r="F120" i="75"/>
  <c r="E120" i="75"/>
  <c r="D120" i="75"/>
  <c r="C120" i="75"/>
  <c r="B120" i="75"/>
  <c r="A120" i="75"/>
  <c r="M119" i="75"/>
  <c r="L119" i="75"/>
  <c r="K119" i="75"/>
  <c r="J119" i="75"/>
  <c r="I119" i="75"/>
  <c r="H119" i="75"/>
  <c r="G119" i="75"/>
  <c r="F119" i="75"/>
  <c r="E119" i="75"/>
  <c r="D119" i="75"/>
  <c r="C119" i="75"/>
  <c r="B119" i="75"/>
  <c r="A119" i="75"/>
  <c r="M118" i="75"/>
  <c r="L118" i="75"/>
  <c r="K118" i="75"/>
  <c r="J118" i="75"/>
  <c r="I118" i="75"/>
  <c r="H118" i="75"/>
  <c r="G118" i="75"/>
  <c r="F118" i="75"/>
  <c r="E118" i="75"/>
  <c r="D118" i="75"/>
  <c r="C118" i="75"/>
  <c r="B118" i="75"/>
  <c r="A118" i="75"/>
  <c r="M117" i="75"/>
  <c r="L117" i="75"/>
  <c r="K117" i="75"/>
  <c r="J117" i="75"/>
  <c r="I117" i="75"/>
  <c r="H117" i="75"/>
  <c r="G117" i="75"/>
  <c r="F117" i="75"/>
  <c r="E117" i="75"/>
  <c r="D117" i="75"/>
  <c r="C117" i="75"/>
  <c r="B117" i="75"/>
  <c r="A117" i="75"/>
  <c r="M116" i="75"/>
  <c r="L116" i="75"/>
  <c r="K116" i="75"/>
  <c r="J116" i="75"/>
  <c r="I116" i="75"/>
  <c r="H116" i="75"/>
  <c r="G116" i="75"/>
  <c r="F116" i="75"/>
  <c r="E116" i="75"/>
  <c r="D116" i="75"/>
  <c r="C116" i="75"/>
  <c r="B116" i="75"/>
  <c r="A116" i="75"/>
  <c r="M115" i="75"/>
  <c r="L115" i="75"/>
  <c r="K115" i="75"/>
  <c r="J115" i="75"/>
  <c r="I115" i="75"/>
  <c r="H115" i="75"/>
  <c r="G115" i="75"/>
  <c r="F115" i="75"/>
  <c r="E115" i="75"/>
  <c r="D115" i="75"/>
  <c r="C115" i="75"/>
  <c r="B115" i="75"/>
  <c r="A115" i="75"/>
  <c r="M114" i="75"/>
  <c r="L114" i="75"/>
  <c r="K114" i="75"/>
  <c r="J114" i="75"/>
  <c r="I114" i="75"/>
  <c r="H114" i="75"/>
  <c r="G114" i="75"/>
  <c r="F114" i="75"/>
  <c r="E114" i="75"/>
  <c r="D114" i="75"/>
  <c r="C114" i="75"/>
  <c r="B114" i="75"/>
  <c r="A114" i="75"/>
  <c r="M113" i="75"/>
  <c r="L113" i="75"/>
  <c r="K113" i="75"/>
  <c r="J113" i="75"/>
  <c r="I113" i="75"/>
  <c r="H113" i="75"/>
  <c r="G113" i="75"/>
  <c r="F113" i="75"/>
  <c r="E113" i="75"/>
  <c r="D113" i="75"/>
  <c r="C113" i="75"/>
  <c r="B113" i="75"/>
  <c r="A113" i="75"/>
  <c r="M112" i="75"/>
  <c r="L112" i="75"/>
  <c r="K112" i="75"/>
  <c r="J112" i="75"/>
  <c r="I112" i="75"/>
  <c r="H112" i="75"/>
  <c r="G112" i="75"/>
  <c r="F112" i="75"/>
  <c r="E112" i="75"/>
  <c r="D112" i="75"/>
  <c r="C112" i="75"/>
  <c r="B112" i="75"/>
  <c r="A112" i="75"/>
  <c r="M111" i="75"/>
  <c r="L111" i="75"/>
  <c r="K111" i="75"/>
  <c r="J111" i="75"/>
  <c r="I111" i="75"/>
  <c r="H111" i="75"/>
  <c r="G111" i="75"/>
  <c r="F111" i="75"/>
  <c r="E111" i="75"/>
  <c r="D111" i="75"/>
  <c r="C111" i="75"/>
  <c r="B111" i="75"/>
  <c r="A111" i="75"/>
  <c r="M110" i="75"/>
  <c r="L110" i="75"/>
  <c r="K110" i="75"/>
  <c r="J110" i="75"/>
  <c r="I110" i="75"/>
  <c r="H110" i="75"/>
  <c r="G110" i="75"/>
  <c r="F110" i="75"/>
  <c r="E110" i="75"/>
  <c r="D110" i="75"/>
  <c r="C110" i="75"/>
  <c r="B110" i="75"/>
  <c r="A110" i="75"/>
  <c r="M109" i="75"/>
  <c r="L109" i="75"/>
  <c r="K109" i="75"/>
  <c r="J109" i="75"/>
  <c r="I109" i="75"/>
  <c r="H109" i="75"/>
  <c r="G109" i="75"/>
  <c r="F109" i="75"/>
  <c r="E109" i="75"/>
  <c r="D109" i="75"/>
  <c r="C109" i="75"/>
  <c r="B109" i="75"/>
  <c r="A109" i="75"/>
  <c r="M108" i="75"/>
  <c r="L108" i="75"/>
  <c r="K108" i="75"/>
  <c r="J108" i="75"/>
  <c r="I108" i="75"/>
  <c r="H108" i="75"/>
  <c r="G108" i="75"/>
  <c r="F108" i="75"/>
  <c r="E108" i="75"/>
  <c r="D108" i="75"/>
  <c r="C108" i="75"/>
  <c r="B108" i="75"/>
  <c r="A108" i="75"/>
  <c r="M107" i="75"/>
  <c r="L107" i="75"/>
  <c r="K107" i="75"/>
  <c r="J107" i="75"/>
  <c r="I107" i="75"/>
  <c r="H107" i="75"/>
  <c r="G107" i="75"/>
  <c r="F107" i="75"/>
  <c r="E107" i="75"/>
  <c r="D107" i="75"/>
  <c r="C107" i="75"/>
  <c r="B107" i="75"/>
  <c r="A107" i="75"/>
  <c r="M106" i="75"/>
  <c r="L106" i="75"/>
  <c r="K106" i="75"/>
  <c r="J106" i="75"/>
  <c r="I106" i="75"/>
  <c r="H106" i="75"/>
  <c r="G106" i="75"/>
  <c r="F106" i="75"/>
  <c r="E106" i="75"/>
  <c r="D106" i="75"/>
  <c r="C106" i="75"/>
  <c r="B106" i="75"/>
  <c r="A106" i="75"/>
  <c r="M105" i="75"/>
  <c r="L105" i="75"/>
  <c r="K105" i="75"/>
  <c r="J105" i="75"/>
  <c r="I105" i="75"/>
  <c r="H105" i="75"/>
  <c r="G105" i="75"/>
  <c r="F105" i="75"/>
  <c r="E105" i="75"/>
  <c r="D105" i="75"/>
  <c r="C105" i="75"/>
  <c r="B105" i="75"/>
  <c r="A105" i="75"/>
  <c r="M104" i="75"/>
  <c r="L104" i="75"/>
  <c r="K104" i="75"/>
  <c r="J104" i="75"/>
  <c r="I104" i="75"/>
  <c r="H104" i="75"/>
  <c r="G104" i="75"/>
  <c r="F104" i="75"/>
  <c r="E104" i="75"/>
  <c r="D104" i="75"/>
  <c r="C104" i="75"/>
  <c r="B104" i="75"/>
  <c r="A104" i="75"/>
  <c r="M103" i="75"/>
  <c r="L103" i="75"/>
  <c r="K103" i="75"/>
  <c r="J103" i="75"/>
  <c r="I103" i="75"/>
  <c r="H103" i="75"/>
  <c r="G103" i="75"/>
  <c r="F103" i="75"/>
  <c r="E103" i="75"/>
  <c r="D103" i="75"/>
  <c r="C103" i="75"/>
  <c r="B103" i="75"/>
  <c r="A103" i="75"/>
  <c r="M102" i="75"/>
  <c r="L102" i="75"/>
  <c r="K102" i="75"/>
  <c r="J102" i="75"/>
  <c r="I102" i="75"/>
  <c r="H102" i="75"/>
  <c r="G102" i="75"/>
  <c r="F102" i="75"/>
  <c r="E102" i="75"/>
  <c r="D102" i="75"/>
  <c r="C102" i="75"/>
  <c r="B102" i="75"/>
  <c r="A102" i="75"/>
  <c r="M101" i="75"/>
  <c r="L101" i="75"/>
  <c r="K101" i="75"/>
  <c r="J101" i="75"/>
  <c r="I101" i="75"/>
  <c r="H101" i="75"/>
  <c r="G101" i="75"/>
  <c r="F101" i="75"/>
  <c r="E101" i="75"/>
  <c r="D101" i="75"/>
  <c r="C101" i="75"/>
  <c r="B101" i="75"/>
  <c r="A101" i="75"/>
  <c r="M100" i="75"/>
  <c r="L100" i="75"/>
  <c r="K100" i="75"/>
  <c r="J100" i="75"/>
  <c r="I100" i="75"/>
  <c r="H100" i="75"/>
  <c r="G100" i="75"/>
  <c r="F100" i="75"/>
  <c r="E100" i="75"/>
  <c r="D100" i="75"/>
  <c r="C100" i="75"/>
  <c r="B100" i="75"/>
  <c r="A100" i="75"/>
  <c r="M99" i="75"/>
  <c r="L99" i="75"/>
  <c r="K99" i="75"/>
  <c r="J99" i="75"/>
  <c r="I99" i="75"/>
  <c r="H99" i="75"/>
  <c r="G99" i="75"/>
  <c r="F99" i="75"/>
  <c r="E99" i="75"/>
  <c r="D99" i="75"/>
  <c r="C99" i="75"/>
  <c r="B99" i="75"/>
  <c r="A99" i="75"/>
  <c r="M98" i="75"/>
  <c r="L98" i="75"/>
  <c r="K98" i="75"/>
  <c r="J98" i="75"/>
  <c r="I98" i="75"/>
  <c r="H98" i="75"/>
  <c r="G98" i="75"/>
  <c r="F98" i="75"/>
  <c r="E98" i="75"/>
  <c r="D98" i="75"/>
  <c r="C98" i="75"/>
  <c r="B98" i="75"/>
  <c r="A98" i="75"/>
  <c r="M97" i="75"/>
  <c r="L97" i="75"/>
  <c r="K97" i="75"/>
  <c r="J97" i="75"/>
  <c r="I97" i="75"/>
  <c r="H97" i="75"/>
  <c r="G97" i="75"/>
  <c r="F97" i="75"/>
  <c r="E97" i="75"/>
  <c r="D97" i="75"/>
  <c r="C97" i="75"/>
  <c r="B97" i="75"/>
  <c r="A97" i="75"/>
  <c r="M96" i="75"/>
  <c r="L96" i="75"/>
  <c r="K96" i="75"/>
  <c r="J96" i="75"/>
  <c r="I96" i="75"/>
  <c r="H96" i="75"/>
  <c r="G96" i="75"/>
  <c r="F96" i="75"/>
  <c r="E96" i="75"/>
  <c r="D96" i="75"/>
  <c r="C96" i="75"/>
  <c r="B96" i="75"/>
  <c r="A96" i="75"/>
  <c r="M95" i="75"/>
  <c r="L95" i="75"/>
  <c r="K95" i="75"/>
  <c r="J95" i="75"/>
  <c r="I95" i="75"/>
  <c r="H95" i="75"/>
  <c r="G95" i="75"/>
  <c r="F95" i="75"/>
  <c r="E95" i="75"/>
  <c r="D95" i="75"/>
  <c r="C95" i="75"/>
  <c r="B95" i="75"/>
  <c r="A95" i="75"/>
  <c r="M94" i="75"/>
  <c r="L94" i="75"/>
  <c r="K94" i="75"/>
  <c r="J94" i="75"/>
  <c r="I94" i="75"/>
  <c r="H94" i="75"/>
  <c r="G94" i="75"/>
  <c r="F94" i="75"/>
  <c r="E94" i="75"/>
  <c r="D94" i="75"/>
  <c r="C94" i="75"/>
  <c r="B94" i="75"/>
  <c r="A94" i="75"/>
  <c r="M93" i="75"/>
  <c r="L93" i="75"/>
  <c r="K93" i="75"/>
  <c r="J93" i="75"/>
  <c r="I93" i="75"/>
  <c r="H93" i="75"/>
  <c r="G93" i="75"/>
  <c r="F93" i="75"/>
  <c r="E93" i="75"/>
  <c r="D93" i="75"/>
  <c r="C93" i="75"/>
  <c r="B93" i="75"/>
  <c r="A93" i="75"/>
  <c r="M92" i="75"/>
  <c r="L92" i="75"/>
  <c r="K92" i="75"/>
  <c r="J92" i="75"/>
  <c r="I92" i="75"/>
  <c r="H92" i="75"/>
  <c r="G92" i="75"/>
  <c r="F92" i="75"/>
  <c r="E92" i="75"/>
  <c r="D92" i="75"/>
  <c r="C92" i="75"/>
  <c r="B92" i="75"/>
  <c r="A92" i="75"/>
  <c r="M91" i="75"/>
  <c r="L91" i="75"/>
  <c r="K91" i="75"/>
  <c r="J91" i="75"/>
  <c r="I91" i="75"/>
  <c r="H91" i="75"/>
  <c r="G91" i="75"/>
  <c r="F91" i="75"/>
  <c r="E91" i="75"/>
  <c r="D91" i="75"/>
  <c r="C91" i="75"/>
  <c r="B91" i="75"/>
  <c r="A91" i="75"/>
  <c r="M90" i="75"/>
  <c r="L90" i="75"/>
  <c r="K90" i="75"/>
  <c r="J90" i="75"/>
  <c r="I90" i="75"/>
  <c r="H90" i="75"/>
  <c r="G90" i="75"/>
  <c r="F90" i="75"/>
  <c r="E90" i="75"/>
  <c r="D90" i="75"/>
  <c r="C90" i="75"/>
  <c r="B90" i="75"/>
  <c r="A90" i="75"/>
  <c r="M89" i="75"/>
  <c r="L89" i="75"/>
  <c r="K89" i="75"/>
  <c r="J89" i="75"/>
  <c r="I89" i="75"/>
  <c r="H89" i="75"/>
  <c r="G89" i="75"/>
  <c r="F89" i="75"/>
  <c r="E89" i="75"/>
  <c r="D89" i="75"/>
  <c r="C89" i="75"/>
  <c r="B89" i="75"/>
  <c r="A89" i="75"/>
  <c r="M88" i="75"/>
  <c r="L88" i="75"/>
  <c r="K88" i="75"/>
  <c r="J88" i="75"/>
  <c r="I88" i="75"/>
  <c r="H88" i="75"/>
  <c r="G88" i="75"/>
  <c r="F88" i="75"/>
  <c r="E88" i="75"/>
  <c r="D88" i="75"/>
  <c r="C88" i="75"/>
  <c r="B88" i="75"/>
  <c r="A88" i="75"/>
  <c r="M87" i="75"/>
  <c r="L87" i="75"/>
  <c r="K87" i="75"/>
  <c r="J87" i="75"/>
  <c r="I87" i="75"/>
  <c r="H87" i="75"/>
  <c r="G87" i="75"/>
  <c r="F87" i="75"/>
  <c r="E87" i="75"/>
  <c r="D87" i="75"/>
  <c r="C87" i="75"/>
  <c r="B87" i="75"/>
  <c r="A87" i="75"/>
  <c r="M86" i="75"/>
  <c r="L86" i="75"/>
  <c r="K86" i="75"/>
  <c r="J86" i="75"/>
  <c r="I86" i="75"/>
  <c r="H86" i="75"/>
  <c r="G86" i="75"/>
  <c r="F86" i="75"/>
  <c r="E86" i="75"/>
  <c r="D86" i="75"/>
  <c r="C86" i="75"/>
  <c r="B86" i="75"/>
  <c r="A86" i="75"/>
  <c r="M85" i="75"/>
  <c r="L85" i="75"/>
  <c r="K85" i="75"/>
  <c r="J85" i="75"/>
  <c r="I85" i="75"/>
  <c r="H85" i="75"/>
  <c r="G85" i="75"/>
  <c r="F85" i="75"/>
  <c r="E85" i="75"/>
  <c r="D85" i="75"/>
  <c r="C85" i="75"/>
  <c r="B85" i="75"/>
  <c r="A85" i="75"/>
  <c r="M84" i="75"/>
  <c r="L84" i="75"/>
  <c r="K84" i="75"/>
  <c r="J84" i="75"/>
  <c r="I84" i="75"/>
  <c r="H84" i="75"/>
  <c r="G84" i="75"/>
  <c r="F84" i="75"/>
  <c r="E84" i="75"/>
  <c r="D84" i="75"/>
  <c r="C84" i="75"/>
  <c r="B84" i="75"/>
  <c r="A84" i="75"/>
  <c r="M83" i="75"/>
  <c r="L83" i="75"/>
  <c r="K83" i="75"/>
  <c r="J83" i="75"/>
  <c r="I83" i="75"/>
  <c r="H83" i="75"/>
  <c r="G83" i="75"/>
  <c r="F83" i="75"/>
  <c r="E83" i="75"/>
  <c r="D83" i="75"/>
  <c r="C83" i="75"/>
  <c r="B83" i="75"/>
  <c r="A83" i="75"/>
  <c r="M82" i="75"/>
  <c r="L82" i="75"/>
  <c r="K82" i="75"/>
  <c r="J82" i="75"/>
  <c r="I82" i="75"/>
  <c r="H82" i="75"/>
  <c r="G82" i="75"/>
  <c r="F82" i="75"/>
  <c r="E82" i="75"/>
  <c r="D82" i="75"/>
  <c r="C82" i="75"/>
  <c r="B82" i="75"/>
  <c r="A82" i="75"/>
  <c r="M81" i="75"/>
  <c r="L81" i="75"/>
  <c r="K81" i="75"/>
  <c r="J81" i="75"/>
  <c r="I81" i="75"/>
  <c r="H81" i="75"/>
  <c r="G81" i="75"/>
  <c r="F81" i="75"/>
  <c r="E81" i="75"/>
  <c r="D81" i="75"/>
  <c r="C81" i="75"/>
  <c r="B81" i="75"/>
  <c r="A81" i="75"/>
  <c r="M80" i="75"/>
  <c r="L80" i="75"/>
  <c r="K80" i="75"/>
  <c r="J80" i="75"/>
  <c r="I80" i="75"/>
  <c r="H80" i="75"/>
  <c r="G80" i="75"/>
  <c r="F80" i="75"/>
  <c r="E80" i="75"/>
  <c r="D80" i="75"/>
  <c r="C80" i="75"/>
  <c r="B80" i="75"/>
  <c r="A80" i="75"/>
  <c r="M79" i="75"/>
  <c r="L79" i="75"/>
  <c r="K79" i="75"/>
  <c r="J79" i="75"/>
  <c r="I79" i="75"/>
  <c r="H79" i="75"/>
  <c r="G79" i="75"/>
  <c r="F79" i="75"/>
  <c r="E79" i="75"/>
  <c r="D79" i="75"/>
  <c r="C79" i="75"/>
  <c r="B79" i="75"/>
  <c r="A79" i="75"/>
  <c r="M78" i="75"/>
  <c r="L78" i="75"/>
  <c r="K78" i="75"/>
  <c r="J78" i="75"/>
  <c r="I78" i="75"/>
  <c r="H78" i="75"/>
  <c r="G78" i="75"/>
  <c r="F78" i="75"/>
  <c r="E78" i="75"/>
  <c r="D78" i="75"/>
  <c r="C78" i="75"/>
  <c r="B78" i="75"/>
  <c r="A78" i="75"/>
  <c r="M77" i="75"/>
  <c r="L77" i="75"/>
  <c r="K77" i="75"/>
  <c r="J77" i="75"/>
  <c r="I77" i="75"/>
  <c r="H77" i="75"/>
  <c r="G77" i="75"/>
  <c r="F77" i="75"/>
  <c r="E77" i="75"/>
  <c r="D77" i="75"/>
  <c r="C77" i="75"/>
  <c r="B77" i="75"/>
  <c r="A77" i="75"/>
  <c r="M76" i="75"/>
  <c r="L76" i="75"/>
  <c r="K76" i="75"/>
  <c r="J76" i="75"/>
  <c r="I76" i="75"/>
  <c r="H76" i="75"/>
  <c r="G76" i="75"/>
  <c r="F76" i="75"/>
  <c r="E76" i="75"/>
  <c r="D76" i="75"/>
  <c r="C76" i="75"/>
  <c r="B76" i="75"/>
  <c r="A76" i="75"/>
  <c r="M75" i="75"/>
  <c r="L75" i="75"/>
  <c r="K75" i="75"/>
  <c r="J75" i="75"/>
  <c r="I75" i="75"/>
  <c r="H75" i="75"/>
  <c r="G75" i="75"/>
  <c r="F75" i="75"/>
  <c r="E75" i="75"/>
  <c r="D75" i="75"/>
  <c r="C75" i="75"/>
  <c r="B75" i="75"/>
  <c r="A75" i="75"/>
  <c r="M74" i="75"/>
  <c r="L74" i="75"/>
  <c r="K74" i="75"/>
  <c r="J74" i="75"/>
  <c r="I74" i="75"/>
  <c r="H74" i="75"/>
  <c r="G74" i="75"/>
  <c r="F74" i="75"/>
  <c r="E74" i="75"/>
  <c r="D74" i="75"/>
  <c r="C74" i="75"/>
  <c r="B74" i="75"/>
  <c r="A74" i="75"/>
  <c r="M73" i="75"/>
  <c r="L73" i="75"/>
  <c r="K73" i="75"/>
  <c r="J73" i="75"/>
  <c r="I73" i="75"/>
  <c r="H73" i="75"/>
  <c r="G73" i="75"/>
  <c r="F73" i="75"/>
  <c r="E73" i="75"/>
  <c r="D73" i="75"/>
  <c r="C73" i="75"/>
  <c r="B73" i="75"/>
  <c r="A73" i="75"/>
  <c r="M72" i="75"/>
  <c r="L72" i="75"/>
  <c r="K72" i="75"/>
  <c r="J72" i="75"/>
  <c r="I72" i="75"/>
  <c r="H72" i="75"/>
  <c r="G72" i="75"/>
  <c r="F72" i="75"/>
  <c r="E72" i="75"/>
  <c r="D72" i="75"/>
  <c r="C72" i="75"/>
  <c r="B72" i="75"/>
  <c r="A72" i="75"/>
  <c r="M71" i="75"/>
  <c r="L71" i="75"/>
  <c r="K71" i="75"/>
  <c r="J71" i="75"/>
  <c r="I71" i="75"/>
  <c r="H71" i="75"/>
  <c r="G71" i="75"/>
  <c r="F71" i="75"/>
  <c r="E71" i="75"/>
  <c r="D71" i="75"/>
  <c r="C71" i="75"/>
  <c r="B71" i="75"/>
  <c r="A71" i="75"/>
  <c r="M70" i="75"/>
  <c r="L70" i="75"/>
  <c r="K70" i="75"/>
  <c r="J70" i="75"/>
  <c r="I70" i="75"/>
  <c r="H70" i="75"/>
  <c r="G70" i="75"/>
  <c r="F70" i="75"/>
  <c r="E70" i="75"/>
  <c r="D70" i="75"/>
  <c r="C70" i="75"/>
  <c r="B70" i="75"/>
  <c r="A70" i="75"/>
  <c r="M69" i="75"/>
  <c r="L69" i="75"/>
  <c r="K69" i="75"/>
  <c r="J69" i="75"/>
  <c r="I69" i="75"/>
  <c r="H69" i="75"/>
  <c r="G69" i="75"/>
  <c r="F69" i="75"/>
  <c r="E69" i="75"/>
  <c r="D69" i="75"/>
  <c r="C69" i="75"/>
  <c r="B69" i="75"/>
  <c r="A69" i="75"/>
  <c r="M68" i="75"/>
  <c r="L68" i="75"/>
  <c r="K68" i="75"/>
  <c r="J68" i="75"/>
  <c r="I68" i="75"/>
  <c r="H68" i="75"/>
  <c r="G68" i="75"/>
  <c r="F68" i="75"/>
  <c r="E68" i="75"/>
  <c r="D68" i="75"/>
  <c r="C68" i="75"/>
  <c r="B68" i="75"/>
  <c r="A68" i="75"/>
  <c r="M67" i="75"/>
  <c r="L67" i="75"/>
  <c r="K67" i="75"/>
  <c r="J67" i="75"/>
  <c r="I67" i="75"/>
  <c r="H67" i="75"/>
  <c r="G67" i="75"/>
  <c r="F67" i="75"/>
  <c r="E67" i="75"/>
  <c r="D67" i="75"/>
  <c r="C67" i="75"/>
  <c r="B67" i="75"/>
  <c r="A67" i="75"/>
  <c r="M66" i="75"/>
  <c r="L66" i="75"/>
  <c r="K66" i="75"/>
  <c r="J66" i="75"/>
  <c r="I66" i="75"/>
  <c r="H66" i="75"/>
  <c r="G66" i="75"/>
  <c r="F66" i="75"/>
  <c r="E66" i="75"/>
  <c r="D66" i="75"/>
  <c r="C66" i="75"/>
  <c r="B66" i="75"/>
  <c r="A66" i="75"/>
  <c r="M65" i="75"/>
  <c r="L65" i="75"/>
  <c r="K65" i="75"/>
  <c r="J65" i="75"/>
  <c r="I65" i="75"/>
  <c r="H65" i="75"/>
  <c r="G65" i="75"/>
  <c r="F65" i="75"/>
  <c r="E65" i="75"/>
  <c r="D65" i="75"/>
  <c r="C65" i="75"/>
  <c r="B65" i="75"/>
  <c r="A65" i="75"/>
  <c r="M64" i="75"/>
  <c r="L64" i="75"/>
  <c r="K64" i="75"/>
  <c r="J64" i="75"/>
  <c r="I64" i="75"/>
  <c r="H64" i="75"/>
  <c r="G64" i="75"/>
  <c r="F64" i="75"/>
  <c r="E64" i="75"/>
  <c r="D64" i="75"/>
  <c r="C64" i="75"/>
  <c r="B64" i="75"/>
  <c r="A64" i="75"/>
  <c r="M63" i="75"/>
  <c r="L63" i="75"/>
  <c r="K63" i="75"/>
  <c r="J63" i="75"/>
  <c r="I63" i="75"/>
  <c r="H63" i="75"/>
  <c r="G63" i="75"/>
  <c r="F63" i="75"/>
  <c r="E63" i="75"/>
  <c r="D63" i="75"/>
  <c r="C63" i="75"/>
  <c r="B63" i="75"/>
  <c r="A63" i="75"/>
  <c r="M62" i="75"/>
  <c r="L62" i="75"/>
  <c r="K62" i="75"/>
  <c r="J62" i="75"/>
  <c r="I62" i="75"/>
  <c r="H62" i="75"/>
  <c r="G62" i="75"/>
  <c r="F62" i="75"/>
  <c r="E62" i="75"/>
  <c r="D62" i="75"/>
  <c r="C62" i="75"/>
  <c r="B62" i="75"/>
  <c r="A62" i="75"/>
  <c r="M61" i="75"/>
  <c r="L61" i="75"/>
  <c r="K61" i="75"/>
  <c r="J61" i="75"/>
  <c r="I61" i="75"/>
  <c r="H61" i="75"/>
  <c r="G61" i="75"/>
  <c r="F61" i="75"/>
  <c r="E61" i="75"/>
  <c r="D61" i="75"/>
  <c r="C61" i="75"/>
  <c r="B61" i="75"/>
  <c r="A61" i="75"/>
  <c r="M60" i="75"/>
  <c r="L60" i="75"/>
  <c r="K60" i="75"/>
  <c r="J60" i="75"/>
  <c r="I60" i="75"/>
  <c r="H60" i="75"/>
  <c r="G60" i="75"/>
  <c r="F60" i="75"/>
  <c r="E60" i="75"/>
  <c r="D60" i="75"/>
  <c r="C60" i="75"/>
  <c r="B60" i="75"/>
  <c r="A60" i="75"/>
  <c r="M59" i="75"/>
  <c r="L59" i="75"/>
  <c r="K59" i="75"/>
  <c r="J59" i="75"/>
  <c r="I59" i="75"/>
  <c r="H59" i="75"/>
  <c r="G59" i="75"/>
  <c r="F59" i="75"/>
  <c r="E59" i="75"/>
  <c r="D59" i="75"/>
  <c r="C59" i="75"/>
  <c r="B59" i="75"/>
  <c r="A59" i="75"/>
  <c r="M58" i="75"/>
  <c r="L58" i="75"/>
  <c r="K58" i="75"/>
  <c r="J58" i="75"/>
  <c r="I58" i="75"/>
  <c r="H58" i="75"/>
  <c r="G58" i="75"/>
  <c r="F58" i="75"/>
  <c r="E58" i="75"/>
  <c r="D58" i="75"/>
  <c r="C58" i="75"/>
  <c r="B58" i="75"/>
  <c r="A58" i="75"/>
  <c r="M57" i="75"/>
  <c r="L57" i="75"/>
  <c r="K57" i="75"/>
  <c r="J57" i="75"/>
  <c r="I57" i="75"/>
  <c r="H57" i="75"/>
  <c r="G57" i="75"/>
  <c r="F57" i="75"/>
  <c r="E57" i="75"/>
  <c r="D57" i="75"/>
  <c r="C57" i="75"/>
  <c r="B57" i="75"/>
  <c r="A57" i="75"/>
  <c r="M56" i="75"/>
  <c r="L56" i="75"/>
  <c r="K56" i="75"/>
  <c r="J56" i="75"/>
  <c r="I56" i="75"/>
  <c r="H56" i="75"/>
  <c r="G56" i="75"/>
  <c r="F56" i="75"/>
  <c r="E56" i="75"/>
  <c r="D56" i="75"/>
  <c r="C56" i="75"/>
  <c r="B56" i="75"/>
  <c r="A56" i="75"/>
  <c r="M55" i="75"/>
  <c r="L55" i="75"/>
  <c r="K55" i="75"/>
  <c r="J55" i="75"/>
  <c r="I55" i="75"/>
  <c r="H55" i="75"/>
  <c r="G55" i="75"/>
  <c r="F55" i="75"/>
  <c r="E55" i="75"/>
  <c r="D55" i="75"/>
  <c r="C55" i="75"/>
  <c r="B55" i="75"/>
  <c r="A55" i="75"/>
  <c r="M54" i="75"/>
  <c r="L54" i="75"/>
  <c r="K54" i="75"/>
  <c r="J54" i="75"/>
  <c r="I54" i="75"/>
  <c r="H54" i="75"/>
  <c r="G54" i="75"/>
  <c r="F54" i="75"/>
  <c r="E54" i="75"/>
  <c r="D54" i="75"/>
  <c r="C54" i="75"/>
  <c r="B54" i="75"/>
  <c r="A54" i="75"/>
  <c r="M53" i="75"/>
  <c r="L53" i="75"/>
  <c r="K53" i="75"/>
  <c r="J53" i="75"/>
  <c r="I53" i="75"/>
  <c r="H53" i="75"/>
  <c r="G53" i="75"/>
  <c r="F53" i="75"/>
  <c r="E53" i="75"/>
  <c r="D53" i="75"/>
  <c r="C53" i="75"/>
  <c r="B53" i="75"/>
  <c r="A53" i="75"/>
  <c r="M52" i="75"/>
  <c r="L52" i="75"/>
  <c r="K52" i="75"/>
  <c r="J52" i="75"/>
  <c r="I52" i="75"/>
  <c r="H52" i="75"/>
  <c r="G52" i="75"/>
  <c r="F52" i="75"/>
  <c r="E52" i="75"/>
  <c r="D52" i="75"/>
  <c r="C52" i="75"/>
  <c r="B52" i="75"/>
  <c r="A52" i="75"/>
  <c r="M51" i="75"/>
  <c r="L51" i="75"/>
  <c r="K51" i="75"/>
  <c r="J51" i="75"/>
  <c r="I51" i="75"/>
  <c r="H51" i="75"/>
  <c r="G51" i="75"/>
  <c r="F51" i="75"/>
  <c r="E51" i="75"/>
  <c r="D51" i="75"/>
  <c r="C51" i="75"/>
  <c r="B51" i="75"/>
  <c r="A51" i="75"/>
  <c r="M50" i="75"/>
  <c r="L50" i="75"/>
  <c r="K50" i="75"/>
  <c r="J50" i="75"/>
  <c r="I50" i="75"/>
  <c r="H50" i="75"/>
  <c r="G50" i="75"/>
  <c r="F50" i="75"/>
  <c r="E50" i="75"/>
  <c r="D50" i="75"/>
  <c r="C50" i="75"/>
  <c r="B50" i="75"/>
  <c r="A50" i="75"/>
  <c r="M49" i="75"/>
  <c r="L49" i="75"/>
  <c r="K49" i="75"/>
  <c r="J49" i="75"/>
  <c r="I49" i="75"/>
  <c r="H49" i="75"/>
  <c r="G49" i="75"/>
  <c r="F49" i="75"/>
  <c r="E49" i="75"/>
  <c r="D49" i="75"/>
  <c r="C49" i="75"/>
  <c r="B49" i="75"/>
  <c r="A49" i="75"/>
  <c r="M48" i="75"/>
  <c r="L48" i="75"/>
  <c r="K48" i="75"/>
  <c r="J48" i="75"/>
  <c r="I48" i="75"/>
  <c r="H48" i="75"/>
  <c r="G48" i="75"/>
  <c r="F48" i="75"/>
  <c r="E48" i="75"/>
  <c r="D48" i="75"/>
  <c r="C48" i="75"/>
  <c r="B48" i="75"/>
  <c r="A48" i="75"/>
  <c r="M47" i="75"/>
  <c r="L47" i="75"/>
  <c r="K47" i="75"/>
  <c r="J47" i="75"/>
  <c r="I47" i="75"/>
  <c r="H47" i="75"/>
  <c r="G47" i="75"/>
  <c r="F47" i="75"/>
  <c r="E47" i="75"/>
  <c r="D47" i="75"/>
  <c r="C47" i="75"/>
  <c r="B47" i="75"/>
  <c r="A47" i="75"/>
  <c r="M46" i="75"/>
  <c r="L46" i="75"/>
  <c r="K46" i="75"/>
  <c r="J46" i="75"/>
  <c r="I46" i="75"/>
  <c r="H46" i="75"/>
  <c r="G46" i="75"/>
  <c r="F46" i="75"/>
  <c r="E46" i="75"/>
  <c r="D46" i="75"/>
  <c r="C46" i="75"/>
  <c r="B46" i="75"/>
  <c r="A46" i="75"/>
  <c r="M45" i="75"/>
  <c r="L45" i="75"/>
  <c r="K45" i="75"/>
  <c r="J45" i="75"/>
  <c r="I45" i="75"/>
  <c r="H45" i="75"/>
  <c r="G45" i="75"/>
  <c r="F45" i="75"/>
  <c r="E45" i="75"/>
  <c r="D45" i="75"/>
  <c r="C45" i="75"/>
  <c r="B45" i="75"/>
  <c r="A45" i="75"/>
  <c r="M44" i="75"/>
  <c r="L44" i="75"/>
  <c r="K44" i="75"/>
  <c r="J44" i="75"/>
  <c r="I44" i="75"/>
  <c r="H44" i="75"/>
  <c r="G44" i="75"/>
  <c r="F44" i="75"/>
  <c r="E44" i="75"/>
  <c r="D44" i="75"/>
  <c r="C44" i="75"/>
  <c r="B44" i="75"/>
  <c r="A44" i="75"/>
  <c r="M43" i="75"/>
  <c r="L43" i="75"/>
  <c r="K43" i="75"/>
  <c r="J43" i="75"/>
  <c r="I43" i="75"/>
  <c r="H43" i="75"/>
  <c r="G43" i="75"/>
  <c r="F43" i="75"/>
  <c r="E43" i="75"/>
  <c r="D43" i="75"/>
  <c r="C43" i="75"/>
  <c r="B43" i="75"/>
  <c r="A43" i="75"/>
  <c r="M42" i="75"/>
  <c r="L42" i="75"/>
  <c r="K42" i="75"/>
  <c r="J42" i="75"/>
  <c r="I42" i="75"/>
  <c r="H42" i="75"/>
  <c r="G42" i="75"/>
  <c r="F42" i="75"/>
  <c r="E42" i="75"/>
  <c r="D42" i="75"/>
  <c r="C42" i="75"/>
  <c r="B42" i="75"/>
  <c r="A42" i="75"/>
  <c r="M41" i="75"/>
  <c r="L41" i="75"/>
  <c r="K41" i="75"/>
  <c r="J41" i="75"/>
  <c r="I41" i="75"/>
  <c r="H41" i="75"/>
  <c r="G41" i="75"/>
  <c r="F41" i="75"/>
  <c r="E41" i="75"/>
  <c r="D41" i="75"/>
  <c r="C41" i="75"/>
  <c r="B41" i="75"/>
  <c r="A41" i="75"/>
  <c r="M40" i="75"/>
  <c r="L40" i="75"/>
  <c r="K40" i="75"/>
  <c r="J40" i="75"/>
  <c r="I40" i="75"/>
  <c r="H40" i="75"/>
  <c r="G40" i="75"/>
  <c r="F40" i="75"/>
  <c r="E40" i="75"/>
  <c r="D40" i="75"/>
  <c r="C40" i="75"/>
  <c r="B40" i="75"/>
  <c r="A40" i="75"/>
  <c r="M39" i="75"/>
  <c r="L39" i="75"/>
  <c r="K39" i="75"/>
  <c r="J39" i="75"/>
  <c r="I39" i="75"/>
  <c r="H39" i="75"/>
  <c r="G39" i="75"/>
  <c r="F39" i="75"/>
  <c r="E39" i="75"/>
  <c r="D39" i="75"/>
  <c r="C39" i="75"/>
  <c r="B39" i="75"/>
  <c r="A39" i="75"/>
  <c r="M38" i="75"/>
  <c r="L38" i="75"/>
  <c r="K38" i="75"/>
  <c r="J38" i="75"/>
  <c r="I38" i="75"/>
  <c r="H38" i="75"/>
  <c r="G38" i="75"/>
  <c r="F38" i="75"/>
  <c r="E38" i="75"/>
  <c r="D38" i="75"/>
  <c r="C38" i="75"/>
  <c r="B38" i="75"/>
  <c r="A38" i="75"/>
  <c r="M37" i="75"/>
  <c r="L37" i="75"/>
  <c r="K37" i="75"/>
  <c r="J37" i="75"/>
  <c r="I37" i="75"/>
  <c r="H37" i="75"/>
  <c r="G37" i="75"/>
  <c r="F37" i="75"/>
  <c r="E37" i="75"/>
  <c r="D37" i="75"/>
  <c r="C37" i="75"/>
  <c r="B37" i="75"/>
  <c r="A37" i="75"/>
  <c r="M36" i="75"/>
  <c r="L36" i="75"/>
  <c r="K36" i="75"/>
  <c r="J36" i="75"/>
  <c r="I36" i="75"/>
  <c r="H36" i="75"/>
  <c r="G36" i="75"/>
  <c r="F36" i="75"/>
  <c r="E36" i="75"/>
  <c r="D36" i="75"/>
  <c r="C36" i="75"/>
  <c r="B36" i="75"/>
  <c r="A36" i="75"/>
  <c r="M35" i="75"/>
  <c r="L35" i="75"/>
  <c r="K35" i="75"/>
  <c r="J35" i="75"/>
  <c r="I35" i="75"/>
  <c r="H35" i="75"/>
  <c r="G35" i="75"/>
  <c r="F35" i="75"/>
  <c r="E35" i="75"/>
  <c r="D35" i="75"/>
  <c r="C35" i="75"/>
  <c r="B35" i="75"/>
  <c r="A35" i="75"/>
  <c r="M34" i="75"/>
  <c r="L34" i="75"/>
  <c r="K34" i="75"/>
  <c r="J34" i="75"/>
  <c r="I34" i="75"/>
  <c r="H34" i="75"/>
  <c r="G34" i="75"/>
  <c r="F34" i="75"/>
  <c r="E34" i="75"/>
  <c r="D34" i="75"/>
  <c r="C34" i="75"/>
  <c r="B34" i="75"/>
  <c r="A34" i="75"/>
  <c r="M33" i="75"/>
  <c r="L33" i="75"/>
  <c r="K33" i="75"/>
  <c r="J33" i="75"/>
  <c r="I33" i="75"/>
  <c r="H33" i="75"/>
  <c r="G33" i="75"/>
  <c r="F33" i="75"/>
  <c r="E33" i="75"/>
  <c r="D33" i="75"/>
  <c r="C33" i="75"/>
  <c r="B33" i="75"/>
  <c r="A33" i="75"/>
  <c r="M32" i="75"/>
  <c r="L32" i="75"/>
  <c r="K32" i="75"/>
  <c r="J32" i="75"/>
  <c r="I32" i="75"/>
  <c r="H32" i="75"/>
  <c r="G32" i="75"/>
  <c r="F32" i="75"/>
  <c r="E32" i="75"/>
  <c r="D32" i="75"/>
  <c r="C32" i="75"/>
  <c r="B32" i="75"/>
  <c r="A32" i="75"/>
  <c r="M31" i="75"/>
  <c r="L31" i="75"/>
  <c r="K31" i="75"/>
  <c r="J31" i="75"/>
  <c r="I31" i="75"/>
  <c r="H31" i="75"/>
  <c r="G31" i="75"/>
  <c r="F31" i="75"/>
  <c r="E31" i="75"/>
  <c r="D31" i="75"/>
  <c r="C31" i="75"/>
  <c r="B31" i="75"/>
  <c r="A31" i="75"/>
  <c r="M30" i="75"/>
  <c r="L30" i="75"/>
  <c r="K30" i="75"/>
  <c r="J30" i="75"/>
  <c r="I30" i="75"/>
  <c r="H30" i="75"/>
  <c r="G30" i="75"/>
  <c r="F30" i="75"/>
  <c r="E30" i="75"/>
  <c r="D30" i="75"/>
  <c r="C30" i="75"/>
  <c r="B30" i="75"/>
  <c r="A30" i="75"/>
  <c r="M29" i="75"/>
  <c r="L29" i="75"/>
  <c r="K29" i="75"/>
  <c r="J29" i="75"/>
  <c r="I29" i="75"/>
  <c r="H29" i="75"/>
  <c r="G29" i="75"/>
  <c r="F29" i="75"/>
  <c r="E29" i="75"/>
  <c r="D29" i="75"/>
  <c r="C29" i="75"/>
  <c r="B29" i="75"/>
  <c r="A29" i="75"/>
  <c r="M28" i="75"/>
  <c r="L28" i="75"/>
  <c r="K28" i="75"/>
  <c r="J28" i="75"/>
  <c r="I28" i="75"/>
  <c r="H28" i="75"/>
  <c r="G28" i="75"/>
  <c r="F28" i="75"/>
  <c r="E28" i="75"/>
  <c r="D28" i="75"/>
  <c r="C28" i="75"/>
  <c r="B28" i="75"/>
  <c r="A28" i="75"/>
  <c r="M27" i="75"/>
  <c r="L27" i="75"/>
  <c r="K27" i="75"/>
  <c r="J27" i="75"/>
  <c r="I27" i="75"/>
  <c r="H27" i="75"/>
  <c r="G27" i="75"/>
  <c r="F27" i="75"/>
  <c r="E27" i="75"/>
  <c r="D27" i="75"/>
  <c r="C27" i="75"/>
  <c r="B27" i="75"/>
  <c r="A27" i="75"/>
  <c r="M26" i="75"/>
  <c r="L26" i="75"/>
  <c r="K26" i="75"/>
  <c r="J26" i="75"/>
  <c r="I26" i="75"/>
  <c r="H26" i="75"/>
  <c r="G26" i="75"/>
  <c r="F26" i="75"/>
  <c r="E26" i="75"/>
  <c r="D26" i="75"/>
  <c r="C26" i="75"/>
  <c r="B26" i="75"/>
  <c r="A26" i="75"/>
  <c r="M25" i="75"/>
  <c r="L25" i="75"/>
  <c r="K25" i="75"/>
  <c r="J25" i="75"/>
  <c r="I25" i="75"/>
  <c r="H25" i="75"/>
  <c r="G25" i="75"/>
  <c r="F25" i="75"/>
  <c r="E25" i="75"/>
  <c r="D25" i="75"/>
  <c r="C25" i="75"/>
  <c r="B25" i="75"/>
  <c r="A25" i="75"/>
  <c r="M24" i="75"/>
  <c r="L24" i="75"/>
  <c r="K24" i="75"/>
  <c r="J24" i="75"/>
  <c r="I24" i="75"/>
  <c r="H24" i="75"/>
  <c r="G24" i="75"/>
  <c r="F24" i="75"/>
  <c r="E24" i="75"/>
  <c r="D24" i="75"/>
  <c r="C24" i="75"/>
  <c r="B24" i="75"/>
  <c r="A24" i="75"/>
  <c r="M23" i="75"/>
  <c r="L23" i="75"/>
  <c r="K23" i="75"/>
  <c r="J23" i="75"/>
  <c r="I23" i="75"/>
  <c r="H23" i="75"/>
  <c r="G23" i="75"/>
  <c r="F23" i="75"/>
  <c r="E23" i="75"/>
  <c r="D23" i="75"/>
  <c r="C23" i="75"/>
  <c r="B23" i="75"/>
  <c r="A23" i="75"/>
  <c r="M22" i="75"/>
  <c r="L22" i="75"/>
  <c r="K22" i="75"/>
  <c r="J22" i="75"/>
  <c r="I22" i="75"/>
  <c r="H22" i="75"/>
  <c r="G22" i="75"/>
  <c r="F22" i="75"/>
  <c r="E22" i="75"/>
  <c r="D22" i="75"/>
  <c r="C22" i="75"/>
  <c r="B22" i="75"/>
  <c r="A22" i="75"/>
  <c r="M21" i="75"/>
  <c r="L21" i="75"/>
  <c r="K21" i="75"/>
  <c r="J21" i="75"/>
  <c r="I21" i="75"/>
  <c r="H21" i="75"/>
  <c r="G21" i="75"/>
  <c r="F21" i="75"/>
  <c r="E21" i="75"/>
  <c r="D21" i="75"/>
  <c r="C21" i="75"/>
  <c r="B21" i="75"/>
  <c r="A21" i="75"/>
  <c r="M20" i="75"/>
  <c r="L20" i="75"/>
  <c r="K20" i="75"/>
  <c r="J20" i="75"/>
  <c r="I20" i="75"/>
  <c r="H20" i="75"/>
  <c r="G20" i="75"/>
  <c r="F20" i="75"/>
  <c r="E20" i="75"/>
  <c r="D20" i="75"/>
  <c r="C20" i="75"/>
  <c r="B20" i="75"/>
  <c r="A20" i="75"/>
  <c r="M19" i="75"/>
  <c r="L19" i="75"/>
  <c r="K19" i="75"/>
  <c r="J19" i="75"/>
  <c r="I19" i="75"/>
  <c r="H19" i="75"/>
  <c r="G19" i="75"/>
  <c r="F19" i="75"/>
  <c r="E19" i="75"/>
  <c r="D19" i="75"/>
  <c r="C19" i="75"/>
  <c r="B19" i="75"/>
  <c r="A19" i="75"/>
  <c r="M18" i="75"/>
  <c r="L18" i="75"/>
  <c r="K18" i="75"/>
  <c r="J18" i="75"/>
  <c r="I18" i="75"/>
  <c r="H18" i="75"/>
  <c r="G18" i="75"/>
  <c r="F18" i="75"/>
  <c r="E18" i="75"/>
  <c r="D18" i="75"/>
  <c r="C18" i="75"/>
  <c r="B18" i="75"/>
  <c r="A18" i="75"/>
  <c r="M17" i="75"/>
  <c r="L17" i="75"/>
  <c r="K17" i="75"/>
  <c r="J17" i="75"/>
  <c r="I17" i="75"/>
  <c r="H17" i="75"/>
  <c r="G17" i="75"/>
  <c r="F17" i="75"/>
  <c r="E17" i="75"/>
  <c r="D17" i="75"/>
  <c r="C17" i="75"/>
  <c r="B17" i="75"/>
  <c r="A17" i="75"/>
  <c r="M16" i="75"/>
  <c r="L16" i="75"/>
  <c r="K16" i="75"/>
  <c r="J16" i="75"/>
  <c r="I16" i="75"/>
  <c r="H16" i="75"/>
  <c r="G16" i="75"/>
  <c r="F16" i="75"/>
  <c r="E16" i="75"/>
  <c r="D16" i="75"/>
  <c r="C16" i="75"/>
  <c r="B16" i="75"/>
  <c r="A16" i="75"/>
  <c r="M15" i="75"/>
  <c r="L15" i="75"/>
  <c r="K15" i="75"/>
  <c r="J15" i="75"/>
  <c r="I15" i="75"/>
  <c r="H15" i="75"/>
  <c r="G15" i="75"/>
  <c r="F15" i="75"/>
  <c r="E15" i="75"/>
  <c r="D15" i="75"/>
  <c r="C15" i="75"/>
  <c r="B15" i="75"/>
  <c r="A15" i="75"/>
  <c r="M14" i="75"/>
  <c r="L14" i="75"/>
  <c r="K14" i="75"/>
  <c r="J14" i="75"/>
  <c r="I14" i="75"/>
  <c r="H14" i="75"/>
  <c r="G14" i="75"/>
  <c r="F14" i="75"/>
  <c r="E14" i="75"/>
  <c r="D14" i="75"/>
  <c r="C14" i="75"/>
  <c r="B14" i="75"/>
  <c r="A14" i="75"/>
  <c r="M13" i="75"/>
  <c r="L13" i="75"/>
  <c r="K13" i="75"/>
  <c r="J13" i="75"/>
  <c r="I13" i="75"/>
  <c r="H13" i="75"/>
  <c r="G13" i="75"/>
  <c r="F13" i="75"/>
  <c r="E13" i="75"/>
  <c r="D13" i="75"/>
  <c r="C13" i="75"/>
  <c r="B13" i="75"/>
  <c r="A13" i="75"/>
  <c r="M12" i="75"/>
  <c r="L12" i="75"/>
  <c r="K12" i="75"/>
  <c r="J12" i="75"/>
  <c r="I12" i="75"/>
  <c r="H12" i="75"/>
  <c r="G12" i="75"/>
  <c r="F12" i="75"/>
  <c r="E12" i="75"/>
  <c r="D12" i="75"/>
  <c r="C12" i="75"/>
  <c r="B12" i="75"/>
  <c r="A12" i="75"/>
  <c r="M11" i="75"/>
  <c r="L11" i="75"/>
  <c r="K11" i="75"/>
  <c r="J11" i="75"/>
  <c r="I11" i="75"/>
  <c r="H11" i="75"/>
  <c r="G11" i="75"/>
  <c r="F11" i="75"/>
  <c r="E11" i="75"/>
  <c r="D11" i="75"/>
  <c r="C11" i="75"/>
  <c r="B11" i="75"/>
  <c r="A11" i="75"/>
  <c r="M10" i="75"/>
  <c r="L10" i="75"/>
  <c r="K10" i="75"/>
  <c r="J10" i="75"/>
  <c r="I10" i="75"/>
  <c r="H10" i="75"/>
  <c r="G10" i="75"/>
  <c r="F10" i="75"/>
  <c r="E10" i="75"/>
  <c r="D10" i="75"/>
  <c r="C10" i="75"/>
  <c r="B10" i="75"/>
  <c r="A10" i="75"/>
  <c r="M9" i="75"/>
  <c r="L9" i="75"/>
  <c r="K9" i="75"/>
  <c r="J9" i="75"/>
  <c r="I9" i="75"/>
  <c r="H9" i="75"/>
  <c r="G9" i="75"/>
  <c r="F9" i="75"/>
  <c r="E9" i="75"/>
  <c r="D9" i="75"/>
  <c r="C9" i="75"/>
  <c r="B9" i="75"/>
  <c r="A9" i="75"/>
  <c r="M8" i="75"/>
  <c r="L8" i="75"/>
  <c r="K8" i="75"/>
  <c r="J8" i="75"/>
  <c r="I8" i="75"/>
  <c r="H8" i="75"/>
  <c r="G8" i="75"/>
  <c r="F8" i="75"/>
  <c r="E8" i="75"/>
  <c r="D8" i="75"/>
  <c r="C8" i="75"/>
  <c r="B8" i="75"/>
  <c r="A8" i="75"/>
  <c r="M7" i="75"/>
  <c r="L7" i="75"/>
  <c r="K7" i="75"/>
  <c r="J7" i="75"/>
  <c r="I7" i="75"/>
  <c r="H7" i="75"/>
  <c r="G7" i="75"/>
  <c r="F7" i="75"/>
  <c r="E7" i="75"/>
  <c r="D7" i="75"/>
  <c r="C7" i="75"/>
  <c r="B7" i="75"/>
  <c r="A7" i="75"/>
  <c r="M6" i="75"/>
  <c r="L6" i="75"/>
  <c r="K6" i="75"/>
  <c r="J6" i="75"/>
  <c r="I6" i="75"/>
  <c r="H6" i="75"/>
  <c r="G6" i="75"/>
  <c r="F6" i="75"/>
  <c r="E6" i="75"/>
  <c r="D6" i="75"/>
  <c r="C6" i="75"/>
  <c r="B6" i="75"/>
  <c r="A6" i="75"/>
  <c r="M5" i="75"/>
  <c r="L5" i="75"/>
  <c r="K5" i="75"/>
  <c r="J5" i="75"/>
  <c r="I5" i="75"/>
  <c r="H5" i="75"/>
  <c r="G5" i="75"/>
  <c r="F5" i="75"/>
  <c r="E5" i="75"/>
  <c r="D5" i="75"/>
  <c r="C5" i="75"/>
  <c r="B5" i="75"/>
  <c r="A5" i="75"/>
  <c r="M4" i="75"/>
  <c r="L4" i="75"/>
  <c r="K4" i="75"/>
  <c r="J4" i="75"/>
  <c r="I4" i="75"/>
  <c r="H4" i="75"/>
  <c r="G4" i="75"/>
  <c r="F4" i="75"/>
  <c r="E4" i="75"/>
  <c r="D4" i="75"/>
  <c r="C4" i="75"/>
  <c r="B4" i="75"/>
  <c r="A4" i="75"/>
  <c r="A149" i="29"/>
  <c r="A148" i="29"/>
  <c r="A147" i="29"/>
  <c r="A146" i="29"/>
  <c r="A145" i="29"/>
  <c r="A144" i="29"/>
  <c r="A143" i="29"/>
  <c r="A142" i="29"/>
  <c r="A141" i="29"/>
  <c r="A140" i="29"/>
  <c r="A139" i="29"/>
  <c r="A138" i="29"/>
  <c r="A137" i="29"/>
  <c r="A136" i="29"/>
  <c r="A135" i="29"/>
  <c r="A134" i="29"/>
  <c r="A133" i="29"/>
  <c r="A132" i="29"/>
  <c r="A131" i="29"/>
  <c r="A130" i="29"/>
  <c r="A129" i="29"/>
  <c r="A128" i="29"/>
  <c r="A127" i="29"/>
  <c r="A126" i="29"/>
  <c r="A125" i="29"/>
  <c r="A124" i="29"/>
  <c r="A123" i="29"/>
  <c r="A122" i="29"/>
  <c r="A121" i="29"/>
  <c r="A120" i="29"/>
  <c r="A119" i="29"/>
  <c r="A118" i="29"/>
  <c r="A117" i="29"/>
  <c r="A116" i="29"/>
  <c r="A115" i="29"/>
  <c r="A114" i="29"/>
  <c r="A113" i="29"/>
  <c r="A112" i="29"/>
  <c r="A111" i="29"/>
  <c r="A110" i="29"/>
  <c r="A109" i="29"/>
  <c r="A108" i="29"/>
  <c r="A107" i="29"/>
  <c r="A106" i="29"/>
  <c r="A105" i="29"/>
  <c r="A104" i="29"/>
  <c r="A103" i="29"/>
  <c r="A102" i="29"/>
  <c r="A101" i="29"/>
  <c r="A100" i="29"/>
  <c r="A99" i="29"/>
  <c r="A98" i="29"/>
  <c r="A97" i="29"/>
  <c r="A96" i="29"/>
  <c r="A95" i="29"/>
  <c r="A94" i="29"/>
  <c r="A93" i="29"/>
  <c r="A92" i="29"/>
  <c r="A91" i="29"/>
  <c r="A90" i="29"/>
  <c r="A89" i="29"/>
  <c r="A88" i="29"/>
  <c r="A87" i="29"/>
  <c r="A86" i="29"/>
  <c r="A85" i="29"/>
  <c r="A84" i="29"/>
  <c r="A83" i="29"/>
  <c r="A82" i="29"/>
  <c r="A81" i="29"/>
  <c r="A80" i="29"/>
  <c r="A79" i="29"/>
  <c r="A78" i="29"/>
  <c r="A77" i="29"/>
  <c r="A76" i="29"/>
  <c r="A75" i="29"/>
  <c r="A74" i="29"/>
  <c r="A73" i="29"/>
  <c r="A72" i="29"/>
  <c r="A71" i="29"/>
  <c r="A70" i="29"/>
  <c r="A69" i="29"/>
  <c r="A68" i="29"/>
  <c r="A67" i="29"/>
  <c r="A66" i="29"/>
  <c r="A65" i="29"/>
  <c r="A64" i="29"/>
  <c r="A63" i="29"/>
  <c r="A62" i="29"/>
  <c r="A61" i="29"/>
  <c r="A60" i="29"/>
  <c r="A59" i="29"/>
  <c r="A58" i="29"/>
  <c r="A57" i="29"/>
  <c r="A56" i="29"/>
  <c r="A55" i="29"/>
  <c r="R49" i="68"/>
  <c r="A54" i="29"/>
  <c r="R48" i="68"/>
  <c r="A53" i="29"/>
  <c r="R47" i="68"/>
  <c r="A52" i="29"/>
  <c r="R46" i="68"/>
  <c r="A51" i="29"/>
  <c r="R45" i="68"/>
  <c r="A50" i="29"/>
  <c r="R44" i="68"/>
  <c r="A49" i="29"/>
  <c r="R43" i="68"/>
  <c r="A48" i="29"/>
  <c r="R42" i="68"/>
  <c r="A47" i="29"/>
  <c r="R41" i="68"/>
  <c r="A46" i="29"/>
  <c r="R40" i="68"/>
  <c r="A45" i="29"/>
  <c r="R39" i="68"/>
  <c r="A44" i="29"/>
  <c r="R38" i="68"/>
  <c r="A43" i="29"/>
  <c r="R37" i="68"/>
  <c r="A42" i="29"/>
  <c r="R36" i="68"/>
  <c r="A41" i="29"/>
  <c r="R35" i="68"/>
  <c r="A40" i="29"/>
  <c r="R34" i="68"/>
  <c r="A39" i="29"/>
  <c r="R33" i="68"/>
  <c r="A38" i="29"/>
  <c r="R32" i="68"/>
  <c r="A37" i="29"/>
  <c r="R31" i="68"/>
  <c r="A36" i="29"/>
  <c r="R30" i="68"/>
  <c r="A35" i="29"/>
  <c r="R29" i="68"/>
  <c r="A34" i="29"/>
  <c r="R28" i="68"/>
  <c r="A33" i="29"/>
  <c r="R27" i="68"/>
  <c r="A32" i="29"/>
  <c r="R26" i="68"/>
  <c r="A31" i="29"/>
  <c r="R25" i="68"/>
  <c r="A30" i="29"/>
  <c r="R24" i="68"/>
  <c r="A29" i="29"/>
  <c r="R23" i="68"/>
  <c r="A28" i="29"/>
  <c r="R22" i="68"/>
  <c r="A27" i="29"/>
  <c r="R21" i="68"/>
  <c r="A26" i="29"/>
  <c r="R20" i="68"/>
  <c r="A25" i="29"/>
  <c r="R19" i="68"/>
  <c r="A24" i="29"/>
  <c r="R18" i="68"/>
  <c r="A23" i="29"/>
  <c r="R17" i="68"/>
  <c r="A22" i="29"/>
  <c r="R16" i="68"/>
  <c r="A21" i="29"/>
  <c r="R15" i="68"/>
  <c r="A20" i="29"/>
  <c r="R14" i="68"/>
  <c r="A19" i="29"/>
  <c r="R13" i="68"/>
  <c r="A18" i="29"/>
  <c r="R12" i="68"/>
  <c r="A17" i="29"/>
  <c r="R11" i="68"/>
  <c r="A16" i="29"/>
  <c r="R10" i="68"/>
  <c r="A15" i="29"/>
  <c r="R9" i="68"/>
  <c r="A14" i="29"/>
  <c r="R8" i="68"/>
  <c r="A13" i="29"/>
  <c r="R7" i="68"/>
  <c r="A12" i="29"/>
  <c r="R6" i="68"/>
  <c r="A11" i="29"/>
  <c r="L9" i="20"/>
  <c r="DO9" i="20"/>
  <c r="P6" i="74"/>
  <c r="L10" i="20"/>
  <c r="DC10" i="20"/>
  <c r="DD10" i="20"/>
  <c r="DE10" i="20"/>
  <c r="DF10" i="20"/>
  <c r="DG10" i="20"/>
  <c r="DH10" i="20"/>
  <c r="DI10" i="20"/>
  <c r="DJ10" i="20"/>
  <c r="DK10" i="20"/>
  <c r="DL10" i="20"/>
  <c r="DM10" i="20"/>
  <c r="DO10" i="20"/>
  <c r="P7" i="74"/>
  <c r="L11" i="20"/>
  <c r="DO11" i="20"/>
  <c r="P8" i="74"/>
  <c r="L12" i="20"/>
  <c r="DO12" i="20"/>
  <c r="P9" i="74"/>
  <c r="L13" i="20"/>
  <c r="DO13" i="20"/>
  <c r="P10" i="74"/>
  <c r="L14" i="20"/>
  <c r="DO14" i="20"/>
  <c r="P11" i="74"/>
  <c r="L15" i="20"/>
  <c r="DO15" i="20"/>
  <c r="P12" i="74"/>
  <c r="L16" i="20"/>
  <c r="DO16" i="20"/>
  <c r="P13" i="74"/>
  <c r="L17" i="20"/>
  <c r="DO17" i="20"/>
  <c r="P14" i="74"/>
  <c r="L18" i="20"/>
  <c r="DO18" i="20"/>
  <c r="P15" i="74"/>
  <c r="L19" i="20"/>
  <c r="DC19" i="20"/>
  <c r="DD19" i="20"/>
  <c r="DE19" i="20"/>
  <c r="DF19" i="20"/>
  <c r="DG19" i="20"/>
  <c r="DH19" i="20"/>
  <c r="DI19" i="20"/>
  <c r="DJ19" i="20"/>
  <c r="DK19" i="20"/>
  <c r="DL19" i="20"/>
  <c r="DM19" i="20"/>
  <c r="DO19" i="20"/>
  <c r="P16" i="74"/>
  <c r="L20" i="20"/>
  <c r="DO20" i="20"/>
  <c r="P17" i="74"/>
  <c r="L21" i="20"/>
  <c r="DO21" i="20"/>
  <c r="P18" i="74"/>
  <c r="L22" i="20"/>
  <c r="DC22" i="20"/>
  <c r="DD22" i="20"/>
  <c r="DE22" i="20"/>
  <c r="DF22" i="20"/>
  <c r="DG22" i="20"/>
  <c r="DH22" i="20"/>
  <c r="DI22" i="20"/>
  <c r="DJ22" i="20"/>
  <c r="DK22" i="20"/>
  <c r="DL22" i="20"/>
  <c r="DM22" i="20"/>
  <c r="DO22" i="20"/>
  <c r="P19" i="74"/>
  <c r="L23" i="20"/>
  <c r="DO23" i="20"/>
  <c r="P20" i="74"/>
  <c r="L24" i="20"/>
  <c r="DO24" i="20"/>
  <c r="P21" i="74"/>
  <c r="L25" i="20"/>
  <c r="DO25" i="20"/>
  <c r="P22" i="74"/>
  <c r="L26" i="20"/>
  <c r="DO26" i="20"/>
  <c r="P23" i="74"/>
  <c r="L27" i="20"/>
  <c r="DO27" i="20"/>
  <c r="P24" i="74"/>
  <c r="L28" i="20"/>
  <c r="DO28" i="20"/>
  <c r="P25" i="74"/>
  <c r="L29" i="20"/>
  <c r="DO29" i="20"/>
  <c r="P26" i="74"/>
  <c r="L30" i="20"/>
  <c r="DO30" i="20"/>
  <c r="P27" i="74"/>
  <c r="L31" i="20"/>
  <c r="DO31" i="20"/>
  <c r="P28" i="74"/>
  <c r="L32" i="20"/>
  <c r="DO32" i="20"/>
  <c r="P29" i="74"/>
  <c r="L33" i="20"/>
  <c r="DO33" i="20"/>
  <c r="P30" i="74"/>
  <c r="L34" i="20"/>
  <c r="DO34" i="20"/>
  <c r="P31" i="74"/>
  <c r="L35" i="20"/>
  <c r="DO35" i="20"/>
  <c r="P32" i="74"/>
  <c r="L36" i="20"/>
  <c r="DO36" i="20"/>
  <c r="P33" i="74"/>
  <c r="L37" i="20"/>
  <c r="DO37" i="20"/>
  <c r="P34" i="74"/>
  <c r="L38" i="20"/>
  <c r="DO38" i="20"/>
  <c r="P35" i="74"/>
  <c r="L39" i="20"/>
  <c r="DO39" i="20"/>
  <c r="P36" i="74"/>
  <c r="L40" i="20"/>
  <c r="DO40" i="20"/>
  <c r="P37" i="74"/>
  <c r="L41" i="20"/>
  <c r="DO41" i="20"/>
  <c r="P38" i="74"/>
  <c r="L42" i="20"/>
  <c r="DO42" i="20"/>
  <c r="P39" i="74"/>
  <c r="L43" i="20"/>
  <c r="DO43" i="20"/>
  <c r="P40" i="74"/>
  <c r="L44" i="20"/>
  <c r="DO44" i="20"/>
  <c r="P41" i="74"/>
  <c r="L45" i="20"/>
  <c r="DO45" i="20"/>
  <c r="P42" i="74"/>
  <c r="L46" i="20"/>
  <c r="DO46" i="20"/>
  <c r="P43" i="74"/>
  <c r="L47" i="20"/>
  <c r="DO47" i="20"/>
  <c r="P44" i="74"/>
  <c r="L48" i="20"/>
  <c r="DO48" i="20"/>
  <c r="P45" i="74"/>
  <c r="L49" i="20"/>
  <c r="DO49" i="20"/>
  <c r="P46" i="74"/>
  <c r="L50" i="20"/>
  <c r="DO50" i="20"/>
  <c r="P47" i="74"/>
  <c r="L51" i="20"/>
  <c r="DO51" i="20"/>
  <c r="P48" i="74"/>
  <c r="L52" i="20"/>
  <c r="DO52" i="20"/>
  <c r="P49" i="74"/>
  <c r="P50" i="74"/>
  <c r="DC9" i="20"/>
  <c r="DD9" i="20"/>
  <c r="DE9" i="20"/>
  <c r="DF9" i="20"/>
  <c r="DG9" i="20"/>
  <c r="DH9" i="20"/>
  <c r="DI9" i="20"/>
  <c r="DJ9" i="20"/>
  <c r="DK9" i="20"/>
  <c r="DL9" i="20"/>
  <c r="DM9" i="20"/>
  <c r="DN9" i="20"/>
  <c r="O6" i="74"/>
  <c r="DN10" i="20"/>
  <c r="O7" i="74"/>
  <c r="DC11" i="20"/>
  <c r="DD11" i="20"/>
  <c r="DE11" i="20"/>
  <c r="DF11" i="20"/>
  <c r="DG11" i="20"/>
  <c r="DH11" i="20"/>
  <c r="DI11" i="20"/>
  <c r="DJ11" i="20"/>
  <c r="DK11" i="20"/>
  <c r="DL11" i="20"/>
  <c r="DM11" i="20"/>
  <c r="DN11" i="20"/>
  <c r="O8" i="74"/>
  <c r="DC12" i="20"/>
  <c r="DD12" i="20"/>
  <c r="DE12" i="20"/>
  <c r="DF12" i="20"/>
  <c r="DG12" i="20"/>
  <c r="DH12" i="20"/>
  <c r="DI12" i="20"/>
  <c r="DJ12" i="20"/>
  <c r="DK12" i="20"/>
  <c r="DL12" i="20"/>
  <c r="DM12" i="20"/>
  <c r="DN12" i="20"/>
  <c r="O9" i="74"/>
  <c r="DC13" i="20"/>
  <c r="DD13" i="20"/>
  <c r="DE13" i="20"/>
  <c r="DF13" i="20"/>
  <c r="DG13" i="20"/>
  <c r="DH13" i="20"/>
  <c r="DI13" i="20"/>
  <c r="DJ13" i="20"/>
  <c r="DK13" i="20"/>
  <c r="DL13" i="20"/>
  <c r="DM13" i="20"/>
  <c r="DN13" i="20"/>
  <c r="O10" i="74"/>
  <c r="DC14" i="20"/>
  <c r="DD14" i="20"/>
  <c r="DE14" i="20"/>
  <c r="DF14" i="20"/>
  <c r="DG14" i="20"/>
  <c r="DH14" i="20"/>
  <c r="DI14" i="20"/>
  <c r="DJ14" i="20"/>
  <c r="DK14" i="20"/>
  <c r="DL14" i="20"/>
  <c r="DM14" i="20"/>
  <c r="DN14" i="20"/>
  <c r="O11" i="74"/>
  <c r="DC15" i="20"/>
  <c r="DD15" i="20"/>
  <c r="DE15" i="20"/>
  <c r="DF15" i="20"/>
  <c r="DG15" i="20"/>
  <c r="DH15" i="20"/>
  <c r="DI15" i="20"/>
  <c r="DJ15" i="20"/>
  <c r="DK15" i="20"/>
  <c r="DL15" i="20"/>
  <c r="DM15" i="20"/>
  <c r="DN15" i="20"/>
  <c r="O12" i="74"/>
  <c r="DC16" i="20"/>
  <c r="DD16" i="20"/>
  <c r="DE16" i="20"/>
  <c r="DF16" i="20"/>
  <c r="DG16" i="20"/>
  <c r="DH16" i="20"/>
  <c r="DI16" i="20"/>
  <c r="DJ16" i="20"/>
  <c r="DK16" i="20"/>
  <c r="DL16" i="20"/>
  <c r="DM16" i="20"/>
  <c r="DN16" i="20"/>
  <c r="O13" i="74"/>
  <c r="DC17" i="20"/>
  <c r="DD17" i="20"/>
  <c r="DE17" i="20"/>
  <c r="DF17" i="20"/>
  <c r="DG17" i="20"/>
  <c r="DH17" i="20"/>
  <c r="DI17" i="20"/>
  <c r="DJ17" i="20"/>
  <c r="DK17" i="20"/>
  <c r="DL17" i="20"/>
  <c r="DM17" i="20"/>
  <c r="DN17" i="20"/>
  <c r="O14" i="74"/>
  <c r="DC18" i="20"/>
  <c r="DD18" i="20"/>
  <c r="DE18" i="20"/>
  <c r="DF18" i="20"/>
  <c r="DG18" i="20"/>
  <c r="DH18" i="20"/>
  <c r="DI18" i="20"/>
  <c r="DJ18" i="20"/>
  <c r="DK18" i="20"/>
  <c r="DL18" i="20"/>
  <c r="DM18" i="20"/>
  <c r="DN18" i="20"/>
  <c r="O15" i="74"/>
  <c r="DN19" i="20"/>
  <c r="O16" i="74"/>
  <c r="DC20" i="20"/>
  <c r="DD20" i="20"/>
  <c r="DE20" i="20"/>
  <c r="DF20" i="20"/>
  <c r="DG20" i="20"/>
  <c r="DH20" i="20"/>
  <c r="DI20" i="20"/>
  <c r="DJ20" i="20"/>
  <c r="DK20" i="20"/>
  <c r="DL20" i="20"/>
  <c r="DM20" i="20"/>
  <c r="DN20" i="20"/>
  <c r="O17" i="74"/>
  <c r="DC21" i="20"/>
  <c r="DD21" i="20"/>
  <c r="DE21" i="20"/>
  <c r="DF21" i="20"/>
  <c r="DG21" i="20"/>
  <c r="DH21" i="20"/>
  <c r="DI21" i="20"/>
  <c r="DJ21" i="20"/>
  <c r="DK21" i="20"/>
  <c r="DL21" i="20"/>
  <c r="DM21" i="20"/>
  <c r="DN21" i="20"/>
  <c r="O18" i="74"/>
  <c r="DN22" i="20"/>
  <c r="O19" i="74"/>
  <c r="DC23" i="20"/>
  <c r="DD23" i="20"/>
  <c r="DE23" i="20"/>
  <c r="DF23" i="20"/>
  <c r="DG23" i="20"/>
  <c r="DH23" i="20"/>
  <c r="DI23" i="20"/>
  <c r="DJ23" i="20"/>
  <c r="DK23" i="20"/>
  <c r="DL23" i="20"/>
  <c r="DM23" i="20"/>
  <c r="DN23" i="20"/>
  <c r="O20" i="74"/>
  <c r="DC24" i="20"/>
  <c r="DD24" i="20"/>
  <c r="DE24" i="20"/>
  <c r="DF24" i="20"/>
  <c r="DG24" i="20"/>
  <c r="DH24" i="20"/>
  <c r="DI24" i="20"/>
  <c r="DJ24" i="20"/>
  <c r="DK24" i="20"/>
  <c r="DL24" i="20"/>
  <c r="DM24" i="20"/>
  <c r="DN24" i="20"/>
  <c r="O21" i="74"/>
  <c r="DC25" i="20"/>
  <c r="DD25" i="20"/>
  <c r="DE25" i="20"/>
  <c r="DF25" i="20"/>
  <c r="DG25" i="20"/>
  <c r="DH25" i="20"/>
  <c r="DI25" i="20"/>
  <c r="DJ25" i="20"/>
  <c r="DK25" i="20"/>
  <c r="DL25" i="20"/>
  <c r="DM25" i="20"/>
  <c r="DN25" i="20"/>
  <c r="O22" i="74"/>
  <c r="DC26" i="20"/>
  <c r="DD26" i="20"/>
  <c r="DE26" i="20"/>
  <c r="DF26" i="20"/>
  <c r="DG26" i="20"/>
  <c r="DH26" i="20"/>
  <c r="DI26" i="20"/>
  <c r="DJ26" i="20"/>
  <c r="DK26" i="20"/>
  <c r="DL26" i="20"/>
  <c r="DM26" i="20"/>
  <c r="DN26" i="20"/>
  <c r="O23" i="74"/>
  <c r="DN27" i="20"/>
  <c r="O24" i="74"/>
  <c r="DN28" i="20"/>
  <c r="O25" i="74"/>
  <c r="DN29" i="20"/>
  <c r="O26" i="74"/>
  <c r="DN30" i="20"/>
  <c r="O27" i="74"/>
  <c r="DN31" i="20"/>
  <c r="O28" i="74"/>
  <c r="DN32" i="20"/>
  <c r="O29" i="74"/>
  <c r="DN33" i="20"/>
  <c r="O30" i="74"/>
  <c r="DN34" i="20"/>
  <c r="O31" i="74"/>
  <c r="DN35" i="20"/>
  <c r="O32" i="74"/>
  <c r="DN36" i="20"/>
  <c r="O33" i="74"/>
  <c r="DN37" i="20"/>
  <c r="O34" i="74"/>
  <c r="DN38" i="20"/>
  <c r="O35" i="74"/>
  <c r="DN39" i="20"/>
  <c r="O36" i="74"/>
  <c r="DN40" i="20"/>
  <c r="O37" i="74"/>
  <c r="DN41" i="20"/>
  <c r="O38" i="74"/>
  <c r="DN42" i="20"/>
  <c r="O39" i="74"/>
  <c r="DN43" i="20"/>
  <c r="O40" i="74"/>
  <c r="DN44" i="20"/>
  <c r="O41" i="74"/>
  <c r="DN45" i="20"/>
  <c r="O42" i="74"/>
  <c r="DN46" i="20"/>
  <c r="O43" i="74"/>
  <c r="DN47" i="20"/>
  <c r="O44" i="74"/>
  <c r="DN48" i="20"/>
  <c r="O45" i="74"/>
  <c r="DN49" i="20"/>
  <c r="O46" i="74"/>
  <c r="DN50" i="20"/>
  <c r="O47" i="74"/>
  <c r="DN51" i="20"/>
  <c r="O48" i="74"/>
  <c r="DN52" i="20"/>
  <c r="O49" i="74"/>
  <c r="O50" i="74"/>
  <c r="DB9" i="20"/>
  <c r="N6" i="74"/>
  <c r="DB10" i="20"/>
  <c r="N7" i="74"/>
  <c r="DB11" i="20"/>
  <c r="N8" i="74"/>
  <c r="DB12" i="20"/>
  <c r="N9" i="74"/>
  <c r="DB13" i="20"/>
  <c r="N10" i="74"/>
  <c r="DB14" i="20"/>
  <c r="N11" i="74"/>
  <c r="DB15" i="20"/>
  <c r="N12" i="74"/>
  <c r="DB16" i="20"/>
  <c r="N13" i="74"/>
  <c r="DB17" i="20"/>
  <c r="N14" i="74"/>
  <c r="DB18" i="20"/>
  <c r="N15" i="74"/>
  <c r="DB19" i="20"/>
  <c r="N16" i="74"/>
  <c r="DB20" i="20"/>
  <c r="N17" i="74"/>
  <c r="DB21" i="20"/>
  <c r="N18" i="74"/>
  <c r="DB22" i="20"/>
  <c r="N19" i="74"/>
  <c r="DB23" i="20"/>
  <c r="N20" i="74"/>
  <c r="DB24" i="20"/>
  <c r="N21" i="74"/>
  <c r="DB25" i="20"/>
  <c r="N22" i="74"/>
  <c r="DB26" i="20"/>
  <c r="N23" i="74"/>
  <c r="DB27" i="20"/>
  <c r="N24" i="74"/>
  <c r="DB28" i="20"/>
  <c r="N25" i="74"/>
  <c r="DB29" i="20"/>
  <c r="N26" i="74"/>
  <c r="DB30" i="20"/>
  <c r="N27" i="74"/>
  <c r="DB31" i="20"/>
  <c r="N28" i="74"/>
  <c r="DB32" i="20"/>
  <c r="N29" i="74"/>
  <c r="DB33" i="20"/>
  <c r="N30" i="74"/>
  <c r="DB34" i="20"/>
  <c r="N31" i="74"/>
  <c r="DB35" i="20"/>
  <c r="N32" i="74"/>
  <c r="DB36" i="20"/>
  <c r="N33" i="74"/>
  <c r="DB37" i="20"/>
  <c r="N34" i="74"/>
  <c r="DB38" i="20"/>
  <c r="N35" i="74"/>
  <c r="DB39" i="20"/>
  <c r="N36" i="74"/>
  <c r="DB40" i="20"/>
  <c r="N37" i="74"/>
  <c r="DB41" i="20"/>
  <c r="N38" i="74"/>
  <c r="DB42" i="20"/>
  <c r="N39" i="74"/>
  <c r="DB43" i="20"/>
  <c r="N40" i="74"/>
  <c r="DB44" i="20"/>
  <c r="N41" i="74"/>
  <c r="DB45" i="20"/>
  <c r="N42" i="74"/>
  <c r="DB46" i="20"/>
  <c r="N43" i="74"/>
  <c r="DB47" i="20"/>
  <c r="N44" i="74"/>
  <c r="DB48" i="20"/>
  <c r="N45" i="74"/>
  <c r="DB49" i="20"/>
  <c r="N46" i="74"/>
  <c r="DB50" i="20"/>
  <c r="N47" i="74"/>
  <c r="DB51" i="20"/>
  <c r="N48" i="74"/>
  <c r="DB52" i="20"/>
  <c r="N49" i="74"/>
  <c r="N50" i="74"/>
  <c r="CY9" i="20"/>
  <c r="M6" i="74"/>
  <c r="CY10" i="20"/>
  <c r="M7" i="74"/>
  <c r="CY11" i="20"/>
  <c r="M8" i="74"/>
  <c r="CY12" i="20"/>
  <c r="M9" i="74"/>
  <c r="CY13" i="20"/>
  <c r="M10" i="74"/>
  <c r="CY14" i="20"/>
  <c r="M11" i="74"/>
  <c r="CY15" i="20"/>
  <c r="M12" i="74"/>
  <c r="CY16" i="20"/>
  <c r="M13" i="74"/>
  <c r="CY17" i="20"/>
  <c r="M14" i="74"/>
  <c r="CY18" i="20"/>
  <c r="M15" i="74"/>
  <c r="CY19" i="20"/>
  <c r="M16" i="74"/>
  <c r="CY20" i="20"/>
  <c r="M17" i="74"/>
  <c r="CY21" i="20"/>
  <c r="M18" i="74"/>
  <c r="CY22" i="20"/>
  <c r="M19" i="74"/>
  <c r="CY23" i="20"/>
  <c r="M20" i="74"/>
  <c r="CY24" i="20"/>
  <c r="M21" i="74"/>
  <c r="CY25" i="20"/>
  <c r="M22" i="74"/>
  <c r="CY26" i="20"/>
  <c r="M23" i="74"/>
  <c r="CY27" i="20"/>
  <c r="M24" i="74"/>
  <c r="CY28" i="20"/>
  <c r="M25" i="74"/>
  <c r="CY29" i="20"/>
  <c r="M26" i="74"/>
  <c r="CY30" i="20"/>
  <c r="M27" i="74"/>
  <c r="CY31" i="20"/>
  <c r="M28" i="74"/>
  <c r="CY32" i="20"/>
  <c r="M29" i="74"/>
  <c r="CY33" i="20"/>
  <c r="M30" i="74"/>
  <c r="CY34" i="20"/>
  <c r="M31" i="74"/>
  <c r="CY35" i="20"/>
  <c r="M32" i="74"/>
  <c r="CY36" i="20"/>
  <c r="M33" i="74"/>
  <c r="CY37" i="20"/>
  <c r="M34" i="74"/>
  <c r="CY38" i="20"/>
  <c r="M35" i="74"/>
  <c r="CY39" i="20"/>
  <c r="M36" i="74"/>
  <c r="CY40" i="20"/>
  <c r="M37" i="74"/>
  <c r="CY41" i="20"/>
  <c r="M38" i="74"/>
  <c r="CY42" i="20"/>
  <c r="M39" i="74"/>
  <c r="CY43" i="20"/>
  <c r="M40" i="74"/>
  <c r="CY44" i="20"/>
  <c r="M41" i="74"/>
  <c r="CY45" i="20"/>
  <c r="M42" i="74"/>
  <c r="CY46" i="20"/>
  <c r="M43" i="74"/>
  <c r="CY47" i="20"/>
  <c r="M44" i="74"/>
  <c r="CY48" i="20"/>
  <c r="M45" i="74"/>
  <c r="CY49" i="20"/>
  <c r="M46" i="74"/>
  <c r="CY50" i="20"/>
  <c r="M47" i="74"/>
  <c r="CY51" i="20"/>
  <c r="M48" i="74"/>
  <c r="CY52" i="20"/>
  <c r="M49" i="74"/>
  <c r="M50" i="74"/>
  <c r="CX9" i="20"/>
  <c r="L6" i="74"/>
  <c r="CX10" i="20"/>
  <c r="L7" i="74"/>
  <c r="CX11" i="20"/>
  <c r="L8" i="74"/>
  <c r="CX12" i="20"/>
  <c r="L9" i="74"/>
  <c r="CX13" i="20"/>
  <c r="L10" i="74"/>
  <c r="CX14" i="20"/>
  <c r="L11" i="74"/>
  <c r="CX15" i="20"/>
  <c r="L12" i="74"/>
  <c r="CX16" i="20"/>
  <c r="L13" i="74"/>
  <c r="CX17" i="20"/>
  <c r="L14" i="74"/>
  <c r="CX18" i="20"/>
  <c r="L15" i="74"/>
  <c r="CX19" i="20"/>
  <c r="L16" i="74"/>
  <c r="CX20" i="20"/>
  <c r="L17" i="74"/>
  <c r="CX21" i="20"/>
  <c r="L18" i="74"/>
  <c r="CX22" i="20"/>
  <c r="L19" i="74"/>
  <c r="CX23" i="20"/>
  <c r="L20" i="74"/>
  <c r="CX24" i="20"/>
  <c r="L21" i="74"/>
  <c r="CX25" i="20"/>
  <c r="L22" i="74"/>
  <c r="CX26" i="20"/>
  <c r="L23" i="74"/>
  <c r="CX27" i="20"/>
  <c r="L24" i="74"/>
  <c r="CX28" i="20"/>
  <c r="L25" i="74"/>
  <c r="CX29" i="20"/>
  <c r="L26" i="74"/>
  <c r="CX30" i="20"/>
  <c r="L27" i="74"/>
  <c r="CX31" i="20"/>
  <c r="L28" i="74"/>
  <c r="CX32" i="20"/>
  <c r="L29" i="74"/>
  <c r="CX33" i="20"/>
  <c r="L30" i="74"/>
  <c r="CX34" i="20"/>
  <c r="L31" i="74"/>
  <c r="CX35" i="20"/>
  <c r="L32" i="74"/>
  <c r="CX36" i="20"/>
  <c r="L33" i="74"/>
  <c r="CX37" i="20"/>
  <c r="L34" i="74"/>
  <c r="CX38" i="20"/>
  <c r="L35" i="74"/>
  <c r="CX39" i="20"/>
  <c r="L36" i="74"/>
  <c r="CX40" i="20"/>
  <c r="L37" i="74"/>
  <c r="CX41" i="20"/>
  <c r="L38" i="74"/>
  <c r="CX42" i="20"/>
  <c r="L39" i="74"/>
  <c r="CX43" i="20"/>
  <c r="L40" i="74"/>
  <c r="CX44" i="20"/>
  <c r="L41" i="74"/>
  <c r="CX45" i="20"/>
  <c r="L42" i="74"/>
  <c r="CX46" i="20"/>
  <c r="L43" i="74"/>
  <c r="CX47" i="20"/>
  <c r="L44" i="74"/>
  <c r="CX48" i="20"/>
  <c r="L45" i="74"/>
  <c r="CX49" i="20"/>
  <c r="L46" i="74"/>
  <c r="CX50" i="20"/>
  <c r="L47" i="74"/>
  <c r="CX51" i="20"/>
  <c r="L48" i="74"/>
  <c r="CX52" i="20"/>
  <c r="L49" i="74"/>
  <c r="L50" i="74"/>
  <c r="CV9" i="20"/>
  <c r="K6" i="74"/>
  <c r="CV10" i="20"/>
  <c r="K7" i="74"/>
  <c r="CV11" i="20"/>
  <c r="K8" i="74"/>
  <c r="CV12" i="20"/>
  <c r="K9" i="74"/>
  <c r="CV13" i="20"/>
  <c r="K10" i="74"/>
  <c r="CV14" i="20"/>
  <c r="K11" i="74"/>
  <c r="CV15" i="20"/>
  <c r="K12" i="74"/>
  <c r="CV16" i="20"/>
  <c r="K13" i="74"/>
  <c r="CV17" i="20"/>
  <c r="K14" i="74"/>
  <c r="CV18" i="20"/>
  <c r="K15" i="74"/>
  <c r="CV19" i="20"/>
  <c r="K16" i="74"/>
  <c r="CV20" i="20"/>
  <c r="K17" i="74"/>
  <c r="CV21" i="20"/>
  <c r="K18" i="74"/>
  <c r="CV22" i="20"/>
  <c r="K19" i="74"/>
  <c r="CV23" i="20"/>
  <c r="K20" i="74"/>
  <c r="CV24" i="20"/>
  <c r="K21" i="74"/>
  <c r="CV25" i="20"/>
  <c r="K22" i="74"/>
  <c r="CV26" i="20"/>
  <c r="K23" i="74"/>
  <c r="CV27" i="20"/>
  <c r="K24" i="74"/>
  <c r="CV28" i="20"/>
  <c r="K25" i="74"/>
  <c r="CV29" i="20"/>
  <c r="K26" i="74"/>
  <c r="CV30" i="20"/>
  <c r="K27" i="74"/>
  <c r="CV31" i="20"/>
  <c r="K28" i="74"/>
  <c r="CV32" i="20"/>
  <c r="K29" i="74"/>
  <c r="CV33" i="20"/>
  <c r="K30" i="74"/>
  <c r="CV34" i="20"/>
  <c r="K31" i="74"/>
  <c r="CV35" i="20"/>
  <c r="K32" i="74"/>
  <c r="CV36" i="20"/>
  <c r="K33" i="74"/>
  <c r="CV37" i="20"/>
  <c r="K34" i="74"/>
  <c r="CV38" i="20"/>
  <c r="K35" i="74"/>
  <c r="CV39" i="20"/>
  <c r="K36" i="74"/>
  <c r="CV40" i="20"/>
  <c r="K37" i="74"/>
  <c r="CV41" i="20"/>
  <c r="K38" i="74"/>
  <c r="CV42" i="20"/>
  <c r="K39" i="74"/>
  <c r="CV43" i="20"/>
  <c r="K40" i="74"/>
  <c r="CV44" i="20"/>
  <c r="K41" i="74"/>
  <c r="CV45" i="20"/>
  <c r="K42" i="74"/>
  <c r="CV46" i="20"/>
  <c r="K43" i="74"/>
  <c r="CV47" i="20"/>
  <c r="K44" i="74"/>
  <c r="CV48" i="20"/>
  <c r="K45" i="74"/>
  <c r="CV49" i="20"/>
  <c r="K46" i="74"/>
  <c r="CV50" i="20"/>
  <c r="K47" i="74"/>
  <c r="CV51" i="20"/>
  <c r="K48" i="74"/>
  <c r="CV52" i="20"/>
  <c r="K49" i="74"/>
  <c r="K50" i="74"/>
  <c r="CU9" i="20"/>
  <c r="J6" i="74"/>
  <c r="CU10" i="20"/>
  <c r="J7" i="74"/>
  <c r="CU11" i="20"/>
  <c r="J8" i="74"/>
  <c r="CU12" i="20"/>
  <c r="J9" i="74"/>
  <c r="CU13" i="20"/>
  <c r="J10" i="74"/>
  <c r="CU14" i="20"/>
  <c r="J11" i="74"/>
  <c r="CU15" i="20"/>
  <c r="J12" i="74"/>
  <c r="CU16" i="20"/>
  <c r="J13" i="74"/>
  <c r="CU17" i="20"/>
  <c r="J14" i="74"/>
  <c r="CU18" i="20"/>
  <c r="J15" i="74"/>
  <c r="CU19" i="20"/>
  <c r="J16" i="74"/>
  <c r="CU20" i="20"/>
  <c r="J17" i="74"/>
  <c r="CU21" i="20"/>
  <c r="J18" i="74"/>
  <c r="CU22" i="20"/>
  <c r="J19" i="74"/>
  <c r="CU23" i="20"/>
  <c r="J20" i="74"/>
  <c r="CU24" i="20"/>
  <c r="J21" i="74"/>
  <c r="CU25" i="20"/>
  <c r="J22" i="74"/>
  <c r="CU26" i="20"/>
  <c r="J23" i="74"/>
  <c r="CU27" i="20"/>
  <c r="J24" i="74"/>
  <c r="CU28" i="20"/>
  <c r="J25" i="74"/>
  <c r="CU29" i="20"/>
  <c r="J26" i="74"/>
  <c r="CU30" i="20"/>
  <c r="J27" i="74"/>
  <c r="CU31" i="20"/>
  <c r="J28" i="74"/>
  <c r="CU32" i="20"/>
  <c r="J29" i="74"/>
  <c r="CU33" i="20"/>
  <c r="J30" i="74"/>
  <c r="CU34" i="20"/>
  <c r="J31" i="74"/>
  <c r="CU35" i="20"/>
  <c r="J32" i="74"/>
  <c r="CU36" i="20"/>
  <c r="J33" i="74"/>
  <c r="CU37" i="20"/>
  <c r="J34" i="74"/>
  <c r="CU38" i="20"/>
  <c r="J35" i="74"/>
  <c r="CU39" i="20"/>
  <c r="J36" i="74"/>
  <c r="CU40" i="20"/>
  <c r="J37" i="74"/>
  <c r="CU41" i="20"/>
  <c r="J38" i="74"/>
  <c r="CU42" i="20"/>
  <c r="J39" i="74"/>
  <c r="CU43" i="20"/>
  <c r="J40" i="74"/>
  <c r="CU44" i="20"/>
  <c r="J41" i="74"/>
  <c r="CU45" i="20"/>
  <c r="J42" i="74"/>
  <c r="CU46" i="20"/>
  <c r="J43" i="74"/>
  <c r="CU47" i="20"/>
  <c r="J44" i="74"/>
  <c r="CU48" i="20"/>
  <c r="J45" i="74"/>
  <c r="CU49" i="20"/>
  <c r="J46" i="74"/>
  <c r="CU50" i="20"/>
  <c r="J47" i="74"/>
  <c r="CU51" i="20"/>
  <c r="J48" i="74"/>
  <c r="CU52" i="20"/>
  <c r="J49" i="74"/>
  <c r="J50" i="74"/>
  <c r="CT9" i="20"/>
  <c r="I6" i="74"/>
  <c r="CT10" i="20"/>
  <c r="I7" i="74"/>
  <c r="CT11" i="20"/>
  <c r="I8" i="74"/>
  <c r="CT12" i="20"/>
  <c r="I9" i="74"/>
  <c r="CT13" i="20"/>
  <c r="I10" i="74"/>
  <c r="CT14" i="20"/>
  <c r="I11" i="74"/>
  <c r="CT15" i="20"/>
  <c r="I12" i="74"/>
  <c r="CT16" i="20"/>
  <c r="I13" i="74"/>
  <c r="CT17" i="20"/>
  <c r="I14" i="74"/>
  <c r="CT18" i="20"/>
  <c r="I15" i="74"/>
  <c r="CT19" i="20"/>
  <c r="I16" i="74"/>
  <c r="CT20" i="20"/>
  <c r="I17" i="74"/>
  <c r="CT21" i="20"/>
  <c r="I18" i="74"/>
  <c r="CT22" i="20"/>
  <c r="I19" i="74"/>
  <c r="CT23" i="20"/>
  <c r="I20" i="74"/>
  <c r="CT24" i="20"/>
  <c r="I21" i="74"/>
  <c r="CT25" i="20"/>
  <c r="I22" i="74"/>
  <c r="CT26" i="20"/>
  <c r="I23" i="74"/>
  <c r="CT27" i="20"/>
  <c r="I24" i="74"/>
  <c r="CT28" i="20"/>
  <c r="I25" i="74"/>
  <c r="CT29" i="20"/>
  <c r="I26" i="74"/>
  <c r="CT30" i="20"/>
  <c r="I27" i="74"/>
  <c r="CT31" i="20"/>
  <c r="I28" i="74"/>
  <c r="CT32" i="20"/>
  <c r="I29" i="74"/>
  <c r="CT33" i="20"/>
  <c r="I30" i="74"/>
  <c r="CT34" i="20"/>
  <c r="I31" i="74"/>
  <c r="CT35" i="20"/>
  <c r="I32" i="74"/>
  <c r="CT36" i="20"/>
  <c r="I33" i="74"/>
  <c r="CT37" i="20"/>
  <c r="I34" i="74"/>
  <c r="CT38" i="20"/>
  <c r="I35" i="74"/>
  <c r="CT39" i="20"/>
  <c r="I36" i="74"/>
  <c r="CT40" i="20"/>
  <c r="I37" i="74"/>
  <c r="CT41" i="20"/>
  <c r="I38" i="74"/>
  <c r="CT42" i="20"/>
  <c r="I39" i="74"/>
  <c r="CT43" i="20"/>
  <c r="I40" i="74"/>
  <c r="CT44" i="20"/>
  <c r="I41" i="74"/>
  <c r="CT45" i="20"/>
  <c r="I42" i="74"/>
  <c r="CT46" i="20"/>
  <c r="I43" i="74"/>
  <c r="CT47" i="20"/>
  <c r="I44" i="74"/>
  <c r="CT48" i="20"/>
  <c r="I45" i="74"/>
  <c r="CT49" i="20"/>
  <c r="I46" i="74"/>
  <c r="CT50" i="20"/>
  <c r="I47" i="74"/>
  <c r="CT51" i="20"/>
  <c r="I48" i="74"/>
  <c r="CT52" i="20"/>
  <c r="I49" i="74"/>
  <c r="I50" i="74"/>
  <c r="CR9" i="20"/>
  <c r="CS9" i="20"/>
  <c r="H6" i="74"/>
  <c r="CR10" i="20"/>
  <c r="CS10" i="20"/>
  <c r="H7" i="74"/>
  <c r="CR11" i="20"/>
  <c r="CS11" i="20"/>
  <c r="H8" i="74"/>
  <c r="CR12" i="20"/>
  <c r="CS12" i="20"/>
  <c r="H9" i="74"/>
  <c r="CR13" i="20"/>
  <c r="CS13" i="20"/>
  <c r="H10" i="74"/>
  <c r="CR14" i="20"/>
  <c r="CS14" i="20"/>
  <c r="H11" i="74"/>
  <c r="CR15" i="20"/>
  <c r="CS15" i="20"/>
  <c r="H12" i="74"/>
  <c r="CR16" i="20"/>
  <c r="CS16" i="20"/>
  <c r="H13" i="74"/>
  <c r="CR17" i="20"/>
  <c r="CS17" i="20"/>
  <c r="H14" i="74"/>
  <c r="CR18" i="20"/>
  <c r="CS18" i="20"/>
  <c r="H15" i="74"/>
  <c r="CR19" i="20"/>
  <c r="CS19" i="20"/>
  <c r="H16" i="74"/>
  <c r="CR20" i="20"/>
  <c r="CS20" i="20"/>
  <c r="H17" i="74"/>
  <c r="CR21" i="20"/>
  <c r="CS21" i="20"/>
  <c r="H18" i="74"/>
  <c r="CR22" i="20"/>
  <c r="CS22" i="20"/>
  <c r="H19" i="74"/>
  <c r="CR23" i="20"/>
  <c r="CS23" i="20"/>
  <c r="H20" i="74"/>
  <c r="CR24" i="20"/>
  <c r="CS24" i="20"/>
  <c r="H21" i="74"/>
  <c r="CR25" i="20"/>
  <c r="CS25" i="20"/>
  <c r="H22" i="74"/>
  <c r="CR26" i="20"/>
  <c r="CS26" i="20"/>
  <c r="H23" i="74"/>
  <c r="CR27" i="20"/>
  <c r="CS27" i="20"/>
  <c r="H24" i="74"/>
  <c r="CR28" i="20"/>
  <c r="CS28" i="20"/>
  <c r="H25" i="74"/>
  <c r="CR29" i="20"/>
  <c r="CS29" i="20"/>
  <c r="H26" i="74"/>
  <c r="CR30" i="20"/>
  <c r="CS30" i="20"/>
  <c r="H27" i="74"/>
  <c r="CR31" i="20"/>
  <c r="CS31" i="20"/>
  <c r="H28" i="74"/>
  <c r="CR32" i="20"/>
  <c r="CS32" i="20"/>
  <c r="H29" i="74"/>
  <c r="CR33" i="20"/>
  <c r="CS33" i="20"/>
  <c r="H30" i="74"/>
  <c r="CR34" i="20"/>
  <c r="CS34" i="20"/>
  <c r="H31" i="74"/>
  <c r="CR35" i="20"/>
  <c r="CS35" i="20"/>
  <c r="H32" i="74"/>
  <c r="CR36" i="20"/>
  <c r="CS36" i="20"/>
  <c r="H33" i="74"/>
  <c r="CR37" i="20"/>
  <c r="CS37" i="20"/>
  <c r="H34" i="74"/>
  <c r="CR38" i="20"/>
  <c r="CS38" i="20"/>
  <c r="H35" i="74"/>
  <c r="CR39" i="20"/>
  <c r="CS39" i="20"/>
  <c r="H36" i="74"/>
  <c r="CR40" i="20"/>
  <c r="CS40" i="20"/>
  <c r="H37" i="74"/>
  <c r="CR41" i="20"/>
  <c r="CS41" i="20"/>
  <c r="H38" i="74"/>
  <c r="CR42" i="20"/>
  <c r="CS42" i="20"/>
  <c r="H39" i="74"/>
  <c r="CR43" i="20"/>
  <c r="CS43" i="20"/>
  <c r="H40" i="74"/>
  <c r="CR44" i="20"/>
  <c r="CS44" i="20"/>
  <c r="H41" i="74"/>
  <c r="CR45" i="20"/>
  <c r="CS45" i="20"/>
  <c r="H42" i="74"/>
  <c r="CR46" i="20"/>
  <c r="CS46" i="20"/>
  <c r="H43" i="74"/>
  <c r="CR47" i="20"/>
  <c r="CS47" i="20"/>
  <c r="H44" i="74"/>
  <c r="CR48" i="20"/>
  <c r="CS48" i="20"/>
  <c r="H45" i="74"/>
  <c r="CR49" i="20"/>
  <c r="CS49" i="20"/>
  <c r="H46" i="74"/>
  <c r="CR50" i="20"/>
  <c r="CS50" i="20"/>
  <c r="H47" i="74"/>
  <c r="CR51" i="20"/>
  <c r="CS51" i="20"/>
  <c r="H48" i="74"/>
  <c r="CR52" i="20"/>
  <c r="CS52" i="20"/>
  <c r="H49" i="74"/>
  <c r="H50" i="74"/>
  <c r="DY9" i="20"/>
  <c r="G6" i="74"/>
  <c r="DY10" i="20"/>
  <c r="G7" i="74"/>
  <c r="DY11" i="20"/>
  <c r="G8" i="74"/>
  <c r="DY12" i="20"/>
  <c r="G9" i="74"/>
  <c r="DY13" i="20"/>
  <c r="G10" i="74"/>
  <c r="DY14" i="20"/>
  <c r="G11" i="74"/>
  <c r="DY15" i="20"/>
  <c r="G12" i="74"/>
  <c r="DY16" i="20"/>
  <c r="G13" i="74"/>
  <c r="DY17" i="20"/>
  <c r="G14" i="74"/>
  <c r="DY18" i="20"/>
  <c r="G15" i="74"/>
  <c r="DY19" i="20"/>
  <c r="G16" i="74"/>
  <c r="DY20" i="20"/>
  <c r="G17" i="74"/>
  <c r="DY21" i="20"/>
  <c r="G18" i="74"/>
  <c r="DY22" i="20"/>
  <c r="G19" i="74"/>
  <c r="DY23" i="20"/>
  <c r="G20" i="74"/>
  <c r="DY24" i="20"/>
  <c r="G21" i="74"/>
  <c r="DY25" i="20"/>
  <c r="G22" i="74"/>
  <c r="DY26" i="20"/>
  <c r="G23" i="74"/>
  <c r="DY27" i="20"/>
  <c r="G24" i="74"/>
  <c r="DY28" i="20"/>
  <c r="G25" i="74"/>
  <c r="DY29" i="20"/>
  <c r="G26" i="74"/>
  <c r="DY30" i="20"/>
  <c r="G27" i="74"/>
  <c r="DY31" i="20"/>
  <c r="G28" i="74"/>
  <c r="DY32" i="20"/>
  <c r="G29" i="74"/>
  <c r="DY33" i="20"/>
  <c r="G30" i="74"/>
  <c r="DY34" i="20"/>
  <c r="G31" i="74"/>
  <c r="DY35" i="20"/>
  <c r="G32" i="74"/>
  <c r="DY36" i="20"/>
  <c r="G33" i="74"/>
  <c r="DY37" i="20"/>
  <c r="G34" i="74"/>
  <c r="DY38" i="20"/>
  <c r="G35" i="74"/>
  <c r="DY39" i="20"/>
  <c r="G36" i="74"/>
  <c r="DY40" i="20"/>
  <c r="G37" i="74"/>
  <c r="DY41" i="20"/>
  <c r="G38" i="74"/>
  <c r="DY42" i="20"/>
  <c r="G39" i="74"/>
  <c r="DY43" i="20"/>
  <c r="G40" i="74"/>
  <c r="DY44" i="20"/>
  <c r="G41" i="74"/>
  <c r="DY45" i="20"/>
  <c r="G42" i="74"/>
  <c r="DY46" i="20"/>
  <c r="G43" i="74"/>
  <c r="DY47" i="20"/>
  <c r="G44" i="74"/>
  <c r="DY48" i="20"/>
  <c r="G45" i="74"/>
  <c r="DY49" i="20"/>
  <c r="G46" i="74"/>
  <c r="DY50" i="20"/>
  <c r="G47" i="74"/>
  <c r="DY51" i="20"/>
  <c r="G48" i="74"/>
  <c r="DY52" i="20"/>
  <c r="G49" i="74"/>
  <c r="G50" i="74"/>
  <c r="DW9" i="20"/>
  <c r="CW9" i="20"/>
  <c r="ED9" i="20"/>
  <c r="E6" i="74"/>
  <c r="DW10" i="20"/>
  <c r="CW10" i="20"/>
  <c r="ED10" i="20"/>
  <c r="E7" i="74"/>
  <c r="DW11" i="20"/>
  <c r="CW11" i="20"/>
  <c r="ED11" i="20"/>
  <c r="E8" i="74"/>
  <c r="DW12" i="20"/>
  <c r="CW12" i="20"/>
  <c r="ED12" i="20"/>
  <c r="E9" i="74"/>
  <c r="DW13" i="20"/>
  <c r="CW13" i="20"/>
  <c r="ED13" i="20"/>
  <c r="E10" i="74"/>
  <c r="DW14" i="20"/>
  <c r="CW14" i="20"/>
  <c r="ED14" i="20"/>
  <c r="E11" i="74"/>
  <c r="DW15" i="20"/>
  <c r="CW15" i="20"/>
  <c r="ED15" i="20"/>
  <c r="E12" i="74"/>
  <c r="DW16" i="20"/>
  <c r="CW16" i="20"/>
  <c r="ED16" i="20"/>
  <c r="E13" i="74"/>
  <c r="DW17" i="20"/>
  <c r="CW17" i="20"/>
  <c r="ED17" i="20"/>
  <c r="E14" i="74"/>
  <c r="DW18" i="20"/>
  <c r="CW18" i="20"/>
  <c r="ED18" i="20"/>
  <c r="E15" i="74"/>
  <c r="DW19" i="20"/>
  <c r="CW19" i="20"/>
  <c r="ED19" i="20"/>
  <c r="E16" i="74"/>
  <c r="DW20" i="20"/>
  <c r="CW20" i="20"/>
  <c r="ED20" i="20"/>
  <c r="E17" i="74"/>
  <c r="DW21" i="20"/>
  <c r="CW21" i="20"/>
  <c r="ED21" i="20"/>
  <c r="E18" i="74"/>
  <c r="DW22" i="20"/>
  <c r="CW22" i="20"/>
  <c r="ED22" i="20"/>
  <c r="E19" i="74"/>
  <c r="DW23" i="20"/>
  <c r="CW23" i="20"/>
  <c r="ED23" i="20"/>
  <c r="E20" i="74"/>
  <c r="DW24" i="20"/>
  <c r="CW24" i="20"/>
  <c r="ED24" i="20"/>
  <c r="E21" i="74"/>
  <c r="DW25" i="20"/>
  <c r="CW25" i="20"/>
  <c r="ED25" i="20"/>
  <c r="E22" i="74"/>
  <c r="DW26" i="20"/>
  <c r="CW26" i="20"/>
  <c r="ED26" i="20"/>
  <c r="E23" i="74"/>
  <c r="DW27" i="20"/>
  <c r="CW27" i="20"/>
  <c r="ED27" i="20"/>
  <c r="E24" i="74"/>
  <c r="DW28" i="20"/>
  <c r="CW28" i="20"/>
  <c r="ED28" i="20"/>
  <c r="E25" i="74"/>
  <c r="DW29" i="20"/>
  <c r="CW29" i="20"/>
  <c r="ED29" i="20"/>
  <c r="E26" i="74"/>
  <c r="DW30" i="20"/>
  <c r="CW30" i="20"/>
  <c r="ED30" i="20"/>
  <c r="E27" i="74"/>
  <c r="DW31" i="20"/>
  <c r="CW31" i="20"/>
  <c r="ED31" i="20"/>
  <c r="E28" i="74"/>
  <c r="DW32" i="20"/>
  <c r="CW32" i="20"/>
  <c r="ED32" i="20"/>
  <c r="E29" i="74"/>
  <c r="DW33" i="20"/>
  <c r="CW33" i="20"/>
  <c r="ED33" i="20"/>
  <c r="E30" i="74"/>
  <c r="DW34" i="20"/>
  <c r="CW34" i="20"/>
  <c r="ED34" i="20"/>
  <c r="E31" i="74"/>
  <c r="DW35" i="20"/>
  <c r="CW35" i="20"/>
  <c r="ED35" i="20"/>
  <c r="E32" i="74"/>
  <c r="DW36" i="20"/>
  <c r="CW36" i="20"/>
  <c r="ED36" i="20"/>
  <c r="E33" i="74"/>
  <c r="DW37" i="20"/>
  <c r="CW37" i="20"/>
  <c r="ED37" i="20"/>
  <c r="E34" i="74"/>
  <c r="DW38" i="20"/>
  <c r="CW38" i="20"/>
  <c r="ED38" i="20"/>
  <c r="E35" i="74"/>
  <c r="DW39" i="20"/>
  <c r="CW39" i="20"/>
  <c r="ED39" i="20"/>
  <c r="E36" i="74"/>
  <c r="DW40" i="20"/>
  <c r="CW40" i="20"/>
  <c r="ED40" i="20"/>
  <c r="E37" i="74"/>
  <c r="DW41" i="20"/>
  <c r="CW41" i="20"/>
  <c r="ED41" i="20"/>
  <c r="E38" i="74"/>
  <c r="DW42" i="20"/>
  <c r="CW42" i="20"/>
  <c r="ED42" i="20"/>
  <c r="E39" i="74"/>
  <c r="DW43" i="20"/>
  <c r="CW43" i="20"/>
  <c r="ED43" i="20"/>
  <c r="E40" i="74"/>
  <c r="DW44" i="20"/>
  <c r="CW44" i="20"/>
  <c r="ED44" i="20"/>
  <c r="E41" i="74"/>
  <c r="DW45" i="20"/>
  <c r="CW45" i="20"/>
  <c r="ED45" i="20"/>
  <c r="E42" i="74"/>
  <c r="DW46" i="20"/>
  <c r="CW46" i="20"/>
  <c r="ED46" i="20"/>
  <c r="E43" i="74"/>
  <c r="DW47" i="20"/>
  <c r="CW47" i="20"/>
  <c r="ED47" i="20"/>
  <c r="E44" i="74"/>
  <c r="DW48" i="20"/>
  <c r="CW48" i="20"/>
  <c r="ED48" i="20"/>
  <c r="E45" i="74"/>
  <c r="DW49" i="20"/>
  <c r="CW49" i="20"/>
  <c r="ED49" i="20"/>
  <c r="E46" i="74"/>
  <c r="DW50" i="20"/>
  <c r="CW50" i="20"/>
  <c r="ED50" i="20"/>
  <c r="E47" i="74"/>
  <c r="DW51" i="20"/>
  <c r="CW51" i="20"/>
  <c r="ED51" i="20"/>
  <c r="E48" i="74"/>
  <c r="DW52" i="20"/>
  <c r="CW52" i="20"/>
  <c r="ED52" i="20"/>
  <c r="E49" i="74"/>
  <c r="E50" i="74"/>
  <c r="DX52" i="20"/>
  <c r="F49" i="74"/>
  <c r="D49" i="74"/>
  <c r="C49" i="74"/>
  <c r="B49" i="74"/>
  <c r="DX51" i="20"/>
  <c r="F48" i="74"/>
  <c r="D48" i="74"/>
  <c r="C48" i="74"/>
  <c r="B48" i="74"/>
  <c r="DX50" i="20"/>
  <c r="F47" i="74"/>
  <c r="D47" i="74"/>
  <c r="C47" i="74"/>
  <c r="B47" i="74"/>
  <c r="DX49" i="20"/>
  <c r="F46" i="74"/>
  <c r="D46" i="74"/>
  <c r="C46" i="74"/>
  <c r="B46" i="74"/>
  <c r="DX48" i="20"/>
  <c r="F45" i="74"/>
  <c r="D45" i="74"/>
  <c r="C45" i="74"/>
  <c r="B45" i="74"/>
  <c r="DX47" i="20"/>
  <c r="F44" i="74"/>
  <c r="D44" i="74"/>
  <c r="C44" i="74"/>
  <c r="B44" i="74"/>
  <c r="DX46" i="20"/>
  <c r="F43" i="74"/>
  <c r="D43" i="74"/>
  <c r="C43" i="74"/>
  <c r="B43" i="74"/>
  <c r="DX45" i="20"/>
  <c r="F42" i="74"/>
  <c r="D42" i="74"/>
  <c r="C42" i="74"/>
  <c r="B42" i="74"/>
  <c r="DX44" i="20"/>
  <c r="F41" i="74"/>
  <c r="D41" i="74"/>
  <c r="C41" i="74"/>
  <c r="B41" i="74"/>
  <c r="DX43" i="20"/>
  <c r="F40" i="74"/>
  <c r="D40" i="74"/>
  <c r="C40" i="74"/>
  <c r="B40" i="74"/>
  <c r="DX42" i="20"/>
  <c r="F39" i="74"/>
  <c r="D39" i="74"/>
  <c r="C39" i="74"/>
  <c r="B39" i="74"/>
  <c r="DX41" i="20"/>
  <c r="F38" i="74"/>
  <c r="D38" i="74"/>
  <c r="C38" i="74"/>
  <c r="B38" i="74"/>
  <c r="DX40" i="20"/>
  <c r="F37" i="74"/>
  <c r="D37" i="74"/>
  <c r="C37" i="74"/>
  <c r="B37" i="74"/>
  <c r="DX39" i="20"/>
  <c r="F36" i="74"/>
  <c r="D36" i="74"/>
  <c r="C36" i="74"/>
  <c r="B36" i="74"/>
  <c r="DX38" i="20"/>
  <c r="F35" i="74"/>
  <c r="D35" i="74"/>
  <c r="C35" i="74"/>
  <c r="B35" i="74"/>
  <c r="DX37" i="20"/>
  <c r="F34" i="74"/>
  <c r="D34" i="74"/>
  <c r="C34" i="74"/>
  <c r="B34" i="74"/>
  <c r="DX36" i="20"/>
  <c r="F33" i="74"/>
  <c r="D33" i="74"/>
  <c r="C33" i="74"/>
  <c r="B33" i="74"/>
  <c r="DX35" i="20"/>
  <c r="F32" i="74"/>
  <c r="D32" i="74"/>
  <c r="C32" i="74"/>
  <c r="B32" i="74"/>
  <c r="DX34" i="20"/>
  <c r="F31" i="74"/>
  <c r="D31" i="74"/>
  <c r="C31" i="74"/>
  <c r="B31" i="74"/>
  <c r="DX33" i="20"/>
  <c r="F30" i="74"/>
  <c r="D30" i="74"/>
  <c r="C30" i="74"/>
  <c r="B30" i="74"/>
  <c r="DX32" i="20"/>
  <c r="F29" i="74"/>
  <c r="D29" i="74"/>
  <c r="C29" i="74"/>
  <c r="B29" i="74"/>
  <c r="DX31" i="20"/>
  <c r="F28" i="74"/>
  <c r="D28" i="74"/>
  <c r="C28" i="74"/>
  <c r="B28" i="74"/>
  <c r="DX30" i="20"/>
  <c r="F27" i="74"/>
  <c r="D27" i="74"/>
  <c r="C27" i="74"/>
  <c r="B27" i="74"/>
  <c r="DX29" i="20"/>
  <c r="F26" i="74"/>
  <c r="D26" i="74"/>
  <c r="C26" i="74"/>
  <c r="B26" i="74"/>
  <c r="DX28" i="20"/>
  <c r="F25" i="74"/>
  <c r="D25" i="74"/>
  <c r="C25" i="74"/>
  <c r="B25" i="74"/>
  <c r="DX27" i="20"/>
  <c r="F24" i="74"/>
  <c r="D24" i="74"/>
  <c r="C24" i="74"/>
  <c r="B24" i="74"/>
  <c r="DX26" i="20"/>
  <c r="F23" i="74"/>
  <c r="D23" i="74"/>
  <c r="C23" i="74"/>
  <c r="B23" i="74"/>
  <c r="DX25" i="20"/>
  <c r="F22" i="74"/>
  <c r="D22" i="74"/>
  <c r="C22" i="74"/>
  <c r="B22" i="74"/>
  <c r="DX24" i="20"/>
  <c r="F21" i="74"/>
  <c r="D21" i="74"/>
  <c r="C21" i="74"/>
  <c r="B21" i="74"/>
  <c r="DX23" i="20"/>
  <c r="F20" i="74"/>
  <c r="D20" i="74"/>
  <c r="C20" i="74"/>
  <c r="B20" i="74"/>
  <c r="DX22" i="20"/>
  <c r="F19" i="74"/>
  <c r="D19" i="74"/>
  <c r="C19" i="74"/>
  <c r="B19" i="74"/>
  <c r="DX21" i="20"/>
  <c r="F18" i="74"/>
  <c r="D18" i="74"/>
  <c r="C18" i="74"/>
  <c r="B18" i="74"/>
  <c r="DX20" i="20"/>
  <c r="F17" i="74"/>
  <c r="D17" i="74"/>
  <c r="C17" i="74"/>
  <c r="B17" i="74"/>
  <c r="DX19" i="20"/>
  <c r="F16" i="74"/>
  <c r="D16" i="74"/>
  <c r="C16" i="74"/>
  <c r="B16" i="74"/>
  <c r="DX18" i="20"/>
  <c r="F15" i="74"/>
  <c r="D15" i="74"/>
  <c r="C15" i="74"/>
  <c r="B15" i="74"/>
  <c r="DX17" i="20"/>
  <c r="F14" i="74"/>
  <c r="D14" i="74"/>
  <c r="C14" i="74"/>
  <c r="B14" i="74"/>
  <c r="DX16" i="20"/>
  <c r="F13" i="74"/>
  <c r="D13" i="74"/>
  <c r="C13" i="74"/>
  <c r="B13" i="74"/>
  <c r="DX15" i="20"/>
  <c r="F12" i="74"/>
  <c r="D12" i="74"/>
  <c r="C12" i="74"/>
  <c r="B12" i="74"/>
  <c r="DX14" i="20"/>
  <c r="F11" i="74"/>
  <c r="D11" i="74"/>
  <c r="C11" i="74"/>
  <c r="B11" i="74"/>
  <c r="DX13" i="20"/>
  <c r="F10" i="74"/>
  <c r="D10" i="74"/>
  <c r="C10" i="74"/>
  <c r="B10" i="74"/>
  <c r="DX12" i="20"/>
  <c r="F9" i="74"/>
  <c r="D9" i="74"/>
  <c r="C9" i="74"/>
  <c r="B9" i="74"/>
  <c r="DX11" i="20"/>
  <c r="F8" i="74"/>
  <c r="D8" i="74"/>
  <c r="C8" i="74"/>
  <c r="B8" i="74"/>
  <c r="DX10" i="20"/>
  <c r="F7" i="74"/>
  <c r="D7" i="74"/>
  <c r="C7" i="74"/>
  <c r="B7" i="74"/>
  <c r="DX9" i="20"/>
  <c r="F6" i="74"/>
  <c r="D6" i="74"/>
  <c r="C6" i="74"/>
  <c r="B6" i="74"/>
  <c r="O40" i="28"/>
  <c r="N40" i="28"/>
  <c r="A3" i="28"/>
  <c r="B3" i="28"/>
  <c r="L3" i="28"/>
  <c r="A4" i="28"/>
  <c r="B4" i="28"/>
  <c r="L4" i="28"/>
  <c r="A5" i="28"/>
  <c r="B5" i="28"/>
  <c r="L5" i="28"/>
  <c r="A6" i="28"/>
  <c r="B6" i="28"/>
  <c r="L6" i="28"/>
  <c r="A7" i="28"/>
  <c r="B7" i="28"/>
  <c r="L7" i="28"/>
  <c r="A8" i="28"/>
  <c r="B8" i="28"/>
  <c r="L8" i="28"/>
  <c r="A9" i="28"/>
  <c r="B9" i="28"/>
  <c r="L9" i="28"/>
  <c r="A10" i="28"/>
  <c r="B10" i="28"/>
  <c r="L10" i="28"/>
  <c r="A11" i="28"/>
  <c r="B11" i="28"/>
  <c r="L11" i="28"/>
  <c r="A12" i="28"/>
  <c r="B12" i="28"/>
  <c r="L12" i="28"/>
  <c r="A13" i="28"/>
  <c r="B13" i="28"/>
  <c r="L13" i="28"/>
  <c r="A14" i="28"/>
  <c r="B14" i="28"/>
  <c r="L14" i="28"/>
  <c r="A15" i="28"/>
  <c r="B15" i="28"/>
  <c r="L15" i="28"/>
  <c r="A16" i="28"/>
  <c r="B16" i="28"/>
  <c r="L16" i="28"/>
  <c r="A17" i="28"/>
  <c r="B17" i="28"/>
  <c r="L17" i="28"/>
  <c r="A18" i="28"/>
  <c r="B18" i="28"/>
  <c r="L18" i="28"/>
  <c r="A19" i="28"/>
  <c r="B19" i="28"/>
  <c r="L19" i="28"/>
  <c r="A20" i="28"/>
  <c r="B20" i="28"/>
  <c r="L20" i="28"/>
  <c r="A21" i="28"/>
  <c r="B21" i="28"/>
  <c r="L21" i="28"/>
  <c r="A22" i="28"/>
  <c r="B22" i="28"/>
  <c r="L22" i="28"/>
  <c r="A23" i="28"/>
  <c r="B23" i="28"/>
  <c r="L23" i="28"/>
  <c r="A24" i="28"/>
  <c r="B24" i="28"/>
  <c r="L24" i="28"/>
  <c r="A25" i="28"/>
  <c r="B25" i="28"/>
  <c r="L25" i="28"/>
  <c r="A26" i="28"/>
  <c r="B26" i="28"/>
  <c r="L26" i="28"/>
  <c r="A27" i="28"/>
  <c r="B27" i="28"/>
  <c r="L27" i="28"/>
  <c r="A28" i="28"/>
  <c r="B28" i="28"/>
  <c r="L28" i="28"/>
  <c r="A29" i="28"/>
  <c r="B29" i="28"/>
  <c r="L29" i="28"/>
  <c r="A30" i="28"/>
  <c r="B30" i="28"/>
  <c r="L30" i="28"/>
  <c r="A31" i="28"/>
  <c r="B31" i="28"/>
  <c r="L31" i="28"/>
  <c r="A32" i="28"/>
  <c r="B32" i="28"/>
  <c r="L32" i="28"/>
  <c r="A33" i="28"/>
  <c r="B33" i="28"/>
  <c r="L33" i="28"/>
  <c r="A34" i="28"/>
  <c r="B34" i="28"/>
  <c r="L34" i="28"/>
  <c r="A35" i="28"/>
  <c r="B35" i="28"/>
  <c r="L35" i="28"/>
  <c r="A36" i="28"/>
  <c r="B36" i="28"/>
  <c r="L36" i="28"/>
  <c r="A37" i="28"/>
  <c r="B37" i="28"/>
  <c r="L37" i="28"/>
  <c r="A38" i="28"/>
  <c r="B38" i="28"/>
  <c r="L38" i="28"/>
  <c r="L39" i="28"/>
  <c r="L40" i="28"/>
  <c r="A39" i="28"/>
  <c r="K39" i="28"/>
  <c r="J39" i="28"/>
  <c r="I39" i="28"/>
  <c r="F39" i="28"/>
  <c r="E39" i="28"/>
  <c r="K38" i="28"/>
  <c r="J38" i="28"/>
  <c r="I38" i="28"/>
  <c r="G38" i="28"/>
  <c r="H38" i="28"/>
  <c r="F38" i="28"/>
  <c r="E38" i="28"/>
  <c r="D38" i="28"/>
  <c r="C38" i="28"/>
  <c r="K37" i="28"/>
  <c r="J37" i="28"/>
  <c r="I37" i="28"/>
  <c r="G37" i="28"/>
  <c r="H37" i="28"/>
  <c r="F37" i="28"/>
  <c r="E37" i="28"/>
  <c r="D37" i="28"/>
  <c r="C37" i="28"/>
  <c r="K36" i="28"/>
  <c r="J36" i="28"/>
  <c r="I36" i="28"/>
  <c r="G36" i="28"/>
  <c r="H36" i="28"/>
  <c r="F36" i="28"/>
  <c r="E36" i="28"/>
  <c r="D36" i="28"/>
  <c r="C36" i="28"/>
  <c r="K35" i="28"/>
  <c r="J35" i="28"/>
  <c r="I35" i="28"/>
  <c r="G35" i="28"/>
  <c r="H35" i="28"/>
  <c r="F35" i="28"/>
  <c r="E35" i="28"/>
  <c r="D35" i="28"/>
  <c r="C35" i="28"/>
  <c r="K34" i="28"/>
  <c r="J34" i="28"/>
  <c r="I34" i="28"/>
  <c r="G34" i="28"/>
  <c r="H34" i="28"/>
  <c r="F34" i="28"/>
  <c r="E34" i="28"/>
  <c r="D34" i="28"/>
  <c r="C34" i="28"/>
  <c r="K33" i="28"/>
  <c r="J33" i="28"/>
  <c r="I33" i="28"/>
  <c r="G33" i="28"/>
  <c r="H33" i="28"/>
  <c r="F33" i="28"/>
  <c r="E33" i="28"/>
  <c r="D33" i="28"/>
  <c r="C33" i="28"/>
  <c r="K32" i="28"/>
  <c r="J32" i="28"/>
  <c r="I32" i="28"/>
  <c r="G32" i="28"/>
  <c r="H32" i="28"/>
  <c r="F32" i="28"/>
  <c r="E32" i="28"/>
  <c r="D32" i="28"/>
  <c r="C32" i="28"/>
  <c r="K31" i="28"/>
  <c r="J31" i="28"/>
  <c r="I31" i="28"/>
  <c r="G31" i="28"/>
  <c r="H31" i="28"/>
  <c r="F31" i="28"/>
  <c r="E31" i="28"/>
  <c r="D31" i="28"/>
  <c r="C31" i="28"/>
  <c r="K30" i="28"/>
  <c r="J30" i="28"/>
  <c r="I30" i="28"/>
  <c r="G30" i="28"/>
  <c r="H30" i="28"/>
  <c r="F30" i="28"/>
  <c r="E30" i="28"/>
  <c r="D30" i="28"/>
  <c r="C30" i="28"/>
  <c r="K29" i="28"/>
  <c r="J29" i="28"/>
  <c r="I29" i="28"/>
  <c r="G29" i="28"/>
  <c r="H29" i="28"/>
  <c r="F29" i="28"/>
  <c r="E29" i="28"/>
  <c r="D29" i="28"/>
  <c r="C29" i="28"/>
  <c r="K28" i="28"/>
  <c r="J28" i="28"/>
  <c r="I28" i="28"/>
  <c r="G28" i="28"/>
  <c r="H28" i="28"/>
  <c r="F28" i="28"/>
  <c r="E28" i="28"/>
  <c r="D28" i="28"/>
  <c r="C28" i="28"/>
  <c r="K27" i="28"/>
  <c r="J27" i="28"/>
  <c r="I27" i="28"/>
  <c r="G27" i="28"/>
  <c r="H27" i="28"/>
  <c r="F27" i="28"/>
  <c r="E27" i="28"/>
  <c r="D27" i="28"/>
  <c r="C27" i="28"/>
  <c r="K26" i="28"/>
  <c r="J26" i="28"/>
  <c r="I26" i="28"/>
  <c r="G26" i="28"/>
  <c r="H26" i="28"/>
  <c r="F26" i="28"/>
  <c r="E26" i="28"/>
  <c r="D26" i="28"/>
  <c r="C26" i="28"/>
  <c r="K25" i="28"/>
  <c r="J25" i="28"/>
  <c r="I25" i="28"/>
  <c r="G25" i="28"/>
  <c r="H25" i="28"/>
  <c r="F25" i="28"/>
  <c r="E25" i="28"/>
  <c r="D25" i="28"/>
  <c r="C25" i="28"/>
  <c r="K24" i="28"/>
  <c r="J24" i="28"/>
  <c r="I24" i="28"/>
  <c r="G24" i="28"/>
  <c r="H24" i="28"/>
  <c r="F24" i="28"/>
  <c r="E24" i="28"/>
  <c r="D24" i="28"/>
  <c r="C24" i="28"/>
  <c r="K23" i="28"/>
  <c r="J23" i="28"/>
  <c r="I23" i="28"/>
  <c r="G23" i="28"/>
  <c r="H23" i="28"/>
  <c r="F23" i="28"/>
  <c r="E23" i="28"/>
  <c r="D23" i="28"/>
  <c r="C23" i="28"/>
  <c r="K22" i="28"/>
  <c r="J22" i="28"/>
  <c r="I22" i="28"/>
  <c r="G22" i="28"/>
  <c r="H22" i="28"/>
  <c r="F22" i="28"/>
  <c r="E22" i="28"/>
  <c r="D22" i="28"/>
  <c r="C22" i="28"/>
  <c r="K21" i="28"/>
  <c r="J21" i="28"/>
  <c r="I21" i="28"/>
  <c r="G21" i="28"/>
  <c r="H21" i="28"/>
  <c r="F21" i="28"/>
  <c r="E21" i="28"/>
  <c r="D21" i="28"/>
  <c r="C21" i="28"/>
  <c r="K20" i="28"/>
  <c r="J20" i="28"/>
  <c r="I20" i="28"/>
  <c r="G20" i="28"/>
  <c r="H20" i="28"/>
  <c r="F20" i="28"/>
  <c r="E20" i="28"/>
  <c r="D20" i="28"/>
  <c r="C20" i="28"/>
  <c r="K19" i="28"/>
  <c r="J19" i="28"/>
  <c r="I19" i="28"/>
  <c r="G19" i="28"/>
  <c r="H19" i="28"/>
  <c r="F19" i="28"/>
  <c r="E19" i="28"/>
  <c r="D19" i="28"/>
  <c r="C19" i="28"/>
  <c r="K18" i="28"/>
  <c r="J18" i="28"/>
  <c r="I18" i="28"/>
  <c r="G18" i="28"/>
  <c r="H18" i="28"/>
  <c r="F18" i="28"/>
  <c r="E18" i="28"/>
  <c r="D18" i="28"/>
  <c r="C18" i="28"/>
  <c r="K17" i="28"/>
  <c r="J17" i="28"/>
  <c r="I17" i="28"/>
  <c r="G17" i="28"/>
  <c r="H17" i="28"/>
  <c r="F17" i="28"/>
  <c r="E17" i="28"/>
  <c r="D17" i="28"/>
  <c r="C17" i="28"/>
  <c r="K16" i="28"/>
  <c r="J16" i="28"/>
  <c r="I16" i="28"/>
  <c r="G16" i="28"/>
  <c r="H16" i="28"/>
  <c r="F16" i="28"/>
  <c r="E16" i="28"/>
  <c r="D16" i="28"/>
  <c r="C16" i="28"/>
  <c r="K15" i="28"/>
  <c r="J15" i="28"/>
  <c r="I15" i="28"/>
  <c r="G15" i="28"/>
  <c r="H15" i="28"/>
  <c r="F15" i="28"/>
  <c r="E15" i="28"/>
  <c r="D15" i="28"/>
  <c r="C15" i="28"/>
  <c r="K14" i="28"/>
  <c r="J14" i="28"/>
  <c r="I14" i="28"/>
  <c r="G14" i="28"/>
  <c r="H14" i="28"/>
  <c r="F14" i="28"/>
  <c r="E14" i="28"/>
  <c r="D14" i="28"/>
  <c r="C14" i="28"/>
  <c r="K13" i="28"/>
  <c r="J13" i="28"/>
  <c r="I13" i="28"/>
  <c r="G13" i="28"/>
  <c r="H13" i="28"/>
  <c r="F13" i="28"/>
  <c r="E13" i="28"/>
  <c r="D13" i="28"/>
  <c r="C13" i="28"/>
  <c r="K12" i="28"/>
  <c r="J12" i="28"/>
  <c r="I12" i="28"/>
  <c r="G12" i="28"/>
  <c r="H12" i="28"/>
  <c r="F12" i="28"/>
  <c r="E12" i="28"/>
  <c r="D12" i="28"/>
  <c r="C12" i="28"/>
  <c r="K11" i="28"/>
  <c r="J11" i="28"/>
  <c r="I11" i="28"/>
  <c r="G11" i="28"/>
  <c r="H11" i="28"/>
  <c r="F11" i="28"/>
  <c r="E11" i="28"/>
  <c r="D11" i="28"/>
  <c r="C11" i="28"/>
  <c r="K10" i="28"/>
  <c r="J10" i="28"/>
  <c r="I10" i="28"/>
  <c r="G10" i="28"/>
  <c r="H10" i="28"/>
  <c r="F10" i="28"/>
  <c r="E10" i="28"/>
  <c r="D10" i="28"/>
  <c r="C10" i="28"/>
  <c r="K9" i="28"/>
  <c r="J9" i="28"/>
  <c r="I9" i="28"/>
  <c r="G9" i="28"/>
  <c r="H9" i="28"/>
  <c r="F9" i="28"/>
  <c r="E9" i="28"/>
  <c r="D9" i="28"/>
  <c r="C9" i="28"/>
  <c r="K8" i="28"/>
  <c r="J8" i="28"/>
  <c r="I8" i="28"/>
  <c r="G8" i="28"/>
  <c r="H8" i="28"/>
  <c r="F8" i="28"/>
  <c r="E8" i="28"/>
  <c r="D8" i="28"/>
  <c r="C8" i="28"/>
  <c r="K7" i="28"/>
  <c r="J7" i="28"/>
  <c r="I7" i="28"/>
  <c r="G7" i="28"/>
  <c r="H7" i="28"/>
  <c r="F7" i="28"/>
  <c r="E7" i="28"/>
  <c r="D7" i="28"/>
  <c r="C7" i="28"/>
  <c r="K6" i="28"/>
  <c r="J6" i="28"/>
  <c r="I6" i="28"/>
  <c r="G6" i="28"/>
  <c r="H6" i="28"/>
  <c r="F6" i="28"/>
  <c r="E6" i="28"/>
  <c r="D6" i="28"/>
  <c r="C6" i="28"/>
  <c r="K5" i="28"/>
  <c r="J5" i="28"/>
  <c r="I5" i="28"/>
  <c r="G5" i="28"/>
  <c r="H5" i="28"/>
  <c r="F5" i="28"/>
  <c r="E5" i="28"/>
  <c r="D5" i="28"/>
  <c r="C5" i="28"/>
  <c r="K4" i="28"/>
  <c r="J4" i="28"/>
  <c r="I4" i="28"/>
  <c r="G4" i="28"/>
  <c r="H4" i="28"/>
  <c r="F4" i="28"/>
  <c r="E4" i="28"/>
  <c r="D4" i="28"/>
  <c r="C4" i="28"/>
  <c r="K3" i="28"/>
  <c r="J3" i="28"/>
  <c r="I3" i="28"/>
  <c r="G3" i="28"/>
  <c r="H3" i="28"/>
  <c r="F3" i="28"/>
  <c r="E3" i="28"/>
  <c r="D3" i="28"/>
  <c r="C3" i="28"/>
  <c r="K6" i="76"/>
  <c r="K7" i="76"/>
  <c r="K8" i="76"/>
  <c r="K9" i="76"/>
  <c r="K10" i="76"/>
  <c r="K11" i="76"/>
  <c r="K12" i="76"/>
  <c r="K13" i="76"/>
  <c r="K14" i="76"/>
  <c r="K15" i="76"/>
  <c r="K16" i="76"/>
  <c r="K17" i="76"/>
  <c r="K18" i="76"/>
  <c r="K19" i="76"/>
  <c r="K20" i="76"/>
  <c r="K21" i="76"/>
  <c r="K22" i="76"/>
  <c r="K23" i="76"/>
  <c r="K24" i="76"/>
  <c r="K25" i="76"/>
  <c r="K26" i="76"/>
  <c r="K27" i="76"/>
  <c r="K28" i="76"/>
  <c r="K29" i="76"/>
  <c r="K30" i="76"/>
  <c r="K31" i="76"/>
  <c r="K32" i="76"/>
  <c r="K33" i="76"/>
  <c r="K34" i="76"/>
  <c r="K35" i="76"/>
  <c r="K36" i="76"/>
  <c r="K37" i="76"/>
  <c r="K38" i="76"/>
  <c r="K39" i="76"/>
  <c r="K40" i="76"/>
  <c r="K41" i="76"/>
  <c r="K42" i="76"/>
  <c r="K43" i="76"/>
  <c r="K44" i="76"/>
  <c r="K45" i="76"/>
  <c r="K46" i="76"/>
  <c r="K47" i="76"/>
  <c r="K48" i="76"/>
  <c r="K49" i="76"/>
  <c r="K50" i="76"/>
  <c r="DR9" i="20"/>
  <c r="J6" i="76"/>
  <c r="DR10" i="20"/>
  <c r="J7" i="76"/>
  <c r="DR11" i="20"/>
  <c r="J8" i="76"/>
  <c r="DR12" i="20"/>
  <c r="J9" i="76"/>
  <c r="DR13" i="20"/>
  <c r="J10" i="76"/>
  <c r="DR14" i="20"/>
  <c r="J11" i="76"/>
  <c r="DR15" i="20"/>
  <c r="J12" i="76"/>
  <c r="DR16" i="20"/>
  <c r="J13" i="76"/>
  <c r="DR17" i="20"/>
  <c r="J14" i="76"/>
  <c r="DR18" i="20"/>
  <c r="J15" i="76"/>
  <c r="DR19" i="20"/>
  <c r="J16" i="76"/>
  <c r="DR20" i="20"/>
  <c r="J17" i="76"/>
  <c r="DR21" i="20"/>
  <c r="J18" i="76"/>
  <c r="DR22" i="20"/>
  <c r="J19" i="76"/>
  <c r="DR23" i="20"/>
  <c r="J20" i="76"/>
  <c r="DR24" i="20"/>
  <c r="J21" i="76"/>
  <c r="DR25" i="20"/>
  <c r="J22" i="76"/>
  <c r="DR26" i="20"/>
  <c r="J23" i="76"/>
  <c r="DR27" i="20"/>
  <c r="J24" i="76"/>
  <c r="DR28" i="20"/>
  <c r="J25" i="76"/>
  <c r="DR29" i="20"/>
  <c r="J26" i="76"/>
  <c r="DR30" i="20"/>
  <c r="J27" i="76"/>
  <c r="DR31" i="20"/>
  <c r="J28" i="76"/>
  <c r="DR32" i="20"/>
  <c r="J29" i="76"/>
  <c r="DR33" i="20"/>
  <c r="J30" i="76"/>
  <c r="DR34" i="20"/>
  <c r="J31" i="76"/>
  <c r="DR35" i="20"/>
  <c r="J32" i="76"/>
  <c r="DR36" i="20"/>
  <c r="J33" i="76"/>
  <c r="DR37" i="20"/>
  <c r="J34" i="76"/>
  <c r="DR38" i="20"/>
  <c r="J35" i="76"/>
  <c r="DR39" i="20"/>
  <c r="J36" i="76"/>
  <c r="DR40" i="20"/>
  <c r="J37" i="76"/>
  <c r="DR41" i="20"/>
  <c r="J38" i="76"/>
  <c r="DR42" i="20"/>
  <c r="J39" i="76"/>
  <c r="DR43" i="20"/>
  <c r="J40" i="76"/>
  <c r="DR44" i="20"/>
  <c r="J41" i="76"/>
  <c r="DR45" i="20"/>
  <c r="J42" i="76"/>
  <c r="DR46" i="20"/>
  <c r="J43" i="76"/>
  <c r="DR47" i="20"/>
  <c r="J44" i="76"/>
  <c r="DR48" i="20"/>
  <c r="J45" i="76"/>
  <c r="DR49" i="20"/>
  <c r="J46" i="76"/>
  <c r="DR50" i="20"/>
  <c r="J47" i="76"/>
  <c r="DR51" i="20"/>
  <c r="J48" i="76"/>
  <c r="DR52" i="20"/>
  <c r="J49" i="76"/>
  <c r="J50" i="76"/>
  <c r="I6" i="76"/>
  <c r="I7" i="76"/>
  <c r="I8" i="76"/>
  <c r="I9" i="76"/>
  <c r="I10" i="76"/>
  <c r="I11" i="76"/>
  <c r="I12" i="76"/>
  <c r="I13" i="76"/>
  <c r="I14" i="76"/>
  <c r="I15" i="76"/>
  <c r="I16" i="76"/>
  <c r="I17" i="76"/>
  <c r="I18" i="76"/>
  <c r="I19" i="76"/>
  <c r="I20" i="76"/>
  <c r="I21" i="76"/>
  <c r="I22" i="76"/>
  <c r="I23" i="76"/>
  <c r="I24" i="76"/>
  <c r="I25" i="76"/>
  <c r="I26" i="76"/>
  <c r="I27" i="76"/>
  <c r="I28" i="76"/>
  <c r="I29" i="76"/>
  <c r="I30" i="76"/>
  <c r="I31" i="76"/>
  <c r="I32" i="76"/>
  <c r="I33" i="76"/>
  <c r="I34" i="76"/>
  <c r="I35" i="76"/>
  <c r="I36" i="76"/>
  <c r="I37" i="76"/>
  <c r="I38" i="76"/>
  <c r="I39" i="76"/>
  <c r="I40" i="76"/>
  <c r="I41" i="76"/>
  <c r="I42" i="76"/>
  <c r="I43" i="76"/>
  <c r="I44" i="76"/>
  <c r="I45" i="76"/>
  <c r="I46" i="76"/>
  <c r="I47" i="76"/>
  <c r="I48" i="76"/>
  <c r="I49" i="76"/>
  <c r="I50" i="76"/>
  <c r="H6" i="76"/>
  <c r="H7" i="76"/>
  <c r="H8" i="76"/>
  <c r="H9" i="76"/>
  <c r="H10" i="76"/>
  <c r="H11" i="76"/>
  <c r="H12" i="76"/>
  <c r="H13" i="76"/>
  <c r="H14" i="76"/>
  <c r="H15" i="76"/>
  <c r="H16" i="76"/>
  <c r="H17" i="76"/>
  <c r="H18" i="76"/>
  <c r="H19" i="76"/>
  <c r="H20" i="76"/>
  <c r="H21" i="76"/>
  <c r="H22" i="76"/>
  <c r="H23" i="76"/>
  <c r="H24" i="76"/>
  <c r="H25" i="76"/>
  <c r="H26" i="76"/>
  <c r="H27" i="76"/>
  <c r="H28" i="76"/>
  <c r="H29" i="76"/>
  <c r="H30" i="76"/>
  <c r="H31" i="76"/>
  <c r="H32" i="76"/>
  <c r="H33" i="76"/>
  <c r="H34" i="76"/>
  <c r="H35" i="76"/>
  <c r="H36" i="76"/>
  <c r="H37" i="76"/>
  <c r="H38" i="76"/>
  <c r="H39" i="76"/>
  <c r="H40" i="76"/>
  <c r="H41" i="76"/>
  <c r="H42" i="76"/>
  <c r="H43" i="76"/>
  <c r="H44" i="76"/>
  <c r="H45" i="76"/>
  <c r="H46" i="76"/>
  <c r="H47" i="76"/>
  <c r="H48" i="76"/>
  <c r="H49" i="76"/>
  <c r="H50" i="76"/>
  <c r="G6" i="76"/>
  <c r="G7" i="76"/>
  <c r="G8" i="76"/>
  <c r="G9" i="76"/>
  <c r="G10" i="76"/>
  <c r="G11" i="76"/>
  <c r="G12" i="76"/>
  <c r="G13" i="76"/>
  <c r="G14" i="76"/>
  <c r="G15" i="76"/>
  <c r="G16" i="76"/>
  <c r="G17" i="76"/>
  <c r="G18" i="76"/>
  <c r="G19" i="76"/>
  <c r="G20" i="76"/>
  <c r="G21" i="76"/>
  <c r="G22" i="76"/>
  <c r="G23" i="76"/>
  <c r="G24" i="76"/>
  <c r="G25" i="76"/>
  <c r="G26" i="76"/>
  <c r="G27" i="76"/>
  <c r="G28" i="76"/>
  <c r="G29" i="76"/>
  <c r="G30" i="76"/>
  <c r="G31" i="76"/>
  <c r="G32" i="76"/>
  <c r="G33" i="76"/>
  <c r="G34" i="76"/>
  <c r="G35" i="76"/>
  <c r="G36" i="76"/>
  <c r="G37" i="76"/>
  <c r="G38" i="76"/>
  <c r="G39" i="76"/>
  <c r="G40" i="76"/>
  <c r="G41" i="76"/>
  <c r="G42" i="76"/>
  <c r="G43" i="76"/>
  <c r="G44" i="76"/>
  <c r="G45" i="76"/>
  <c r="G46" i="76"/>
  <c r="G47" i="76"/>
  <c r="G48" i="76"/>
  <c r="G49" i="76"/>
  <c r="G50" i="76"/>
  <c r="E6" i="76"/>
  <c r="E7" i="76"/>
  <c r="E8" i="76"/>
  <c r="E9" i="76"/>
  <c r="E10" i="76"/>
  <c r="E11" i="76"/>
  <c r="E12" i="76"/>
  <c r="E13" i="76"/>
  <c r="E14" i="76"/>
  <c r="E15" i="76"/>
  <c r="E16" i="76"/>
  <c r="E17" i="76"/>
  <c r="E18" i="76"/>
  <c r="E19" i="76"/>
  <c r="E20" i="76"/>
  <c r="E21" i="76"/>
  <c r="E22" i="76"/>
  <c r="E23" i="76"/>
  <c r="E24" i="76"/>
  <c r="E25" i="76"/>
  <c r="E26" i="76"/>
  <c r="E27" i="76"/>
  <c r="E28" i="76"/>
  <c r="E29" i="76"/>
  <c r="E30" i="76"/>
  <c r="E31" i="76"/>
  <c r="E32" i="76"/>
  <c r="E33" i="76"/>
  <c r="E34" i="76"/>
  <c r="E35" i="76"/>
  <c r="E36" i="76"/>
  <c r="E37" i="76"/>
  <c r="E38" i="76"/>
  <c r="E39" i="76"/>
  <c r="E40" i="76"/>
  <c r="E41" i="76"/>
  <c r="E42" i="76"/>
  <c r="E43" i="76"/>
  <c r="E44" i="76"/>
  <c r="E45" i="76"/>
  <c r="E46" i="76"/>
  <c r="E47" i="76"/>
  <c r="E48" i="76"/>
  <c r="E49" i="76"/>
  <c r="E50" i="76"/>
  <c r="DT52" i="20"/>
  <c r="M49" i="76"/>
  <c r="F49" i="76"/>
  <c r="B49" i="76"/>
  <c r="A52" i="20"/>
  <c r="A49" i="76"/>
  <c r="DT51" i="20"/>
  <c r="M48" i="76"/>
  <c r="F48" i="76"/>
  <c r="B48" i="76"/>
  <c r="A51" i="20"/>
  <c r="A48" i="76"/>
  <c r="DT50" i="20"/>
  <c r="M47" i="76"/>
  <c r="F47" i="76"/>
  <c r="B47" i="76"/>
  <c r="A50" i="20"/>
  <c r="A47" i="76"/>
  <c r="DT49" i="20"/>
  <c r="M46" i="76"/>
  <c r="F46" i="76"/>
  <c r="B46" i="76"/>
  <c r="A49" i="20"/>
  <c r="A46" i="76"/>
  <c r="DT48" i="20"/>
  <c r="M45" i="76"/>
  <c r="F45" i="76"/>
  <c r="B45" i="76"/>
  <c r="A48" i="20"/>
  <c r="A45" i="76"/>
  <c r="DT47" i="20"/>
  <c r="M44" i="76"/>
  <c r="F44" i="76"/>
  <c r="B44" i="76"/>
  <c r="A47" i="20"/>
  <c r="A44" i="76"/>
  <c r="DT46" i="20"/>
  <c r="M43" i="76"/>
  <c r="F43" i="76"/>
  <c r="B43" i="76"/>
  <c r="A46" i="20"/>
  <c r="A43" i="76"/>
  <c r="DT45" i="20"/>
  <c r="M42" i="76"/>
  <c r="F42" i="76"/>
  <c r="B42" i="76"/>
  <c r="A42" i="76"/>
  <c r="DT44" i="20"/>
  <c r="M41" i="76"/>
  <c r="F41" i="76"/>
  <c r="B41" i="76"/>
  <c r="A41" i="76"/>
  <c r="DT43" i="20"/>
  <c r="M40" i="76"/>
  <c r="F40" i="76"/>
  <c r="B40" i="76"/>
  <c r="A40" i="76"/>
  <c r="DT42" i="20"/>
  <c r="M39" i="76"/>
  <c r="F39" i="76"/>
  <c r="B39" i="76"/>
  <c r="A39" i="76"/>
  <c r="DT41" i="20"/>
  <c r="M38" i="76"/>
  <c r="F38" i="76"/>
  <c r="B38" i="76"/>
  <c r="A38" i="76"/>
  <c r="DT40" i="20"/>
  <c r="M37" i="76"/>
  <c r="F37" i="76"/>
  <c r="B37" i="76"/>
  <c r="A37" i="76"/>
  <c r="DT39" i="20"/>
  <c r="M36" i="76"/>
  <c r="F36" i="76"/>
  <c r="B36" i="76"/>
  <c r="A36" i="76"/>
  <c r="DT38" i="20"/>
  <c r="M35" i="76"/>
  <c r="F35" i="76"/>
  <c r="B35" i="76"/>
  <c r="A35" i="76"/>
  <c r="DT37" i="20"/>
  <c r="M34" i="76"/>
  <c r="F34" i="76"/>
  <c r="B34" i="76"/>
  <c r="A34" i="76"/>
  <c r="DT36" i="20"/>
  <c r="M33" i="76"/>
  <c r="F33" i="76"/>
  <c r="B33" i="76"/>
  <c r="A33" i="76"/>
  <c r="DT35" i="20"/>
  <c r="M32" i="76"/>
  <c r="F32" i="76"/>
  <c r="B32" i="76"/>
  <c r="A32" i="76"/>
  <c r="DT34" i="20"/>
  <c r="M31" i="76"/>
  <c r="F31" i="76"/>
  <c r="B31" i="76"/>
  <c r="A31" i="76"/>
  <c r="DT33" i="20"/>
  <c r="M30" i="76"/>
  <c r="F30" i="76"/>
  <c r="B30" i="76"/>
  <c r="A30" i="76"/>
  <c r="DT32" i="20"/>
  <c r="M29" i="76"/>
  <c r="F29" i="76"/>
  <c r="B29" i="76"/>
  <c r="A29" i="76"/>
  <c r="DT31" i="20"/>
  <c r="M28" i="76"/>
  <c r="F28" i="76"/>
  <c r="B28" i="76"/>
  <c r="A28" i="76"/>
  <c r="DT30" i="20"/>
  <c r="M27" i="76"/>
  <c r="F27" i="76"/>
  <c r="B27" i="76"/>
  <c r="A27" i="76"/>
  <c r="DT29" i="20"/>
  <c r="M26" i="76"/>
  <c r="F26" i="76"/>
  <c r="B26" i="76"/>
  <c r="A26" i="76"/>
  <c r="DT28" i="20"/>
  <c r="M25" i="76"/>
  <c r="F25" i="76"/>
  <c r="B25" i="76"/>
  <c r="A25" i="76"/>
  <c r="DT27" i="20"/>
  <c r="M24" i="76"/>
  <c r="F24" i="76"/>
  <c r="B24" i="76"/>
  <c r="A24" i="76"/>
  <c r="DT26" i="20"/>
  <c r="M23" i="76"/>
  <c r="F23" i="76"/>
  <c r="B23" i="76"/>
  <c r="A23" i="76"/>
  <c r="DT25" i="20"/>
  <c r="M22" i="76"/>
  <c r="F22" i="76"/>
  <c r="B22" i="76"/>
  <c r="A22" i="76"/>
  <c r="DT24" i="20"/>
  <c r="M21" i="76"/>
  <c r="F21" i="76"/>
  <c r="B21" i="76"/>
  <c r="A21" i="76"/>
  <c r="DT23" i="20"/>
  <c r="M20" i="76"/>
  <c r="F20" i="76"/>
  <c r="B20" i="76"/>
  <c r="A20" i="76"/>
  <c r="DT22" i="20"/>
  <c r="M19" i="76"/>
  <c r="F19" i="76"/>
  <c r="B19" i="76"/>
  <c r="A19" i="76"/>
  <c r="DT21" i="20"/>
  <c r="M18" i="76"/>
  <c r="F18" i="76"/>
  <c r="B18" i="76"/>
  <c r="A18" i="76"/>
  <c r="DT20" i="20"/>
  <c r="M17" i="76"/>
  <c r="F17" i="76"/>
  <c r="B17" i="76"/>
  <c r="A17" i="76"/>
  <c r="DT19" i="20"/>
  <c r="M16" i="76"/>
  <c r="F16" i="76"/>
  <c r="B16" i="76"/>
  <c r="A16" i="76"/>
  <c r="DT18" i="20"/>
  <c r="M15" i="76"/>
  <c r="F15" i="76"/>
  <c r="B15" i="76"/>
  <c r="A15" i="76"/>
  <c r="DT17" i="20"/>
  <c r="M14" i="76"/>
  <c r="F14" i="76"/>
  <c r="B14" i="76"/>
  <c r="A14" i="76"/>
  <c r="DT16" i="20"/>
  <c r="M13" i="76"/>
  <c r="F13" i="76"/>
  <c r="B13" i="76"/>
  <c r="A13" i="76"/>
  <c r="DT15" i="20"/>
  <c r="M12" i="76"/>
  <c r="F12" i="76"/>
  <c r="B12" i="76"/>
  <c r="A12" i="76"/>
  <c r="DT14" i="20"/>
  <c r="M11" i="76"/>
  <c r="F11" i="76"/>
  <c r="B11" i="76"/>
  <c r="A11" i="76"/>
  <c r="DT13" i="20"/>
  <c r="M10" i="76"/>
  <c r="F10" i="76"/>
  <c r="B10" i="76"/>
  <c r="A10" i="76"/>
  <c r="DT12" i="20"/>
  <c r="M9" i="76"/>
  <c r="F9" i="76"/>
  <c r="B9" i="76"/>
  <c r="A9" i="76"/>
  <c r="DT11" i="20"/>
  <c r="M8" i="76"/>
  <c r="F8" i="76"/>
  <c r="B8" i="76"/>
  <c r="A8" i="76"/>
  <c r="DT10" i="20"/>
  <c r="M7" i="76"/>
  <c r="F7" i="76"/>
  <c r="B7" i="76"/>
  <c r="A7" i="76"/>
  <c r="DT9" i="20"/>
  <c r="M6" i="76"/>
  <c r="F6" i="76"/>
  <c r="B6" i="76"/>
  <c r="A6" i="76"/>
  <c r="Q6" i="68"/>
  <c r="Q7" i="68"/>
  <c r="Q8" i="68"/>
  <c r="Q9" i="68"/>
  <c r="Q10" i="68"/>
  <c r="Q11" i="68"/>
  <c r="Q12" i="68"/>
  <c r="Q13" i="68"/>
  <c r="Q14" i="68"/>
  <c r="Q15" i="68"/>
  <c r="Q16" i="68"/>
  <c r="Q17" i="68"/>
  <c r="Q18" i="68"/>
  <c r="Q19" i="68"/>
  <c r="Q20" i="68"/>
  <c r="Q21" i="68"/>
  <c r="Q22" i="68"/>
  <c r="Q23" i="68"/>
  <c r="Q24" i="68"/>
  <c r="Q25" i="68"/>
  <c r="Q26" i="68"/>
  <c r="Q27" i="68"/>
  <c r="Q28" i="68"/>
  <c r="Q29" i="68"/>
  <c r="Q30" i="68"/>
  <c r="Q31" i="68"/>
  <c r="Q32" i="68"/>
  <c r="Q33" i="68"/>
  <c r="Q34" i="68"/>
  <c r="Q35" i="68"/>
  <c r="Q36" i="68"/>
  <c r="Q37" i="68"/>
  <c r="Q38" i="68"/>
  <c r="Q39" i="68"/>
  <c r="Q40" i="68"/>
  <c r="Q41" i="68"/>
  <c r="Q42" i="68"/>
  <c r="Q43" i="68"/>
  <c r="Q44" i="68"/>
  <c r="Q45" i="68"/>
  <c r="Q46" i="68"/>
  <c r="Q47" i="68"/>
  <c r="Q48" i="68"/>
  <c r="Q49" i="68"/>
  <c r="Q50" i="68"/>
  <c r="N6" i="68"/>
  <c r="N7" i="68"/>
  <c r="N8" i="68"/>
  <c r="N9" i="68"/>
  <c r="N10" i="68"/>
  <c r="N11" i="68"/>
  <c r="N12" i="68"/>
  <c r="N13" i="68"/>
  <c r="N14" i="68"/>
  <c r="N15" i="68"/>
  <c r="N16" i="68"/>
  <c r="N17" i="68"/>
  <c r="N18" i="68"/>
  <c r="N19" i="68"/>
  <c r="N20" i="68"/>
  <c r="N21" i="68"/>
  <c r="N22" i="68"/>
  <c r="N23" i="68"/>
  <c r="N24" i="68"/>
  <c r="N25" i="68"/>
  <c r="N26" i="68"/>
  <c r="N27" i="68"/>
  <c r="N28" i="68"/>
  <c r="N29" i="68"/>
  <c r="N30" i="68"/>
  <c r="N31" i="68"/>
  <c r="N32" i="68"/>
  <c r="N33" i="68"/>
  <c r="N34" i="68"/>
  <c r="N35" i="68"/>
  <c r="N36" i="68"/>
  <c r="N37" i="68"/>
  <c r="N38" i="68"/>
  <c r="N39" i="68"/>
  <c r="N40" i="68"/>
  <c r="N41" i="68"/>
  <c r="N42" i="68"/>
  <c r="N43" i="68"/>
  <c r="N44" i="68"/>
  <c r="N45" i="68"/>
  <c r="N46" i="68"/>
  <c r="N47" i="68"/>
  <c r="N48" i="68"/>
  <c r="N49" i="68"/>
  <c r="N50" i="68"/>
  <c r="J6" i="68"/>
  <c r="K6" i="68"/>
  <c r="L6" i="68"/>
  <c r="M6" i="68"/>
  <c r="J7" i="68"/>
  <c r="K7" i="68"/>
  <c r="L7" i="68"/>
  <c r="M7" i="68"/>
  <c r="J8" i="68"/>
  <c r="K8" i="68"/>
  <c r="L8" i="68"/>
  <c r="M8" i="68"/>
  <c r="J9" i="68"/>
  <c r="K9" i="68"/>
  <c r="L9" i="68"/>
  <c r="M9" i="68"/>
  <c r="J10" i="68"/>
  <c r="K10" i="68"/>
  <c r="L10" i="68"/>
  <c r="M10" i="68"/>
  <c r="J11" i="68"/>
  <c r="K11" i="68"/>
  <c r="L11" i="68"/>
  <c r="M11" i="68"/>
  <c r="J12" i="68"/>
  <c r="K12" i="68"/>
  <c r="L12" i="68"/>
  <c r="M12" i="68"/>
  <c r="J13" i="68"/>
  <c r="K13" i="68"/>
  <c r="L13" i="68"/>
  <c r="M13" i="68"/>
  <c r="J14" i="68"/>
  <c r="K14" i="68"/>
  <c r="L14" i="68"/>
  <c r="M14" i="68"/>
  <c r="J15" i="68"/>
  <c r="K15" i="68"/>
  <c r="L15" i="68"/>
  <c r="M15" i="68"/>
  <c r="J16" i="68"/>
  <c r="K16" i="68"/>
  <c r="L16" i="68"/>
  <c r="M16" i="68"/>
  <c r="J17" i="68"/>
  <c r="K17" i="68"/>
  <c r="L17" i="68"/>
  <c r="M17" i="68"/>
  <c r="J18" i="68"/>
  <c r="K18" i="68"/>
  <c r="L18" i="68"/>
  <c r="M18" i="68"/>
  <c r="J19" i="68"/>
  <c r="K19" i="68"/>
  <c r="L19" i="68"/>
  <c r="M19" i="68"/>
  <c r="J20" i="68"/>
  <c r="K20" i="68"/>
  <c r="L20" i="68"/>
  <c r="M20" i="68"/>
  <c r="J21" i="68"/>
  <c r="K21" i="68"/>
  <c r="L21" i="68"/>
  <c r="M21" i="68"/>
  <c r="J22" i="68"/>
  <c r="K22" i="68"/>
  <c r="L22" i="68"/>
  <c r="M22" i="68"/>
  <c r="J23" i="68"/>
  <c r="K23" i="68"/>
  <c r="L23" i="68"/>
  <c r="M23" i="68"/>
  <c r="J24" i="68"/>
  <c r="K24" i="68"/>
  <c r="L24" i="68"/>
  <c r="M24" i="68"/>
  <c r="J25" i="68"/>
  <c r="K25" i="68"/>
  <c r="L25" i="68"/>
  <c r="M25" i="68"/>
  <c r="J26" i="68"/>
  <c r="K26" i="68"/>
  <c r="L26" i="68"/>
  <c r="M26" i="68"/>
  <c r="J27" i="68"/>
  <c r="K27" i="68"/>
  <c r="L27" i="68"/>
  <c r="M27" i="68"/>
  <c r="J28" i="68"/>
  <c r="K28" i="68"/>
  <c r="L28" i="68"/>
  <c r="M28" i="68"/>
  <c r="J29" i="68"/>
  <c r="K29" i="68"/>
  <c r="L29" i="68"/>
  <c r="M29" i="68"/>
  <c r="J30" i="68"/>
  <c r="K30" i="68"/>
  <c r="L30" i="68"/>
  <c r="M30" i="68"/>
  <c r="J31" i="68"/>
  <c r="K31" i="68"/>
  <c r="L31" i="68"/>
  <c r="M31" i="68"/>
  <c r="J32" i="68"/>
  <c r="K32" i="68"/>
  <c r="L32" i="68"/>
  <c r="M32" i="68"/>
  <c r="J33" i="68"/>
  <c r="K33" i="68"/>
  <c r="L33" i="68"/>
  <c r="M33" i="68"/>
  <c r="J34" i="68"/>
  <c r="K34" i="68"/>
  <c r="L34" i="68"/>
  <c r="M34" i="68"/>
  <c r="J35" i="68"/>
  <c r="K35" i="68"/>
  <c r="L35" i="68"/>
  <c r="M35" i="68"/>
  <c r="J36" i="68"/>
  <c r="K36" i="68"/>
  <c r="L36" i="68"/>
  <c r="M36" i="68"/>
  <c r="J37" i="68"/>
  <c r="K37" i="68"/>
  <c r="L37" i="68"/>
  <c r="M37" i="68"/>
  <c r="J38" i="68"/>
  <c r="K38" i="68"/>
  <c r="L38" i="68"/>
  <c r="M38" i="68"/>
  <c r="J39" i="68"/>
  <c r="K39" i="68"/>
  <c r="L39" i="68"/>
  <c r="M39" i="68"/>
  <c r="J40" i="68"/>
  <c r="K40" i="68"/>
  <c r="L40" i="68"/>
  <c r="M40" i="68"/>
  <c r="J41" i="68"/>
  <c r="K41" i="68"/>
  <c r="L41" i="68"/>
  <c r="M41" i="68"/>
  <c r="J42" i="68"/>
  <c r="K42" i="68"/>
  <c r="L42" i="68"/>
  <c r="M42" i="68"/>
  <c r="J43" i="68"/>
  <c r="K43" i="68"/>
  <c r="L43" i="68"/>
  <c r="M43" i="68"/>
  <c r="J44" i="68"/>
  <c r="K44" i="68"/>
  <c r="L44" i="68"/>
  <c r="M44" i="68"/>
  <c r="J45" i="68"/>
  <c r="K45" i="68"/>
  <c r="L45" i="68"/>
  <c r="M45" i="68"/>
  <c r="J46" i="68"/>
  <c r="K46" i="68"/>
  <c r="L46" i="68"/>
  <c r="M46" i="68"/>
  <c r="J47" i="68"/>
  <c r="K47" i="68"/>
  <c r="L47" i="68"/>
  <c r="M47" i="68"/>
  <c r="J48" i="68"/>
  <c r="K48" i="68"/>
  <c r="L48" i="68"/>
  <c r="M48" i="68"/>
  <c r="J49" i="68"/>
  <c r="K49" i="68"/>
  <c r="L49" i="68"/>
  <c r="M49" i="68"/>
  <c r="M50" i="68"/>
  <c r="L50" i="68"/>
  <c r="K50" i="68"/>
  <c r="J50" i="68"/>
  <c r="P49" i="68"/>
  <c r="O49" i="68"/>
  <c r="I49" i="68"/>
  <c r="H49" i="68"/>
  <c r="G49" i="68"/>
  <c r="F49" i="68"/>
  <c r="E49" i="68"/>
  <c r="D49" i="68"/>
  <c r="C49" i="68"/>
  <c r="B49" i="68"/>
  <c r="A49" i="68"/>
  <c r="P48" i="68"/>
  <c r="O48" i="68"/>
  <c r="I48" i="68"/>
  <c r="H48" i="68"/>
  <c r="G48" i="68"/>
  <c r="F48" i="68"/>
  <c r="E48" i="68"/>
  <c r="D48" i="68"/>
  <c r="C48" i="68"/>
  <c r="B48" i="68"/>
  <c r="A48" i="68"/>
  <c r="P47" i="68"/>
  <c r="O47" i="68"/>
  <c r="I47" i="68"/>
  <c r="H47" i="68"/>
  <c r="G47" i="68"/>
  <c r="F47" i="68"/>
  <c r="E47" i="68"/>
  <c r="D47" i="68"/>
  <c r="C47" i="68"/>
  <c r="B47" i="68"/>
  <c r="A47" i="68"/>
  <c r="P46" i="68"/>
  <c r="O46" i="68"/>
  <c r="I46" i="68"/>
  <c r="H46" i="68"/>
  <c r="G46" i="68"/>
  <c r="F46" i="68"/>
  <c r="E46" i="68"/>
  <c r="D46" i="68"/>
  <c r="C46" i="68"/>
  <c r="B46" i="68"/>
  <c r="A46" i="68"/>
  <c r="P45" i="68"/>
  <c r="O45" i="68"/>
  <c r="I45" i="68"/>
  <c r="H45" i="68"/>
  <c r="G45" i="68"/>
  <c r="F45" i="68"/>
  <c r="E45" i="68"/>
  <c r="D45" i="68"/>
  <c r="C45" i="68"/>
  <c r="B45" i="68"/>
  <c r="A45" i="68"/>
  <c r="P44" i="68"/>
  <c r="O44" i="68"/>
  <c r="I44" i="68"/>
  <c r="H44" i="68"/>
  <c r="G44" i="68"/>
  <c r="F44" i="68"/>
  <c r="E44" i="68"/>
  <c r="D44" i="68"/>
  <c r="C44" i="68"/>
  <c r="B44" i="68"/>
  <c r="A44" i="68"/>
  <c r="P43" i="68"/>
  <c r="O43" i="68"/>
  <c r="I43" i="68"/>
  <c r="H43" i="68"/>
  <c r="G43" i="68"/>
  <c r="F43" i="68"/>
  <c r="E43" i="68"/>
  <c r="D43" i="68"/>
  <c r="C43" i="68"/>
  <c r="B43" i="68"/>
  <c r="A43" i="68"/>
  <c r="P42" i="68"/>
  <c r="O42" i="68"/>
  <c r="I42" i="68"/>
  <c r="H42" i="68"/>
  <c r="G42" i="68"/>
  <c r="F42" i="68"/>
  <c r="E42" i="68"/>
  <c r="D42" i="68"/>
  <c r="C42" i="68"/>
  <c r="B42" i="68"/>
  <c r="A42" i="68"/>
  <c r="P41" i="68"/>
  <c r="O41" i="68"/>
  <c r="I41" i="68"/>
  <c r="H41" i="68"/>
  <c r="G41" i="68"/>
  <c r="F41" i="68"/>
  <c r="E41" i="68"/>
  <c r="D41" i="68"/>
  <c r="C41" i="68"/>
  <c r="B41" i="68"/>
  <c r="A41" i="68"/>
  <c r="P40" i="68"/>
  <c r="O40" i="68"/>
  <c r="I40" i="68"/>
  <c r="H40" i="68"/>
  <c r="G40" i="68"/>
  <c r="F40" i="68"/>
  <c r="E40" i="68"/>
  <c r="D40" i="68"/>
  <c r="C40" i="68"/>
  <c r="B40" i="68"/>
  <c r="A40" i="68"/>
  <c r="P39" i="68"/>
  <c r="O39" i="68"/>
  <c r="I39" i="68"/>
  <c r="H39" i="68"/>
  <c r="G39" i="68"/>
  <c r="F39" i="68"/>
  <c r="E39" i="68"/>
  <c r="D39" i="68"/>
  <c r="C39" i="68"/>
  <c r="B39" i="68"/>
  <c r="A39" i="68"/>
  <c r="P38" i="68"/>
  <c r="O38" i="68"/>
  <c r="I38" i="68"/>
  <c r="H38" i="68"/>
  <c r="G38" i="68"/>
  <c r="F38" i="68"/>
  <c r="E38" i="68"/>
  <c r="D38" i="68"/>
  <c r="C38" i="68"/>
  <c r="B38" i="68"/>
  <c r="A38" i="68"/>
  <c r="P37" i="68"/>
  <c r="O37" i="68"/>
  <c r="I37" i="68"/>
  <c r="H37" i="68"/>
  <c r="G37" i="68"/>
  <c r="F37" i="68"/>
  <c r="E37" i="68"/>
  <c r="D37" i="68"/>
  <c r="C37" i="68"/>
  <c r="B37" i="68"/>
  <c r="A37" i="68"/>
  <c r="P36" i="68"/>
  <c r="O36" i="68"/>
  <c r="I36" i="68"/>
  <c r="H36" i="68"/>
  <c r="G36" i="68"/>
  <c r="F36" i="68"/>
  <c r="E36" i="68"/>
  <c r="D36" i="68"/>
  <c r="C36" i="68"/>
  <c r="B36" i="68"/>
  <c r="A36" i="68"/>
  <c r="P35" i="68"/>
  <c r="O35" i="68"/>
  <c r="I35" i="68"/>
  <c r="H35" i="68"/>
  <c r="G35" i="68"/>
  <c r="F35" i="68"/>
  <c r="E35" i="68"/>
  <c r="D35" i="68"/>
  <c r="C35" i="68"/>
  <c r="B35" i="68"/>
  <c r="A35" i="68"/>
  <c r="P34" i="68"/>
  <c r="O34" i="68"/>
  <c r="I34" i="68"/>
  <c r="H34" i="68"/>
  <c r="G34" i="68"/>
  <c r="F34" i="68"/>
  <c r="E34" i="68"/>
  <c r="D34" i="68"/>
  <c r="C34" i="68"/>
  <c r="B34" i="68"/>
  <c r="A34" i="68"/>
  <c r="P33" i="68"/>
  <c r="O33" i="68"/>
  <c r="I33" i="68"/>
  <c r="H33" i="68"/>
  <c r="G33" i="68"/>
  <c r="F33" i="68"/>
  <c r="E33" i="68"/>
  <c r="D33" i="68"/>
  <c r="C33" i="68"/>
  <c r="B33" i="68"/>
  <c r="A33" i="68"/>
  <c r="P32" i="68"/>
  <c r="O32" i="68"/>
  <c r="I32" i="68"/>
  <c r="H32" i="68"/>
  <c r="G32" i="68"/>
  <c r="F32" i="68"/>
  <c r="E32" i="68"/>
  <c r="D32" i="68"/>
  <c r="C32" i="68"/>
  <c r="B32" i="68"/>
  <c r="A32" i="68"/>
  <c r="P31" i="68"/>
  <c r="O31" i="68"/>
  <c r="I31" i="68"/>
  <c r="H31" i="68"/>
  <c r="G31" i="68"/>
  <c r="F31" i="68"/>
  <c r="E31" i="68"/>
  <c r="D31" i="68"/>
  <c r="C31" i="68"/>
  <c r="B31" i="68"/>
  <c r="A31" i="68"/>
  <c r="P30" i="68"/>
  <c r="O30" i="68"/>
  <c r="I30" i="68"/>
  <c r="H30" i="68"/>
  <c r="G30" i="68"/>
  <c r="F30" i="68"/>
  <c r="E30" i="68"/>
  <c r="D30" i="68"/>
  <c r="C30" i="68"/>
  <c r="B30" i="68"/>
  <c r="A30" i="68"/>
  <c r="P29" i="68"/>
  <c r="O29" i="68"/>
  <c r="I29" i="68"/>
  <c r="H29" i="68"/>
  <c r="G29" i="68"/>
  <c r="F29" i="68"/>
  <c r="E29" i="68"/>
  <c r="D29" i="68"/>
  <c r="C29" i="68"/>
  <c r="B29" i="68"/>
  <c r="A29" i="68"/>
  <c r="P28" i="68"/>
  <c r="O28" i="68"/>
  <c r="I28" i="68"/>
  <c r="H28" i="68"/>
  <c r="G28" i="68"/>
  <c r="F28" i="68"/>
  <c r="E28" i="68"/>
  <c r="D28" i="68"/>
  <c r="C28" i="68"/>
  <c r="B28" i="68"/>
  <c r="A28" i="68"/>
  <c r="P27" i="68"/>
  <c r="O27" i="68"/>
  <c r="I27" i="68"/>
  <c r="H27" i="68"/>
  <c r="G27" i="68"/>
  <c r="F27" i="68"/>
  <c r="E27" i="68"/>
  <c r="D27" i="68"/>
  <c r="C27" i="68"/>
  <c r="B27" i="68"/>
  <c r="A27" i="68"/>
  <c r="P26" i="68"/>
  <c r="O26" i="68"/>
  <c r="I26" i="68"/>
  <c r="H26" i="68"/>
  <c r="G26" i="68"/>
  <c r="F26" i="68"/>
  <c r="E26" i="68"/>
  <c r="D26" i="68"/>
  <c r="C26" i="68"/>
  <c r="B26" i="68"/>
  <c r="A26" i="68"/>
  <c r="P25" i="68"/>
  <c r="O25" i="68"/>
  <c r="I25" i="68"/>
  <c r="H25" i="68"/>
  <c r="G25" i="68"/>
  <c r="F25" i="68"/>
  <c r="E25" i="68"/>
  <c r="D25" i="68"/>
  <c r="C25" i="68"/>
  <c r="B25" i="68"/>
  <c r="A25" i="68"/>
  <c r="P24" i="68"/>
  <c r="O24" i="68"/>
  <c r="I24" i="68"/>
  <c r="H24" i="68"/>
  <c r="G24" i="68"/>
  <c r="F24" i="68"/>
  <c r="E24" i="68"/>
  <c r="D24" i="68"/>
  <c r="C24" i="68"/>
  <c r="B24" i="68"/>
  <c r="A24" i="68"/>
  <c r="P23" i="68"/>
  <c r="O23" i="68"/>
  <c r="I23" i="68"/>
  <c r="H23" i="68"/>
  <c r="G23" i="68"/>
  <c r="F23" i="68"/>
  <c r="E23" i="68"/>
  <c r="D23" i="68"/>
  <c r="C23" i="68"/>
  <c r="B23" i="68"/>
  <c r="A23" i="68"/>
  <c r="P22" i="68"/>
  <c r="O22" i="68"/>
  <c r="I22" i="68"/>
  <c r="H22" i="68"/>
  <c r="G22" i="68"/>
  <c r="F22" i="68"/>
  <c r="E22" i="68"/>
  <c r="D22" i="68"/>
  <c r="C22" i="68"/>
  <c r="B22" i="68"/>
  <c r="A22" i="68"/>
  <c r="P21" i="68"/>
  <c r="O21" i="68"/>
  <c r="I21" i="68"/>
  <c r="H21" i="68"/>
  <c r="G21" i="68"/>
  <c r="F21" i="68"/>
  <c r="E21" i="68"/>
  <c r="D21" i="68"/>
  <c r="C21" i="68"/>
  <c r="B21" i="68"/>
  <c r="A21" i="68"/>
  <c r="P20" i="68"/>
  <c r="O20" i="68"/>
  <c r="I20" i="68"/>
  <c r="H20" i="68"/>
  <c r="G20" i="68"/>
  <c r="F20" i="68"/>
  <c r="E20" i="68"/>
  <c r="D20" i="68"/>
  <c r="C20" i="68"/>
  <c r="B20" i="68"/>
  <c r="A20" i="68"/>
  <c r="P19" i="68"/>
  <c r="O19" i="68"/>
  <c r="I19" i="68"/>
  <c r="H19" i="68"/>
  <c r="G19" i="68"/>
  <c r="F19" i="68"/>
  <c r="E19" i="68"/>
  <c r="D19" i="68"/>
  <c r="C19" i="68"/>
  <c r="B19" i="68"/>
  <c r="A19" i="68"/>
  <c r="P18" i="68"/>
  <c r="O18" i="68"/>
  <c r="I18" i="68"/>
  <c r="H18" i="68"/>
  <c r="G18" i="68"/>
  <c r="F18" i="68"/>
  <c r="E18" i="68"/>
  <c r="D18" i="68"/>
  <c r="C18" i="68"/>
  <c r="B18" i="68"/>
  <c r="A18" i="68"/>
  <c r="P17" i="68"/>
  <c r="O17" i="68"/>
  <c r="I17" i="68"/>
  <c r="H17" i="68"/>
  <c r="G17" i="68"/>
  <c r="F17" i="68"/>
  <c r="E17" i="68"/>
  <c r="D17" i="68"/>
  <c r="C17" i="68"/>
  <c r="B17" i="68"/>
  <c r="A17" i="68"/>
  <c r="P16" i="68"/>
  <c r="O16" i="68"/>
  <c r="I16" i="68"/>
  <c r="H16" i="68"/>
  <c r="G16" i="68"/>
  <c r="F16" i="68"/>
  <c r="E16" i="68"/>
  <c r="D16" i="68"/>
  <c r="C16" i="68"/>
  <c r="B16" i="68"/>
  <c r="A16" i="68"/>
  <c r="P15" i="68"/>
  <c r="O15" i="68"/>
  <c r="I15" i="68"/>
  <c r="H15" i="68"/>
  <c r="G15" i="68"/>
  <c r="F15" i="68"/>
  <c r="E15" i="68"/>
  <c r="D15" i="68"/>
  <c r="C15" i="68"/>
  <c r="B15" i="68"/>
  <c r="A15" i="68"/>
  <c r="P14" i="68"/>
  <c r="O14" i="68"/>
  <c r="I14" i="68"/>
  <c r="H14" i="68"/>
  <c r="G14" i="68"/>
  <c r="F14" i="68"/>
  <c r="E14" i="68"/>
  <c r="D14" i="68"/>
  <c r="C14" i="68"/>
  <c r="B14" i="68"/>
  <c r="A14" i="68"/>
  <c r="P13" i="68"/>
  <c r="O13" i="68"/>
  <c r="I13" i="68"/>
  <c r="H13" i="68"/>
  <c r="G13" i="68"/>
  <c r="F13" i="68"/>
  <c r="E13" i="68"/>
  <c r="D13" i="68"/>
  <c r="C13" i="68"/>
  <c r="B13" i="68"/>
  <c r="A13" i="68"/>
  <c r="P12" i="68"/>
  <c r="O12" i="68"/>
  <c r="I12" i="68"/>
  <c r="H12" i="68"/>
  <c r="G12" i="68"/>
  <c r="F12" i="68"/>
  <c r="E12" i="68"/>
  <c r="D12" i="68"/>
  <c r="C12" i="68"/>
  <c r="B12" i="68"/>
  <c r="A12" i="68"/>
  <c r="P11" i="68"/>
  <c r="O11" i="68"/>
  <c r="I11" i="68"/>
  <c r="H11" i="68"/>
  <c r="G11" i="68"/>
  <c r="F11" i="68"/>
  <c r="E11" i="68"/>
  <c r="D11" i="68"/>
  <c r="C11" i="68"/>
  <c r="B11" i="68"/>
  <c r="A11" i="68"/>
  <c r="P10" i="68"/>
  <c r="O10" i="68"/>
  <c r="I10" i="68"/>
  <c r="H10" i="68"/>
  <c r="G10" i="68"/>
  <c r="F10" i="68"/>
  <c r="E10" i="68"/>
  <c r="D10" i="68"/>
  <c r="C10" i="68"/>
  <c r="B10" i="68"/>
  <c r="A10" i="68"/>
  <c r="P9" i="68"/>
  <c r="O9" i="68"/>
  <c r="I9" i="68"/>
  <c r="H9" i="68"/>
  <c r="G9" i="68"/>
  <c r="F9" i="68"/>
  <c r="E9" i="68"/>
  <c r="D9" i="68"/>
  <c r="C9" i="68"/>
  <c r="B9" i="68"/>
  <c r="A9" i="68"/>
  <c r="P8" i="68"/>
  <c r="O8" i="68"/>
  <c r="I8" i="68"/>
  <c r="H8" i="68"/>
  <c r="G8" i="68"/>
  <c r="F8" i="68"/>
  <c r="E8" i="68"/>
  <c r="D8" i="68"/>
  <c r="C8" i="68"/>
  <c r="B8" i="68"/>
  <c r="A8" i="68"/>
  <c r="P7" i="68"/>
  <c r="O7" i="68"/>
  <c r="I7" i="68"/>
  <c r="H7" i="68"/>
  <c r="G7" i="68"/>
  <c r="F7" i="68"/>
  <c r="E7" i="68"/>
  <c r="D7" i="68"/>
  <c r="C7" i="68"/>
  <c r="B7" i="68"/>
  <c r="A7" i="68"/>
  <c r="P6" i="68"/>
  <c r="O6" i="68"/>
  <c r="I6" i="68"/>
  <c r="H6" i="68"/>
  <c r="G6" i="68"/>
  <c r="F6" i="68"/>
  <c r="E6" i="68"/>
  <c r="D6" i="68"/>
  <c r="C6" i="68"/>
  <c r="B6" i="68"/>
  <c r="A6" i="68"/>
  <c r="P2" i="68"/>
  <c r="I2" i="68"/>
  <c r="D1" i="68"/>
  <c r="B102" i="20"/>
  <c r="AT102" i="20"/>
  <c r="AS102" i="20"/>
  <c r="AR102" i="20"/>
  <c r="AQ102" i="20"/>
  <c r="AO102" i="20"/>
  <c r="AG102" i="20"/>
  <c r="AH102" i="20"/>
  <c r="AI102" i="20"/>
  <c r="AJ102" i="20"/>
  <c r="AK102" i="20"/>
  <c r="AL102" i="20"/>
  <c r="AF102" i="20"/>
  <c r="AC102" i="20"/>
  <c r="AA102" i="20"/>
  <c r="Z102" i="20"/>
  <c r="V102" i="20"/>
  <c r="W102" i="20"/>
  <c r="X102" i="20"/>
  <c r="Y102" i="20"/>
  <c r="U102" i="20"/>
  <c r="T102" i="20"/>
  <c r="S102" i="20"/>
  <c r="R102" i="20"/>
  <c r="P102" i="20"/>
  <c r="O102" i="20"/>
  <c r="N102" i="20"/>
  <c r="M102" i="20"/>
  <c r="L102" i="20"/>
  <c r="K102" i="20"/>
  <c r="J102" i="20"/>
  <c r="I102" i="20"/>
  <c r="G102" i="20"/>
  <c r="H102" i="20"/>
  <c r="F102" i="20"/>
  <c r="E102" i="20"/>
  <c r="D102" i="20"/>
  <c r="C102" i="20"/>
  <c r="A102" i="20"/>
  <c r="B101" i="20"/>
  <c r="G101" i="20"/>
  <c r="EH101" i="20"/>
  <c r="EG101" i="20"/>
  <c r="EF101" i="20"/>
  <c r="DW101" i="20"/>
  <c r="CW101" i="20"/>
  <c r="ED101" i="20"/>
  <c r="EC101" i="20"/>
  <c r="EB101" i="20"/>
  <c r="EA101" i="20"/>
  <c r="DZ101" i="20"/>
  <c r="DY101" i="20"/>
  <c r="DX101" i="20"/>
  <c r="DV101" i="20"/>
  <c r="DU101" i="20"/>
  <c r="DT101" i="20"/>
  <c r="L101" i="20"/>
  <c r="DS101" i="20"/>
  <c r="DR101" i="20"/>
  <c r="AH101" i="20"/>
  <c r="AI101" i="20"/>
  <c r="AJ101" i="20"/>
  <c r="AK101" i="20"/>
  <c r="DP101" i="20"/>
  <c r="AG101" i="20"/>
  <c r="DQ101" i="20"/>
  <c r="DO101" i="20"/>
  <c r="DN101" i="20"/>
  <c r="DC101" i="20"/>
  <c r="DD101" i="20"/>
  <c r="DE101" i="20"/>
  <c r="DF101" i="20"/>
  <c r="DG101" i="20"/>
  <c r="DH101" i="20"/>
  <c r="DI101" i="20"/>
  <c r="DJ101" i="20"/>
  <c r="DK101" i="20"/>
  <c r="DL101" i="20"/>
  <c r="DM101" i="20"/>
  <c r="DB101" i="20"/>
  <c r="DA101" i="20"/>
  <c r="CZ101" i="20"/>
  <c r="CY101" i="20"/>
  <c r="CX101" i="20"/>
  <c r="CV101" i="20"/>
  <c r="CU101" i="20"/>
  <c r="CT101" i="20"/>
  <c r="CS101" i="20"/>
  <c r="CR101" i="20"/>
  <c r="S101" i="20"/>
  <c r="X101" i="20"/>
  <c r="V101" i="20"/>
  <c r="W101" i="20"/>
  <c r="Y101" i="20"/>
  <c r="AF101" i="20"/>
  <c r="AZ101" i="20"/>
  <c r="BE101" i="20"/>
  <c r="CO101" i="20"/>
  <c r="CN101" i="20"/>
  <c r="CP101" i="20"/>
  <c r="CQ101" i="20"/>
  <c r="T101" i="20"/>
  <c r="CM101" i="20"/>
  <c r="CJ101" i="20"/>
  <c r="CI101" i="20"/>
  <c r="BH101" i="20"/>
  <c r="CF101" i="20"/>
  <c r="CE101" i="20"/>
  <c r="CG101" i="20"/>
  <c r="CH101" i="20"/>
  <c r="CD101" i="20"/>
  <c r="AY101" i="20"/>
  <c r="BC101" i="20"/>
  <c r="CA101" i="20"/>
  <c r="BZ101" i="20"/>
  <c r="CB101" i="20"/>
  <c r="CC101" i="20"/>
  <c r="BY101" i="20"/>
  <c r="BB101" i="20"/>
  <c r="BU101" i="20"/>
  <c r="BT101" i="20"/>
  <c r="BV101" i="20"/>
  <c r="BW101" i="20"/>
  <c r="BS101" i="20"/>
  <c r="AL101" i="20"/>
  <c r="BG101" i="20"/>
  <c r="BM101" i="20"/>
  <c r="BN101" i="20"/>
  <c r="BO101" i="20"/>
  <c r="BP101" i="20"/>
  <c r="BL101" i="20"/>
  <c r="BK101" i="20"/>
  <c r="BJ101" i="20"/>
  <c r="BI101" i="20"/>
  <c r="AX101" i="20"/>
  <c r="BA101" i="20"/>
  <c r="BD101" i="20"/>
  <c r="BF101" i="20"/>
  <c r="AT101" i="20"/>
  <c r="AS101" i="20"/>
  <c r="AR101" i="20"/>
  <c r="AQ101" i="20"/>
  <c r="AO101" i="20"/>
  <c r="AC101" i="20"/>
  <c r="AA101" i="20"/>
  <c r="Z101" i="20"/>
  <c r="U101" i="20"/>
  <c r="R101" i="20"/>
  <c r="P101" i="20"/>
  <c r="O101" i="20"/>
  <c r="N101" i="20"/>
  <c r="M101" i="20"/>
  <c r="K101" i="20"/>
  <c r="J101" i="20"/>
  <c r="I101" i="20"/>
  <c r="H101" i="20"/>
  <c r="F101" i="20"/>
  <c r="E101" i="20"/>
  <c r="D101" i="20"/>
  <c r="C101" i="20"/>
  <c r="A101" i="20"/>
  <c r="B100" i="20"/>
  <c r="G100" i="20"/>
  <c r="EH100" i="20"/>
  <c r="EG100" i="20"/>
  <c r="EF100" i="20"/>
  <c r="DW100" i="20"/>
  <c r="CW100" i="20"/>
  <c r="ED100" i="20"/>
  <c r="EC100" i="20"/>
  <c r="EB100" i="20"/>
  <c r="EA100" i="20"/>
  <c r="DZ100" i="20"/>
  <c r="DY100" i="20"/>
  <c r="DX100" i="20"/>
  <c r="DV100" i="20"/>
  <c r="DU100" i="20"/>
  <c r="DT100" i="20"/>
  <c r="L100" i="20"/>
  <c r="DS100" i="20"/>
  <c r="DR100" i="20"/>
  <c r="AH100" i="20"/>
  <c r="AI100" i="20"/>
  <c r="AJ100" i="20"/>
  <c r="AK100" i="20"/>
  <c r="DP100" i="20"/>
  <c r="AG100" i="20"/>
  <c r="DQ100" i="20"/>
  <c r="DO100" i="20"/>
  <c r="DN100" i="20"/>
  <c r="DC100" i="20"/>
  <c r="DD100" i="20"/>
  <c r="DE100" i="20"/>
  <c r="DF100" i="20"/>
  <c r="DG100" i="20"/>
  <c r="DH100" i="20"/>
  <c r="DI100" i="20"/>
  <c r="DJ100" i="20"/>
  <c r="DK100" i="20"/>
  <c r="DL100" i="20"/>
  <c r="DM100" i="20"/>
  <c r="DB100" i="20"/>
  <c r="DA100" i="20"/>
  <c r="CZ100" i="20"/>
  <c r="CY100" i="20"/>
  <c r="CX100" i="20"/>
  <c r="CV100" i="20"/>
  <c r="CU100" i="20"/>
  <c r="CT100" i="20"/>
  <c r="CS100" i="20"/>
  <c r="CR100" i="20"/>
  <c r="S100" i="20"/>
  <c r="X100" i="20"/>
  <c r="V100" i="20"/>
  <c r="W100" i="20"/>
  <c r="Y100" i="20"/>
  <c r="AF100" i="20"/>
  <c r="AZ100" i="20"/>
  <c r="BE100" i="20"/>
  <c r="CO100" i="20"/>
  <c r="CN100" i="20"/>
  <c r="CP100" i="20"/>
  <c r="CQ100" i="20"/>
  <c r="T100" i="20"/>
  <c r="CM100" i="20"/>
  <c r="CJ100" i="20"/>
  <c r="CI100" i="20"/>
  <c r="BH100" i="20"/>
  <c r="CF100" i="20"/>
  <c r="CE100" i="20"/>
  <c r="CG100" i="20"/>
  <c r="CH100" i="20"/>
  <c r="CD100" i="20"/>
  <c r="AY100" i="20"/>
  <c r="BC100" i="20"/>
  <c r="CA100" i="20"/>
  <c r="BZ100" i="20"/>
  <c r="CB100" i="20"/>
  <c r="CC100" i="20"/>
  <c r="BY100" i="20"/>
  <c r="BB100" i="20"/>
  <c r="BU100" i="20"/>
  <c r="BT100" i="20"/>
  <c r="BV100" i="20"/>
  <c r="BW100" i="20"/>
  <c r="BS100" i="20"/>
  <c r="AL100" i="20"/>
  <c r="BG100" i="20"/>
  <c r="BM100" i="20"/>
  <c r="BN100" i="20"/>
  <c r="BO100" i="20"/>
  <c r="BP100" i="20"/>
  <c r="BL100" i="20"/>
  <c r="BK100" i="20"/>
  <c r="BJ100" i="20"/>
  <c r="BI100" i="20"/>
  <c r="AX100" i="20"/>
  <c r="BA100" i="20"/>
  <c r="BD100" i="20"/>
  <c r="BF100" i="20"/>
  <c r="AT100" i="20"/>
  <c r="AS100" i="20"/>
  <c r="AR100" i="20"/>
  <c r="AQ100" i="20"/>
  <c r="AO100" i="20"/>
  <c r="AC100" i="20"/>
  <c r="AA100" i="20"/>
  <c r="Z100" i="20"/>
  <c r="U100" i="20"/>
  <c r="R100" i="20"/>
  <c r="P100" i="20"/>
  <c r="O100" i="20"/>
  <c r="N100" i="20"/>
  <c r="M100" i="20"/>
  <c r="K100" i="20"/>
  <c r="J100" i="20"/>
  <c r="I100" i="20"/>
  <c r="H100" i="20"/>
  <c r="F100" i="20"/>
  <c r="E100" i="20"/>
  <c r="D100" i="20"/>
  <c r="C100" i="20"/>
  <c r="A100" i="20"/>
  <c r="B99" i="20"/>
  <c r="G99" i="20"/>
  <c r="EH99" i="20"/>
  <c r="EG99" i="20"/>
  <c r="EF99" i="20"/>
  <c r="DW99" i="20"/>
  <c r="CW99" i="20"/>
  <c r="ED99" i="20"/>
  <c r="EC99" i="20"/>
  <c r="EB99" i="20"/>
  <c r="EA99" i="20"/>
  <c r="DZ99" i="20"/>
  <c r="DY99" i="20"/>
  <c r="DX99" i="20"/>
  <c r="DV99" i="20"/>
  <c r="DU99" i="20"/>
  <c r="DT99" i="20"/>
  <c r="L99" i="20"/>
  <c r="DS99" i="20"/>
  <c r="DR99" i="20"/>
  <c r="AH99" i="20"/>
  <c r="AI99" i="20"/>
  <c r="AJ99" i="20"/>
  <c r="AK99" i="20"/>
  <c r="DP99" i="20"/>
  <c r="AG99" i="20"/>
  <c r="DQ99" i="20"/>
  <c r="DO99" i="20"/>
  <c r="DN99" i="20"/>
  <c r="DC99" i="20"/>
  <c r="DD99" i="20"/>
  <c r="DE99" i="20"/>
  <c r="DF99" i="20"/>
  <c r="DG99" i="20"/>
  <c r="DH99" i="20"/>
  <c r="DI99" i="20"/>
  <c r="DJ99" i="20"/>
  <c r="DK99" i="20"/>
  <c r="DL99" i="20"/>
  <c r="DM99" i="20"/>
  <c r="DB99" i="20"/>
  <c r="DA99" i="20"/>
  <c r="CZ99" i="20"/>
  <c r="CY99" i="20"/>
  <c r="CX99" i="20"/>
  <c r="CV99" i="20"/>
  <c r="CU99" i="20"/>
  <c r="CT99" i="20"/>
  <c r="CS99" i="20"/>
  <c r="CR99" i="20"/>
  <c r="S99" i="20"/>
  <c r="X99" i="20"/>
  <c r="V99" i="20"/>
  <c r="W99" i="20"/>
  <c r="Y99" i="20"/>
  <c r="AF99" i="20"/>
  <c r="AZ99" i="20"/>
  <c r="BE99" i="20"/>
  <c r="CO99" i="20"/>
  <c r="CN99" i="20"/>
  <c r="CP99" i="20"/>
  <c r="CQ99" i="20"/>
  <c r="T99" i="20"/>
  <c r="CM99" i="20"/>
  <c r="CJ99" i="20"/>
  <c r="CI99" i="20"/>
  <c r="BH99" i="20"/>
  <c r="CF99" i="20"/>
  <c r="CE99" i="20"/>
  <c r="CG99" i="20"/>
  <c r="CH99" i="20"/>
  <c r="CD99" i="20"/>
  <c r="AY99" i="20"/>
  <c r="BC99" i="20"/>
  <c r="CA99" i="20"/>
  <c r="BZ99" i="20"/>
  <c r="CB99" i="20"/>
  <c r="CC99" i="20"/>
  <c r="BY99" i="20"/>
  <c r="BB99" i="20"/>
  <c r="BU99" i="20"/>
  <c r="BT99" i="20"/>
  <c r="BV99" i="20"/>
  <c r="BW99" i="20"/>
  <c r="BS99" i="20"/>
  <c r="AL99" i="20"/>
  <c r="BG99" i="20"/>
  <c r="BM99" i="20"/>
  <c r="BN99" i="20"/>
  <c r="BO99" i="20"/>
  <c r="BP99" i="20"/>
  <c r="BL99" i="20"/>
  <c r="BK99" i="20"/>
  <c r="BJ99" i="20"/>
  <c r="BI99" i="20"/>
  <c r="AX99" i="20"/>
  <c r="BA99" i="20"/>
  <c r="BD99" i="20"/>
  <c r="BF99" i="20"/>
  <c r="AT99" i="20"/>
  <c r="AS99" i="20"/>
  <c r="AR99" i="20"/>
  <c r="AQ99" i="20"/>
  <c r="AO99" i="20"/>
  <c r="AC99" i="20"/>
  <c r="AA99" i="20"/>
  <c r="Z99" i="20"/>
  <c r="U99" i="20"/>
  <c r="R99" i="20"/>
  <c r="P99" i="20"/>
  <c r="O99" i="20"/>
  <c r="N99" i="20"/>
  <c r="M99" i="20"/>
  <c r="K99" i="20"/>
  <c r="J99" i="20"/>
  <c r="I99" i="20"/>
  <c r="H99" i="20"/>
  <c r="F99" i="20"/>
  <c r="E99" i="20"/>
  <c r="D99" i="20"/>
  <c r="C99" i="20"/>
  <c r="A99" i="20"/>
  <c r="B98" i="20"/>
  <c r="G98" i="20"/>
  <c r="EH98" i="20"/>
  <c r="EG98" i="20"/>
  <c r="EF98" i="20"/>
  <c r="DW98" i="20"/>
  <c r="CW98" i="20"/>
  <c r="ED98" i="20"/>
  <c r="EC98" i="20"/>
  <c r="EB98" i="20"/>
  <c r="EA98" i="20"/>
  <c r="DZ98" i="20"/>
  <c r="DY98" i="20"/>
  <c r="DX98" i="20"/>
  <c r="DV98" i="20"/>
  <c r="DU98" i="20"/>
  <c r="DT98" i="20"/>
  <c r="L98" i="20"/>
  <c r="DS98" i="20"/>
  <c r="DR98" i="20"/>
  <c r="AH98" i="20"/>
  <c r="AI98" i="20"/>
  <c r="AJ98" i="20"/>
  <c r="AK98" i="20"/>
  <c r="DP98" i="20"/>
  <c r="AG98" i="20"/>
  <c r="DQ98" i="20"/>
  <c r="DO98" i="20"/>
  <c r="DN98" i="20"/>
  <c r="DC98" i="20"/>
  <c r="DD98" i="20"/>
  <c r="DE98" i="20"/>
  <c r="DF98" i="20"/>
  <c r="DG98" i="20"/>
  <c r="DH98" i="20"/>
  <c r="DI98" i="20"/>
  <c r="DJ98" i="20"/>
  <c r="DK98" i="20"/>
  <c r="DL98" i="20"/>
  <c r="DM98" i="20"/>
  <c r="DB98" i="20"/>
  <c r="DA98" i="20"/>
  <c r="CZ98" i="20"/>
  <c r="CY98" i="20"/>
  <c r="CX98" i="20"/>
  <c r="CV98" i="20"/>
  <c r="CU98" i="20"/>
  <c r="CT98" i="20"/>
  <c r="CS98" i="20"/>
  <c r="CR98" i="20"/>
  <c r="S98" i="20"/>
  <c r="X98" i="20"/>
  <c r="V98" i="20"/>
  <c r="W98" i="20"/>
  <c r="Y98" i="20"/>
  <c r="AF98" i="20"/>
  <c r="AZ98" i="20"/>
  <c r="BE98" i="20"/>
  <c r="CO98" i="20"/>
  <c r="CN98" i="20"/>
  <c r="CP98" i="20"/>
  <c r="CQ98" i="20"/>
  <c r="T98" i="20"/>
  <c r="CM98" i="20"/>
  <c r="CJ98" i="20"/>
  <c r="CI98" i="20"/>
  <c r="BH98" i="20"/>
  <c r="CF98" i="20"/>
  <c r="CE98" i="20"/>
  <c r="CG98" i="20"/>
  <c r="CH98" i="20"/>
  <c r="CD98" i="20"/>
  <c r="AY98" i="20"/>
  <c r="BC98" i="20"/>
  <c r="CA98" i="20"/>
  <c r="BZ98" i="20"/>
  <c r="CB98" i="20"/>
  <c r="CC98" i="20"/>
  <c r="BY98" i="20"/>
  <c r="BB98" i="20"/>
  <c r="BU98" i="20"/>
  <c r="BT98" i="20"/>
  <c r="BV98" i="20"/>
  <c r="BW98" i="20"/>
  <c r="BS98" i="20"/>
  <c r="AL98" i="20"/>
  <c r="BG98" i="20"/>
  <c r="BM98" i="20"/>
  <c r="BN98" i="20"/>
  <c r="BO98" i="20"/>
  <c r="BP98" i="20"/>
  <c r="BL98" i="20"/>
  <c r="BK98" i="20"/>
  <c r="BJ98" i="20"/>
  <c r="BI98" i="20"/>
  <c r="AX98" i="20"/>
  <c r="BA98" i="20"/>
  <c r="BD98" i="20"/>
  <c r="BF98" i="20"/>
  <c r="AT98" i="20"/>
  <c r="AS98" i="20"/>
  <c r="AR98" i="20"/>
  <c r="AQ98" i="20"/>
  <c r="AO98" i="20"/>
  <c r="AC98" i="20"/>
  <c r="AA98" i="20"/>
  <c r="Z98" i="20"/>
  <c r="U98" i="20"/>
  <c r="R98" i="20"/>
  <c r="P98" i="20"/>
  <c r="O98" i="20"/>
  <c r="N98" i="20"/>
  <c r="M98" i="20"/>
  <c r="K98" i="20"/>
  <c r="J98" i="20"/>
  <c r="I98" i="20"/>
  <c r="H98" i="20"/>
  <c r="F98" i="20"/>
  <c r="E98" i="20"/>
  <c r="D98" i="20"/>
  <c r="C98" i="20"/>
  <c r="A98" i="20"/>
  <c r="B97" i="20"/>
  <c r="G97" i="20"/>
  <c r="EH97" i="20"/>
  <c r="EG97" i="20"/>
  <c r="EF97" i="20"/>
  <c r="DW97" i="20"/>
  <c r="CW97" i="20"/>
  <c r="ED97" i="20"/>
  <c r="EC97" i="20"/>
  <c r="EB97" i="20"/>
  <c r="EA97" i="20"/>
  <c r="DZ97" i="20"/>
  <c r="DY97" i="20"/>
  <c r="DX97" i="20"/>
  <c r="DV97" i="20"/>
  <c r="DU97" i="20"/>
  <c r="DT97" i="20"/>
  <c r="L97" i="20"/>
  <c r="DS97" i="20"/>
  <c r="DR97" i="20"/>
  <c r="AH97" i="20"/>
  <c r="AI97" i="20"/>
  <c r="AJ97" i="20"/>
  <c r="AK97" i="20"/>
  <c r="DP97" i="20"/>
  <c r="AG97" i="20"/>
  <c r="DQ97" i="20"/>
  <c r="DO97" i="20"/>
  <c r="DN97" i="20"/>
  <c r="DC97" i="20"/>
  <c r="DD97" i="20"/>
  <c r="DE97" i="20"/>
  <c r="DF97" i="20"/>
  <c r="DG97" i="20"/>
  <c r="DH97" i="20"/>
  <c r="DI97" i="20"/>
  <c r="DJ97" i="20"/>
  <c r="DK97" i="20"/>
  <c r="DL97" i="20"/>
  <c r="DM97" i="20"/>
  <c r="DB97" i="20"/>
  <c r="DA97" i="20"/>
  <c r="CZ97" i="20"/>
  <c r="CY97" i="20"/>
  <c r="CX97" i="20"/>
  <c r="CV97" i="20"/>
  <c r="CU97" i="20"/>
  <c r="CT97" i="20"/>
  <c r="CS97" i="20"/>
  <c r="CR97" i="20"/>
  <c r="S97" i="20"/>
  <c r="X97" i="20"/>
  <c r="V97" i="20"/>
  <c r="W97" i="20"/>
  <c r="Y97" i="20"/>
  <c r="AF97" i="20"/>
  <c r="AZ97" i="20"/>
  <c r="BE97" i="20"/>
  <c r="CO97" i="20"/>
  <c r="CN97" i="20"/>
  <c r="CP97" i="20"/>
  <c r="CQ97" i="20"/>
  <c r="T97" i="20"/>
  <c r="CM97" i="20"/>
  <c r="CJ97" i="20"/>
  <c r="CI97" i="20"/>
  <c r="BH97" i="20"/>
  <c r="CF97" i="20"/>
  <c r="CE97" i="20"/>
  <c r="CG97" i="20"/>
  <c r="CH97" i="20"/>
  <c r="CD97" i="20"/>
  <c r="AY97" i="20"/>
  <c r="BC97" i="20"/>
  <c r="CA97" i="20"/>
  <c r="BZ97" i="20"/>
  <c r="CB97" i="20"/>
  <c r="CC97" i="20"/>
  <c r="BY97" i="20"/>
  <c r="BB97" i="20"/>
  <c r="BU97" i="20"/>
  <c r="BT97" i="20"/>
  <c r="BV97" i="20"/>
  <c r="BW97" i="20"/>
  <c r="BS97" i="20"/>
  <c r="AL97" i="20"/>
  <c r="BG97" i="20"/>
  <c r="BM97" i="20"/>
  <c r="BN97" i="20"/>
  <c r="BO97" i="20"/>
  <c r="BP97" i="20"/>
  <c r="BL97" i="20"/>
  <c r="BK97" i="20"/>
  <c r="BJ97" i="20"/>
  <c r="BI97" i="20"/>
  <c r="AX97" i="20"/>
  <c r="BA97" i="20"/>
  <c r="BD97" i="20"/>
  <c r="BF97" i="20"/>
  <c r="AT97" i="20"/>
  <c r="AS97" i="20"/>
  <c r="AR97" i="20"/>
  <c r="AQ97" i="20"/>
  <c r="AO97" i="20"/>
  <c r="AC97" i="20"/>
  <c r="AA97" i="20"/>
  <c r="Z97" i="20"/>
  <c r="U97" i="20"/>
  <c r="R97" i="20"/>
  <c r="P97" i="20"/>
  <c r="O97" i="20"/>
  <c r="N97" i="20"/>
  <c r="M97" i="20"/>
  <c r="K97" i="20"/>
  <c r="J97" i="20"/>
  <c r="I97" i="20"/>
  <c r="H97" i="20"/>
  <c r="F97" i="20"/>
  <c r="E97" i="20"/>
  <c r="D97" i="20"/>
  <c r="C97" i="20"/>
  <c r="A97" i="20"/>
  <c r="B96" i="20"/>
  <c r="G96" i="20"/>
  <c r="EH96" i="20"/>
  <c r="EG96" i="20"/>
  <c r="EF96" i="20"/>
  <c r="DW96" i="20"/>
  <c r="CW96" i="20"/>
  <c r="ED96" i="20"/>
  <c r="EC96" i="20"/>
  <c r="EB96" i="20"/>
  <c r="EA96" i="20"/>
  <c r="DZ96" i="20"/>
  <c r="DY96" i="20"/>
  <c r="DX96" i="20"/>
  <c r="DV96" i="20"/>
  <c r="DU96" i="20"/>
  <c r="DT96" i="20"/>
  <c r="L96" i="20"/>
  <c r="DS96" i="20"/>
  <c r="DR96" i="20"/>
  <c r="AH96" i="20"/>
  <c r="AI96" i="20"/>
  <c r="AJ96" i="20"/>
  <c r="AK96" i="20"/>
  <c r="DP96" i="20"/>
  <c r="AG96" i="20"/>
  <c r="DQ96" i="20"/>
  <c r="DO96" i="20"/>
  <c r="DN96" i="20"/>
  <c r="DC96" i="20"/>
  <c r="DD96" i="20"/>
  <c r="DE96" i="20"/>
  <c r="DF96" i="20"/>
  <c r="DG96" i="20"/>
  <c r="DH96" i="20"/>
  <c r="DI96" i="20"/>
  <c r="DJ96" i="20"/>
  <c r="DK96" i="20"/>
  <c r="DL96" i="20"/>
  <c r="DM96" i="20"/>
  <c r="DB96" i="20"/>
  <c r="DA96" i="20"/>
  <c r="CZ96" i="20"/>
  <c r="CY96" i="20"/>
  <c r="CX96" i="20"/>
  <c r="CV96" i="20"/>
  <c r="CU96" i="20"/>
  <c r="CT96" i="20"/>
  <c r="CS96" i="20"/>
  <c r="CR96" i="20"/>
  <c r="S96" i="20"/>
  <c r="X96" i="20"/>
  <c r="V96" i="20"/>
  <c r="W96" i="20"/>
  <c r="Y96" i="20"/>
  <c r="AF96" i="20"/>
  <c r="AZ96" i="20"/>
  <c r="BE96" i="20"/>
  <c r="CO96" i="20"/>
  <c r="CN96" i="20"/>
  <c r="CP96" i="20"/>
  <c r="CQ96" i="20"/>
  <c r="T96" i="20"/>
  <c r="CM96" i="20"/>
  <c r="CJ96" i="20"/>
  <c r="CI96" i="20"/>
  <c r="BH96" i="20"/>
  <c r="CF96" i="20"/>
  <c r="CE96" i="20"/>
  <c r="CG96" i="20"/>
  <c r="CH96" i="20"/>
  <c r="CD96" i="20"/>
  <c r="AY96" i="20"/>
  <c r="BC96" i="20"/>
  <c r="CA96" i="20"/>
  <c r="BZ96" i="20"/>
  <c r="CB96" i="20"/>
  <c r="CC96" i="20"/>
  <c r="BY96" i="20"/>
  <c r="BB96" i="20"/>
  <c r="BU96" i="20"/>
  <c r="BT96" i="20"/>
  <c r="BV96" i="20"/>
  <c r="BW96" i="20"/>
  <c r="BS96" i="20"/>
  <c r="AL96" i="20"/>
  <c r="BG96" i="20"/>
  <c r="BM96" i="20"/>
  <c r="BN96" i="20"/>
  <c r="BO96" i="20"/>
  <c r="BP96" i="20"/>
  <c r="BL96" i="20"/>
  <c r="BK96" i="20"/>
  <c r="BJ96" i="20"/>
  <c r="BI96" i="20"/>
  <c r="AX96" i="20"/>
  <c r="BA96" i="20"/>
  <c r="BD96" i="20"/>
  <c r="BF96" i="20"/>
  <c r="AT96" i="20"/>
  <c r="AS96" i="20"/>
  <c r="AR96" i="20"/>
  <c r="AQ96" i="20"/>
  <c r="AO96" i="20"/>
  <c r="AC96" i="20"/>
  <c r="AA96" i="20"/>
  <c r="Z96" i="20"/>
  <c r="U96" i="20"/>
  <c r="R96" i="20"/>
  <c r="P96" i="20"/>
  <c r="O96" i="20"/>
  <c r="N96" i="20"/>
  <c r="M96" i="20"/>
  <c r="K96" i="20"/>
  <c r="J96" i="20"/>
  <c r="I96" i="20"/>
  <c r="H96" i="20"/>
  <c r="F96" i="20"/>
  <c r="E96" i="20"/>
  <c r="D96" i="20"/>
  <c r="C96" i="20"/>
  <c r="A96" i="20"/>
  <c r="B95" i="20"/>
  <c r="G95" i="20"/>
  <c r="EH95" i="20"/>
  <c r="EG95" i="20"/>
  <c r="EF95" i="20"/>
  <c r="DW95" i="20"/>
  <c r="CW95" i="20"/>
  <c r="ED95" i="20"/>
  <c r="EC95" i="20"/>
  <c r="EB95" i="20"/>
  <c r="EA95" i="20"/>
  <c r="DZ95" i="20"/>
  <c r="DY95" i="20"/>
  <c r="DX95" i="20"/>
  <c r="DV95" i="20"/>
  <c r="DU95" i="20"/>
  <c r="DT95" i="20"/>
  <c r="L95" i="20"/>
  <c r="DS95" i="20"/>
  <c r="DR95" i="20"/>
  <c r="AH95" i="20"/>
  <c r="AI95" i="20"/>
  <c r="AJ95" i="20"/>
  <c r="AK95" i="20"/>
  <c r="DP95" i="20"/>
  <c r="AG95" i="20"/>
  <c r="DQ95" i="20"/>
  <c r="DO95" i="20"/>
  <c r="DN95" i="20"/>
  <c r="DC95" i="20"/>
  <c r="DD95" i="20"/>
  <c r="DE95" i="20"/>
  <c r="DF95" i="20"/>
  <c r="DG95" i="20"/>
  <c r="DH95" i="20"/>
  <c r="DI95" i="20"/>
  <c r="DJ95" i="20"/>
  <c r="DK95" i="20"/>
  <c r="DL95" i="20"/>
  <c r="DM95" i="20"/>
  <c r="DB95" i="20"/>
  <c r="DA95" i="20"/>
  <c r="CZ95" i="20"/>
  <c r="CY95" i="20"/>
  <c r="CX95" i="20"/>
  <c r="CV95" i="20"/>
  <c r="CU95" i="20"/>
  <c r="CT95" i="20"/>
  <c r="CS95" i="20"/>
  <c r="CR95" i="20"/>
  <c r="S95" i="20"/>
  <c r="X95" i="20"/>
  <c r="V95" i="20"/>
  <c r="W95" i="20"/>
  <c r="Y95" i="20"/>
  <c r="AF95" i="20"/>
  <c r="AZ95" i="20"/>
  <c r="BE95" i="20"/>
  <c r="CO95" i="20"/>
  <c r="CN95" i="20"/>
  <c r="CP95" i="20"/>
  <c r="CQ95" i="20"/>
  <c r="T95" i="20"/>
  <c r="CM95" i="20"/>
  <c r="CJ95" i="20"/>
  <c r="CI95" i="20"/>
  <c r="BH95" i="20"/>
  <c r="CF95" i="20"/>
  <c r="CE95" i="20"/>
  <c r="CG95" i="20"/>
  <c r="CH95" i="20"/>
  <c r="CD95" i="20"/>
  <c r="AY95" i="20"/>
  <c r="BC95" i="20"/>
  <c r="CA95" i="20"/>
  <c r="BZ95" i="20"/>
  <c r="CB95" i="20"/>
  <c r="CC95" i="20"/>
  <c r="BY95" i="20"/>
  <c r="BB95" i="20"/>
  <c r="BU95" i="20"/>
  <c r="BT95" i="20"/>
  <c r="BV95" i="20"/>
  <c r="BW95" i="20"/>
  <c r="BS95" i="20"/>
  <c r="AL95" i="20"/>
  <c r="BG95" i="20"/>
  <c r="BM95" i="20"/>
  <c r="BN95" i="20"/>
  <c r="BO95" i="20"/>
  <c r="BP95" i="20"/>
  <c r="BL95" i="20"/>
  <c r="BK95" i="20"/>
  <c r="BJ95" i="20"/>
  <c r="BI95" i="20"/>
  <c r="AX95" i="20"/>
  <c r="BA95" i="20"/>
  <c r="BD95" i="20"/>
  <c r="BF95" i="20"/>
  <c r="AT95" i="20"/>
  <c r="AS95" i="20"/>
  <c r="AR95" i="20"/>
  <c r="AQ95" i="20"/>
  <c r="AO95" i="20"/>
  <c r="AC95" i="20"/>
  <c r="AA95" i="20"/>
  <c r="Z95" i="20"/>
  <c r="U95" i="20"/>
  <c r="R95" i="20"/>
  <c r="P95" i="20"/>
  <c r="O95" i="20"/>
  <c r="N95" i="20"/>
  <c r="M95" i="20"/>
  <c r="K95" i="20"/>
  <c r="J95" i="20"/>
  <c r="I95" i="20"/>
  <c r="H95" i="20"/>
  <c r="F95" i="20"/>
  <c r="E95" i="20"/>
  <c r="D95" i="20"/>
  <c r="C95" i="20"/>
  <c r="A95" i="20"/>
  <c r="B94" i="20"/>
  <c r="G94" i="20"/>
  <c r="EH94" i="20"/>
  <c r="EG94" i="20"/>
  <c r="EF94" i="20"/>
  <c r="DW94" i="20"/>
  <c r="CW94" i="20"/>
  <c r="ED94" i="20"/>
  <c r="EC94" i="20"/>
  <c r="EB94" i="20"/>
  <c r="EA94" i="20"/>
  <c r="DZ94" i="20"/>
  <c r="DY94" i="20"/>
  <c r="DX94" i="20"/>
  <c r="DV94" i="20"/>
  <c r="DU94" i="20"/>
  <c r="DT94" i="20"/>
  <c r="L94" i="20"/>
  <c r="DS94" i="20"/>
  <c r="DR94" i="20"/>
  <c r="AH94" i="20"/>
  <c r="AI94" i="20"/>
  <c r="AJ94" i="20"/>
  <c r="AK94" i="20"/>
  <c r="DP94" i="20"/>
  <c r="AG94" i="20"/>
  <c r="DQ94" i="20"/>
  <c r="DO94" i="20"/>
  <c r="DN94" i="20"/>
  <c r="DC94" i="20"/>
  <c r="DD94" i="20"/>
  <c r="DE94" i="20"/>
  <c r="DF94" i="20"/>
  <c r="DG94" i="20"/>
  <c r="DH94" i="20"/>
  <c r="DI94" i="20"/>
  <c r="DJ94" i="20"/>
  <c r="DK94" i="20"/>
  <c r="DL94" i="20"/>
  <c r="DM94" i="20"/>
  <c r="DB94" i="20"/>
  <c r="DA94" i="20"/>
  <c r="CZ94" i="20"/>
  <c r="CY94" i="20"/>
  <c r="CX94" i="20"/>
  <c r="CV94" i="20"/>
  <c r="CU94" i="20"/>
  <c r="CT94" i="20"/>
  <c r="CS94" i="20"/>
  <c r="CR94" i="20"/>
  <c r="S94" i="20"/>
  <c r="X94" i="20"/>
  <c r="V94" i="20"/>
  <c r="W94" i="20"/>
  <c r="Y94" i="20"/>
  <c r="AF94" i="20"/>
  <c r="AZ94" i="20"/>
  <c r="BE94" i="20"/>
  <c r="CO94" i="20"/>
  <c r="CN94" i="20"/>
  <c r="CP94" i="20"/>
  <c r="CQ94" i="20"/>
  <c r="T94" i="20"/>
  <c r="CM94" i="20"/>
  <c r="CJ94" i="20"/>
  <c r="CI94" i="20"/>
  <c r="BH94" i="20"/>
  <c r="CF94" i="20"/>
  <c r="CE94" i="20"/>
  <c r="CG94" i="20"/>
  <c r="CH94" i="20"/>
  <c r="CD94" i="20"/>
  <c r="AY94" i="20"/>
  <c r="BC94" i="20"/>
  <c r="CA94" i="20"/>
  <c r="BZ94" i="20"/>
  <c r="CB94" i="20"/>
  <c r="CC94" i="20"/>
  <c r="BY94" i="20"/>
  <c r="BB94" i="20"/>
  <c r="BU94" i="20"/>
  <c r="BT94" i="20"/>
  <c r="BV94" i="20"/>
  <c r="BW94" i="20"/>
  <c r="BS94" i="20"/>
  <c r="AL94" i="20"/>
  <c r="BG94" i="20"/>
  <c r="BM94" i="20"/>
  <c r="BN94" i="20"/>
  <c r="BO94" i="20"/>
  <c r="BP94" i="20"/>
  <c r="BL94" i="20"/>
  <c r="BK94" i="20"/>
  <c r="BJ94" i="20"/>
  <c r="BI94" i="20"/>
  <c r="AX94" i="20"/>
  <c r="BA94" i="20"/>
  <c r="BD94" i="20"/>
  <c r="BF94" i="20"/>
  <c r="AT94" i="20"/>
  <c r="AS94" i="20"/>
  <c r="AR94" i="20"/>
  <c r="AQ94" i="20"/>
  <c r="AO94" i="20"/>
  <c r="AC94" i="20"/>
  <c r="AA94" i="20"/>
  <c r="Z94" i="20"/>
  <c r="U94" i="20"/>
  <c r="R94" i="20"/>
  <c r="P94" i="20"/>
  <c r="O94" i="20"/>
  <c r="N94" i="20"/>
  <c r="M94" i="20"/>
  <c r="K94" i="20"/>
  <c r="J94" i="20"/>
  <c r="I94" i="20"/>
  <c r="H94" i="20"/>
  <c r="F94" i="20"/>
  <c r="E94" i="20"/>
  <c r="D94" i="20"/>
  <c r="C94" i="20"/>
  <c r="A94" i="20"/>
  <c r="B93" i="20"/>
  <c r="G93" i="20"/>
  <c r="EH93" i="20"/>
  <c r="EG93" i="20"/>
  <c r="EF93" i="20"/>
  <c r="DW93" i="20"/>
  <c r="CW93" i="20"/>
  <c r="ED93" i="20"/>
  <c r="EC93" i="20"/>
  <c r="EB93" i="20"/>
  <c r="EA93" i="20"/>
  <c r="DZ93" i="20"/>
  <c r="DY93" i="20"/>
  <c r="DX93" i="20"/>
  <c r="DV93" i="20"/>
  <c r="DU93" i="20"/>
  <c r="DT93" i="20"/>
  <c r="L93" i="20"/>
  <c r="DS93" i="20"/>
  <c r="DR93" i="20"/>
  <c r="AH93" i="20"/>
  <c r="AI93" i="20"/>
  <c r="AJ93" i="20"/>
  <c r="AK93" i="20"/>
  <c r="DP93" i="20"/>
  <c r="AG93" i="20"/>
  <c r="DQ93" i="20"/>
  <c r="DO93" i="20"/>
  <c r="DN93" i="20"/>
  <c r="DC93" i="20"/>
  <c r="DD93" i="20"/>
  <c r="DE93" i="20"/>
  <c r="DF93" i="20"/>
  <c r="DG93" i="20"/>
  <c r="DH93" i="20"/>
  <c r="DI93" i="20"/>
  <c r="DJ93" i="20"/>
  <c r="DK93" i="20"/>
  <c r="DL93" i="20"/>
  <c r="DM93" i="20"/>
  <c r="DB93" i="20"/>
  <c r="DA93" i="20"/>
  <c r="CZ93" i="20"/>
  <c r="CY93" i="20"/>
  <c r="CX93" i="20"/>
  <c r="CV93" i="20"/>
  <c r="CU93" i="20"/>
  <c r="CT93" i="20"/>
  <c r="CS93" i="20"/>
  <c r="CR93" i="20"/>
  <c r="S93" i="20"/>
  <c r="X93" i="20"/>
  <c r="V93" i="20"/>
  <c r="W93" i="20"/>
  <c r="Y93" i="20"/>
  <c r="AF93" i="20"/>
  <c r="AZ93" i="20"/>
  <c r="BE93" i="20"/>
  <c r="CO93" i="20"/>
  <c r="CN93" i="20"/>
  <c r="CP93" i="20"/>
  <c r="CQ93" i="20"/>
  <c r="T93" i="20"/>
  <c r="CM93" i="20"/>
  <c r="CJ93" i="20"/>
  <c r="CI93" i="20"/>
  <c r="BH93" i="20"/>
  <c r="CF93" i="20"/>
  <c r="CE93" i="20"/>
  <c r="CG93" i="20"/>
  <c r="CH93" i="20"/>
  <c r="CD93" i="20"/>
  <c r="AY93" i="20"/>
  <c r="BC93" i="20"/>
  <c r="CA93" i="20"/>
  <c r="BZ93" i="20"/>
  <c r="CB93" i="20"/>
  <c r="CC93" i="20"/>
  <c r="BY93" i="20"/>
  <c r="BB93" i="20"/>
  <c r="BU93" i="20"/>
  <c r="BT93" i="20"/>
  <c r="BV93" i="20"/>
  <c r="BW93" i="20"/>
  <c r="BS93" i="20"/>
  <c r="AL93" i="20"/>
  <c r="BG93" i="20"/>
  <c r="BM93" i="20"/>
  <c r="BN93" i="20"/>
  <c r="BO93" i="20"/>
  <c r="BP93" i="20"/>
  <c r="BL93" i="20"/>
  <c r="BK93" i="20"/>
  <c r="BJ93" i="20"/>
  <c r="BI93" i="20"/>
  <c r="AX93" i="20"/>
  <c r="BA93" i="20"/>
  <c r="BD93" i="20"/>
  <c r="BF93" i="20"/>
  <c r="AT93" i="20"/>
  <c r="AS93" i="20"/>
  <c r="AR93" i="20"/>
  <c r="AQ93" i="20"/>
  <c r="AO93" i="20"/>
  <c r="AC93" i="20"/>
  <c r="AA93" i="20"/>
  <c r="Z93" i="20"/>
  <c r="U93" i="20"/>
  <c r="R93" i="20"/>
  <c r="P93" i="20"/>
  <c r="O93" i="20"/>
  <c r="N93" i="20"/>
  <c r="M93" i="20"/>
  <c r="K93" i="20"/>
  <c r="J93" i="20"/>
  <c r="I93" i="20"/>
  <c r="H93" i="20"/>
  <c r="F93" i="20"/>
  <c r="E93" i="20"/>
  <c r="D93" i="20"/>
  <c r="C93" i="20"/>
  <c r="A93" i="20"/>
  <c r="B92" i="20"/>
  <c r="G92" i="20"/>
  <c r="EH92" i="20"/>
  <c r="EG92" i="20"/>
  <c r="EF92" i="20"/>
  <c r="DW92" i="20"/>
  <c r="CW92" i="20"/>
  <c r="ED92" i="20"/>
  <c r="EC92" i="20"/>
  <c r="EB92" i="20"/>
  <c r="EA92" i="20"/>
  <c r="DZ92" i="20"/>
  <c r="DY92" i="20"/>
  <c r="DX92" i="20"/>
  <c r="DV92" i="20"/>
  <c r="DU92" i="20"/>
  <c r="DT92" i="20"/>
  <c r="L92" i="20"/>
  <c r="DS92" i="20"/>
  <c r="DR92" i="20"/>
  <c r="AH92" i="20"/>
  <c r="AI92" i="20"/>
  <c r="AJ92" i="20"/>
  <c r="AK92" i="20"/>
  <c r="DP92" i="20"/>
  <c r="AG92" i="20"/>
  <c r="DQ92" i="20"/>
  <c r="DO92" i="20"/>
  <c r="DN92" i="20"/>
  <c r="DC92" i="20"/>
  <c r="DD92" i="20"/>
  <c r="DE92" i="20"/>
  <c r="DF92" i="20"/>
  <c r="DG92" i="20"/>
  <c r="DH92" i="20"/>
  <c r="DI92" i="20"/>
  <c r="DJ92" i="20"/>
  <c r="DK92" i="20"/>
  <c r="DL92" i="20"/>
  <c r="DM92" i="20"/>
  <c r="DB92" i="20"/>
  <c r="DA92" i="20"/>
  <c r="CZ92" i="20"/>
  <c r="CY92" i="20"/>
  <c r="CX92" i="20"/>
  <c r="CV92" i="20"/>
  <c r="CU92" i="20"/>
  <c r="CT92" i="20"/>
  <c r="CS92" i="20"/>
  <c r="CR92" i="20"/>
  <c r="S92" i="20"/>
  <c r="X92" i="20"/>
  <c r="V92" i="20"/>
  <c r="W92" i="20"/>
  <c r="Y92" i="20"/>
  <c r="AF92" i="20"/>
  <c r="AZ92" i="20"/>
  <c r="BE92" i="20"/>
  <c r="CO92" i="20"/>
  <c r="CN92" i="20"/>
  <c r="CP92" i="20"/>
  <c r="CQ92" i="20"/>
  <c r="T92" i="20"/>
  <c r="CM92" i="20"/>
  <c r="CJ92" i="20"/>
  <c r="CI92" i="20"/>
  <c r="BH92" i="20"/>
  <c r="CF92" i="20"/>
  <c r="CE92" i="20"/>
  <c r="CG92" i="20"/>
  <c r="CH92" i="20"/>
  <c r="CD92" i="20"/>
  <c r="AY92" i="20"/>
  <c r="BC92" i="20"/>
  <c r="CA92" i="20"/>
  <c r="BZ92" i="20"/>
  <c r="CB92" i="20"/>
  <c r="CC92" i="20"/>
  <c r="BY92" i="20"/>
  <c r="BB92" i="20"/>
  <c r="BU92" i="20"/>
  <c r="BT92" i="20"/>
  <c r="BV92" i="20"/>
  <c r="BW92" i="20"/>
  <c r="BS92" i="20"/>
  <c r="AL92" i="20"/>
  <c r="BG92" i="20"/>
  <c r="BM92" i="20"/>
  <c r="BN92" i="20"/>
  <c r="BO92" i="20"/>
  <c r="BP92" i="20"/>
  <c r="BL92" i="20"/>
  <c r="BK92" i="20"/>
  <c r="BJ92" i="20"/>
  <c r="BI92" i="20"/>
  <c r="AX92" i="20"/>
  <c r="BA92" i="20"/>
  <c r="BD92" i="20"/>
  <c r="BF92" i="20"/>
  <c r="AT92" i="20"/>
  <c r="AS92" i="20"/>
  <c r="AR92" i="20"/>
  <c r="AQ92" i="20"/>
  <c r="AO92" i="20"/>
  <c r="AC92" i="20"/>
  <c r="AA92" i="20"/>
  <c r="Z92" i="20"/>
  <c r="U92" i="20"/>
  <c r="R92" i="20"/>
  <c r="P92" i="20"/>
  <c r="O92" i="20"/>
  <c r="N92" i="20"/>
  <c r="M92" i="20"/>
  <c r="K92" i="20"/>
  <c r="J92" i="20"/>
  <c r="I92" i="20"/>
  <c r="H92" i="20"/>
  <c r="F92" i="20"/>
  <c r="E92" i="20"/>
  <c r="D92" i="20"/>
  <c r="C92" i="20"/>
  <c r="A92" i="20"/>
  <c r="B91" i="20"/>
  <c r="G91" i="20"/>
  <c r="EH91" i="20"/>
  <c r="EG91" i="20"/>
  <c r="EF91" i="20"/>
  <c r="DW91" i="20"/>
  <c r="CW91" i="20"/>
  <c r="ED91" i="20"/>
  <c r="EC91" i="20"/>
  <c r="EB91" i="20"/>
  <c r="EA91" i="20"/>
  <c r="DZ91" i="20"/>
  <c r="DY91" i="20"/>
  <c r="DX91" i="20"/>
  <c r="DV91" i="20"/>
  <c r="DU91" i="20"/>
  <c r="DT91" i="20"/>
  <c r="L91" i="20"/>
  <c r="DS91" i="20"/>
  <c r="DR91" i="20"/>
  <c r="AH91" i="20"/>
  <c r="AI91" i="20"/>
  <c r="AJ91" i="20"/>
  <c r="AK91" i="20"/>
  <c r="DP91" i="20"/>
  <c r="AG91" i="20"/>
  <c r="DQ91" i="20"/>
  <c r="DO91" i="20"/>
  <c r="DN91" i="20"/>
  <c r="DC91" i="20"/>
  <c r="DD91" i="20"/>
  <c r="DE91" i="20"/>
  <c r="DF91" i="20"/>
  <c r="DG91" i="20"/>
  <c r="DH91" i="20"/>
  <c r="DI91" i="20"/>
  <c r="DJ91" i="20"/>
  <c r="DK91" i="20"/>
  <c r="DL91" i="20"/>
  <c r="DM91" i="20"/>
  <c r="DB91" i="20"/>
  <c r="DA91" i="20"/>
  <c r="CZ91" i="20"/>
  <c r="CY91" i="20"/>
  <c r="CX91" i="20"/>
  <c r="CV91" i="20"/>
  <c r="CU91" i="20"/>
  <c r="CT91" i="20"/>
  <c r="CS91" i="20"/>
  <c r="CR91" i="20"/>
  <c r="S91" i="20"/>
  <c r="X91" i="20"/>
  <c r="V91" i="20"/>
  <c r="W91" i="20"/>
  <c r="Y91" i="20"/>
  <c r="AF91" i="20"/>
  <c r="AZ91" i="20"/>
  <c r="BE91" i="20"/>
  <c r="CO91" i="20"/>
  <c r="CN91" i="20"/>
  <c r="CP91" i="20"/>
  <c r="CQ91" i="20"/>
  <c r="T91" i="20"/>
  <c r="CM91" i="20"/>
  <c r="CJ91" i="20"/>
  <c r="CI91" i="20"/>
  <c r="BH91" i="20"/>
  <c r="CF91" i="20"/>
  <c r="CE91" i="20"/>
  <c r="CG91" i="20"/>
  <c r="CH91" i="20"/>
  <c r="CD91" i="20"/>
  <c r="AY91" i="20"/>
  <c r="BC91" i="20"/>
  <c r="CA91" i="20"/>
  <c r="BZ91" i="20"/>
  <c r="CB91" i="20"/>
  <c r="CC91" i="20"/>
  <c r="BY91" i="20"/>
  <c r="BB91" i="20"/>
  <c r="BU91" i="20"/>
  <c r="BT91" i="20"/>
  <c r="BV91" i="20"/>
  <c r="BW91" i="20"/>
  <c r="BS91" i="20"/>
  <c r="AL91" i="20"/>
  <c r="BG91" i="20"/>
  <c r="BM91" i="20"/>
  <c r="BN91" i="20"/>
  <c r="BO91" i="20"/>
  <c r="BP91" i="20"/>
  <c r="BL91" i="20"/>
  <c r="BK91" i="20"/>
  <c r="BJ91" i="20"/>
  <c r="BI91" i="20"/>
  <c r="AX91" i="20"/>
  <c r="BA91" i="20"/>
  <c r="BD91" i="20"/>
  <c r="BF91" i="20"/>
  <c r="AT91" i="20"/>
  <c r="AS91" i="20"/>
  <c r="AR91" i="20"/>
  <c r="AQ91" i="20"/>
  <c r="AO91" i="20"/>
  <c r="AC91" i="20"/>
  <c r="AA91" i="20"/>
  <c r="Z91" i="20"/>
  <c r="U91" i="20"/>
  <c r="R91" i="20"/>
  <c r="P91" i="20"/>
  <c r="O91" i="20"/>
  <c r="N91" i="20"/>
  <c r="M91" i="20"/>
  <c r="K91" i="20"/>
  <c r="J91" i="20"/>
  <c r="I91" i="20"/>
  <c r="H91" i="20"/>
  <c r="F91" i="20"/>
  <c r="E91" i="20"/>
  <c r="D91" i="20"/>
  <c r="C91" i="20"/>
  <c r="A91" i="20"/>
  <c r="B90" i="20"/>
  <c r="G90" i="20"/>
  <c r="EH90" i="20"/>
  <c r="EG90" i="20"/>
  <c r="EF90" i="20"/>
  <c r="DW90" i="20"/>
  <c r="CW90" i="20"/>
  <c r="ED90" i="20"/>
  <c r="EC90" i="20"/>
  <c r="EB90" i="20"/>
  <c r="EA90" i="20"/>
  <c r="DZ90" i="20"/>
  <c r="DY90" i="20"/>
  <c r="DX90" i="20"/>
  <c r="DV90" i="20"/>
  <c r="DU90" i="20"/>
  <c r="DT90" i="20"/>
  <c r="L90" i="20"/>
  <c r="DS90" i="20"/>
  <c r="DR90" i="20"/>
  <c r="AH90" i="20"/>
  <c r="AI90" i="20"/>
  <c r="AJ90" i="20"/>
  <c r="AK90" i="20"/>
  <c r="DP90" i="20"/>
  <c r="AG90" i="20"/>
  <c r="DQ90" i="20"/>
  <c r="DO90" i="20"/>
  <c r="DN90" i="20"/>
  <c r="DC90" i="20"/>
  <c r="DD90" i="20"/>
  <c r="DE90" i="20"/>
  <c r="DF90" i="20"/>
  <c r="DG90" i="20"/>
  <c r="DH90" i="20"/>
  <c r="DI90" i="20"/>
  <c r="DJ90" i="20"/>
  <c r="DK90" i="20"/>
  <c r="DL90" i="20"/>
  <c r="DM90" i="20"/>
  <c r="DB90" i="20"/>
  <c r="DA90" i="20"/>
  <c r="CZ90" i="20"/>
  <c r="CY90" i="20"/>
  <c r="CX90" i="20"/>
  <c r="CV90" i="20"/>
  <c r="CU90" i="20"/>
  <c r="CT90" i="20"/>
  <c r="CS90" i="20"/>
  <c r="CR90" i="20"/>
  <c r="S90" i="20"/>
  <c r="X90" i="20"/>
  <c r="V90" i="20"/>
  <c r="W90" i="20"/>
  <c r="Y90" i="20"/>
  <c r="AF90" i="20"/>
  <c r="AZ90" i="20"/>
  <c r="BE90" i="20"/>
  <c r="CO90" i="20"/>
  <c r="CN90" i="20"/>
  <c r="CP90" i="20"/>
  <c r="CQ90" i="20"/>
  <c r="T90" i="20"/>
  <c r="CM90" i="20"/>
  <c r="CJ90" i="20"/>
  <c r="CI90" i="20"/>
  <c r="BH90" i="20"/>
  <c r="CF90" i="20"/>
  <c r="CE90" i="20"/>
  <c r="CG90" i="20"/>
  <c r="CH90" i="20"/>
  <c r="CD90" i="20"/>
  <c r="AY90" i="20"/>
  <c r="BC90" i="20"/>
  <c r="CA90" i="20"/>
  <c r="BZ90" i="20"/>
  <c r="CB90" i="20"/>
  <c r="CC90" i="20"/>
  <c r="BY90" i="20"/>
  <c r="BB90" i="20"/>
  <c r="BU90" i="20"/>
  <c r="BT90" i="20"/>
  <c r="BV90" i="20"/>
  <c r="BW90" i="20"/>
  <c r="BS90" i="20"/>
  <c r="AL90" i="20"/>
  <c r="BG90" i="20"/>
  <c r="BM90" i="20"/>
  <c r="BN90" i="20"/>
  <c r="BO90" i="20"/>
  <c r="BP90" i="20"/>
  <c r="BL90" i="20"/>
  <c r="BK90" i="20"/>
  <c r="BJ90" i="20"/>
  <c r="BI90" i="20"/>
  <c r="AX90" i="20"/>
  <c r="BA90" i="20"/>
  <c r="BD90" i="20"/>
  <c r="BF90" i="20"/>
  <c r="AT90" i="20"/>
  <c r="AS90" i="20"/>
  <c r="AR90" i="20"/>
  <c r="AQ90" i="20"/>
  <c r="AO90" i="20"/>
  <c r="AC90" i="20"/>
  <c r="AA90" i="20"/>
  <c r="Z90" i="20"/>
  <c r="U90" i="20"/>
  <c r="R90" i="20"/>
  <c r="P90" i="20"/>
  <c r="O90" i="20"/>
  <c r="N90" i="20"/>
  <c r="M90" i="20"/>
  <c r="K90" i="20"/>
  <c r="J90" i="20"/>
  <c r="I90" i="20"/>
  <c r="H90" i="20"/>
  <c r="F90" i="20"/>
  <c r="E90" i="20"/>
  <c r="D90" i="20"/>
  <c r="C90" i="20"/>
  <c r="A90" i="20"/>
  <c r="B89" i="20"/>
  <c r="G89" i="20"/>
  <c r="EH89" i="20"/>
  <c r="EG89" i="20"/>
  <c r="EF89" i="20"/>
  <c r="DW89" i="20"/>
  <c r="CW89" i="20"/>
  <c r="ED89" i="20"/>
  <c r="EC89" i="20"/>
  <c r="EB89" i="20"/>
  <c r="EA89" i="20"/>
  <c r="DZ89" i="20"/>
  <c r="DY89" i="20"/>
  <c r="DX89" i="20"/>
  <c r="DV89" i="20"/>
  <c r="DU89" i="20"/>
  <c r="DT89" i="20"/>
  <c r="L89" i="20"/>
  <c r="DS89" i="20"/>
  <c r="DR89" i="20"/>
  <c r="AH89" i="20"/>
  <c r="AI89" i="20"/>
  <c r="AJ89" i="20"/>
  <c r="AK89" i="20"/>
  <c r="DP89" i="20"/>
  <c r="AG89" i="20"/>
  <c r="DQ89" i="20"/>
  <c r="DO89" i="20"/>
  <c r="DN89" i="20"/>
  <c r="DC89" i="20"/>
  <c r="DD89" i="20"/>
  <c r="DE89" i="20"/>
  <c r="DF89" i="20"/>
  <c r="DG89" i="20"/>
  <c r="DH89" i="20"/>
  <c r="DI89" i="20"/>
  <c r="DJ89" i="20"/>
  <c r="DK89" i="20"/>
  <c r="DL89" i="20"/>
  <c r="DM89" i="20"/>
  <c r="DB89" i="20"/>
  <c r="DA89" i="20"/>
  <c r="CZ89" i="20"/>
  <c r="CY89" i="20"/>
  <c r="CX89" i="20"/>
  <c r="CV89" i="20"/>
  <c r="CU89" i="20"/>
  <c r="CT89" i="20"/>
  <c r="CS89" i="20"/>
  <c r="CR89" i="20"/>
  <c r="S89" i="20"/>
  <c r="X89" i="20"/>
  <c r="V89" i="20"/>
  <c r="W89" i="20"/>
  <c r="Y89" i="20"/>
  <c r="AF89" i="20"/>
  <c r="AZ89" i="20"/>
  <c r="BE89" i="20"/>
  <c r="CO89" i="20"/>
  <c r="CN89" i="20"/>
  <c r="CP89" i="20"/>
  <c r="CQ89" i="20"/>
  <c r="T89" i="20"/>
  <c r="CM89" i="20"/>
  <c r="CJ89" i="20"/>
  <c r="CI89" i="20"/>
  <c r="BH89" i="20"/>
  <c r="CF89" i="20"/>
  <c r="CE89" i="20"/>
  <c r="CG89" i="20"/>
  <c r="CH89" i="20"/>
  <c r="CD89" i="20"/>
  <c r="AY89" i="20"/>
  <c r="BC89" i="20"/>
  <c r="CA89" i="20"/>
  <c r="BZ89" i="20"/>
  <c r="CB89" i="20"/>
  <c r="CC89" i="20"/>
  <c r="BY89" i="20"/>
  <c r="BB89" i="20"/>
  <c r="BU89" i="20"/>
  <c r="BT89" i="20"/>
  <c r="BV89" i="20"/>
  <c r="BW89" i="20"/>
  <c r="BS89" i="20"/>
  <c r="AL89" i="20"/>
  <c r="BG89" i="20"/>
  <c r="BM89" i="20"/>
  <c r="BN89" i="20"/>
  <c r="BO89" i="20"/>
  <c r="BP89" i="20"/>
  <c r="BL89" i="20"/>
  <c r="BK89" i="20"/>
  <c r="BJ89" i="20"/>
  <c r="BI89" i="20"/>
  <c r="AX89" i="20"/>
  <c r="BA89" i="20"/>
  <c r="BD89" i="20"/>
  <c r="BF89" i="20"/>
  <c r="AT89" i="20"/>
  <c r="AS89" i="20"/>
  <c r="AR89" i="20"/>
  <c r="AQ89" i="20"/>
  <c r="AO89" i="20"/>
  <c r="AC89" i="20"/>
  <c r="AA89" i="20"/>
  <c r="Z89" i="20"/>
  <c r="U89" i="20"/>
  <c r="R89" i="20"/>
  <c r="P89" i="20"/>
  <c r="O89" i="20"/>
  <c r="N89" i="20"/>
  <c r="M89" i="20"/>
  <c r="K89" i="20"/>
  <c r="J89" i="20"/>
  <c r="I89" i="20"/>
  <c r="H89" i="20"/>
  <c r="F89" i="20"/>
  <c r="E89" i="20"/>
  <c r="D89" i="20"/>
  <c r="C89" i="20"/>
  <c r="A89" i="20"/>
  <c r="B88" i="20"/>
  <c r="G88" i="20"/>
  <c r="EH88" i="20"/>
  <c r="EG88" i="20"/>
  <c r="EF88" i="20"/>
  <c r="DW88" i="20"/>
  <c r="CW88" i="20"/>
  <c r="ED88" i="20"/>
  <c r="EC88" i="20"/>
  <c r="EB88" i="20"/>
  <c r="EA88" i="20"/>
  <c r="DZ88" i="20"/>
  <c r="DY88" i="20"/>
  <c r="DX88" i="20"/>
  <c r="DV88" i="20"/>
  <c r="DU88" i="20"/>
  <c r="DT88" i="20"/>
  <c r="L88" i="20"/>
  <c r="DS88" i="20"/>
  <c r="DR88" i="20"/>
  <c r="AH88" i="20"/>
  <c r="AI88" i="20"/>
  <c r="AJ88" i="20"/>
  <c r="AK88" i="20"/>
  <c r="DP88" i="20"/>
  <c r="AG88" i="20"/>
  <c r="DQ88" i="20"/>
  <c r="DO88" i="20"/>
  <c r="DN88" i="20"/>
  <c r="DC88" i="20"/>
  <c r="DD88" i="20"/>
  <c r="DE88" i="20"/>
  <c r="DF88" i="20"/>
  <c r="DG88" i="20"/>
  <c r="DH88" i="20"/>
  <c r="DI88" i="20"/>
  <c r="DJ88" i="20"/>
  <c r="DK88" i="20"/>
  <c r="DL88" i="20"/>
  <c r="DM88" i="20"/>
  <c r="DB88" i="20"/>
  <c r="DA88" i="20"/>
  <c r="CZ88" i="20"/>
  <c r="CY88" i="20"/>
  <c r="CX88" i="20"/>
  <c r="CV88" i="20"/>
  <c r="CU88" i="20"/>
  <c r="CT88" i="20"/>
  <c r="CS88" i="20"/>
  <c r="CR88" i="20"/>
  <c r="S88" i="20"/>
  <c r="X88" i="20"/>
  <c r="V88" i="20"/>
  <c r="W88" i="20"/>
  <c r="Y88" i="20"/>
  <c r="AF88" i="20"/>
  <c r="AZ88" i="20"/>
  <c r="BE88" i="20"/>
  <c r="CO88" i="20"/>
  <c r="CN88" i="20"/>
  <c r="CP88" i="20"/>
  <c r="CQ88" i="20"/>
  <c r="T88" i="20"/>
  <c r="CM88" i="20"/>
  <c r="CJ88" i="20"/>
  <c r="CI88" i="20"/>
  <c r="BH88" i="20"/>
  <c r="CF88" i="20"/>
  <c r="CE88" i="20"/>
  <c r="CG88" i="20"/>
  <c r="CH88" i="20"/>
  <c r="CD88" i="20"/>
  <c r="AY88" i="20"/>
  <c r="BC88" i="20"/>
  <c r="CA88" i="20"/>
  <c r="BZ88" i="20"/>
  <c r="CB88" i="20"/>
  <c r="CC88" i="20"/>
  <c r="BY88" i="20"/>
  <c r="BB88" i="20"/>
  <c r="BU88" i="20"/>
  <c r="BT88" i="20"/>
  <c r="BV88" i="20"/>
  <c r="BW88" i="20"/>
  <c r="BS88" i="20"/>
  <c r="AL88" i="20"/>
  <c r="BG88" i="20"/>
  <c r="BM88" i="20"/>
  <c r="BN88" i="20"/>
  <c r="BO88" i="20"/>
  <c r="BP88" i="20"/>
  <c r="BL88" i="20"/>
  <c r="BK88" i="20"/>
  <c r="BJ88" i="20"/>
  <c r="BI88" i="20"/>
  <c r="AX88" i="20"/>
  <c r="BA88" i="20"/>
  <c r="BD88" i="20"/>
  <c r="BF88" i="20"/>
  <c r="AT88" i="20"/>
  <c r="AS88" i="20"/>
  <c r="AR88" i="20"/>
  <c r="AQ88" i="20"/>
  <c r="AO88" i="20"/>
  <c r="AC88" i="20"/>
  <c r="AA88" i="20"/>
  <c r="Z88" i="20"/>
  <c r="U88" i="20"/>
  <c r="R88" i="20"/>
  <c r="P88" i="20"/>
  <c r="O88" i="20"/>
  <c r="N88" i="20"/>
  <c r="M88" i="20"/>
  <c r="K88" i="20"/>
  <c r="J88" i="20"/>
  <c r="I88" i="20"/>
  <c r="H88" i="20"/>
  <c r="F88" i="20"/>
  <c r="E88" i="20"/>
  <c r="D88" i="20"/>
  <c r="C88" i="20"/>
  <c r="A88" i="20"/>
  <c r="B87" i="20"/>
  <c r="G87" i="20"/>
  <c r="EH87" i="20"/>
  <c r="EG87" i="20"/>
  <c r="EF87" i="20"/>
  <c r="DW87" i="20"/>
  <c r="CW87" i="20"/>
  <c r="ED87" i="20"/>
  <c r="EC87" i="20"/>
  <c r="EB87" i="20"/>
  <c r="EA87" i="20"/>
  <c r="DZ87" i="20"/>
  <c r="DY87" i="20"/>
  <c r="DX87" i="20"/>
  <c r="DV87" i="20"/>
  <c r="DU87" i="20"/>
  <c r="DT87" i="20"/>
  <c r="L87" i="20"/>
  <c r="DS87" i="20"/>
  <c r="DR87" i="20"/>
  <c r="AH87" i="20"/>
  <c r="AI87" i="20"/>
  <c r="AJ87" i="20"/>
  <c r="AK87" i="20"/>
  <c r="DP87" i="20"/>
  <c r="AG87" i="20"/>
  <c r="DQ87" i="20"/>
  <c r="DO87" i="20"/>
  <c r="DN87" i="20"/>
  <c r="DC87" i="20"/>
  <c r="DD87" i="20"/>
  <c r="DE87" i="20"/>
  <c r="DF87" i="20"/>
  <c r="DG87" i="20"/>
  <c r="DH87" i="20"/>
  <c r="DI87" i="20"/>
  <c r="DJ87" i="20"/>
  <c r="DK87" i="20"/>
  <c r="DL87" i="20"/>
  <c r="DM87" i="20"/>
  <c r="DB87" i="20"/>
  <c r="DA87" i="20"/>
  <c r="CZ87" i="20"/>
  <c r="CY87" i="20"/>
  <c r="CX87" i="20"/>
  <c r="CV87" i="20"/>
  <c r="CU87" i="20"/>
  <c r="CT87" i="20"/>
  <c r="CS87" i="20"/>
  <c r="CR87" i="20"/>
  <c r="S87" i="20"/>
  <c r="X87" i="20"/>
  <c r="V87" i="20"/>
  <c r="W87" i="20"/>
  <c r="Y87" i="20"/>
  <c r="AF87" i="20"/>
  <c r="AZ87" i="20"/>
  <c r="BE87" i="20"/>
  <c r="CO87" i="20"/>
  <c r="CN87" i="20"/>
  <c r="CP87" i="20"/>
  <c r="CQ87" i="20"/>
  <c r="T87" i="20"/>
  <c r="CM87" i="20"/>
  <c r="CJ87" i="20"/>
  <c r="CI87" i="20"/>
  <c r="BH87" i="20"/>
  <c r="CF87" i="20"/>
  <c r="CE87" i="20"/>
  <c r="CG87" i="20"/>
  <c r="CH87" i="20"/>
  <c r="CD87" i="20"/>
  <c r="AY87" i="20"/>
  <c r="BC87" i="20"/>
  <c r="CA87" i="20"/>
  <c r="BZ87" i="20"/>
  <c r="CB87" i="20"/>
  <c r="CC87" i="20"/>
  <c r="BY87" i="20"/>
  <c r="BB87" i="20"/>
  <c r="BU87" i="20"/>
  <c r="BT87" i="20"/>
  <c r="BV87" i="20"/>
  <c r="BW87" i="20"/>
  <c r="BS87" i="20"/>
  <c r="AL87" i="20"/>
  <c r="BG87" i="20"/>
  <c r="BM87" i="20"/>
  <c r="BN87" i="20"/>
  <c r="BO87" i="20"/>
  <c r="BP87" i="20"/>
  <c r="BL87" i="20"/>
  <c r="BK87" i="20"/>
  <c r="BJ87" i="20"/>
  <c r="BI87" i="20"/>
  <c r="AX87" i="20"/>
  <c r="BA87" i="20"/>
  <c r="BD87" i="20"/>
  <c r="BF87" i="20"/>
  <c r="AT87" i="20"/>
  <c r="AS87" i="20"/>
  <c r="AR87" i="20"/>
  <c r="AQ87" i="20"/>
  <c r="AO87" i="20"/>
  <c r="AC87" i="20"/>
  <c r="AA87" i="20"/>
  <c r="Z87" i="20"/>
  <c r="U87" i="20"/>
  <c r="R87" i="20"/>
  <c r="P87" i="20"/>
  <c r="O87" i="20"/>
  <c r="N87" i="20"/>
  <c r="M87" i="20"/>
  <c r="K87" i="20"/>
  <c r="J87" i="20"/>
  <c r="I87" i="20"/>
  <c r="H87" i="20"/>
  <c r="F87" i="20"/>
  <c r="E87" i="20"/>
  <c r="D87" i="20"/>
  <c r="C87" i="20"/>
  <c r="A87" i="20"/>
  <c r="B86" i="20"/>
  <c r="G86" i="20"/>
  <c r="EH86" i="20"/>
  <c r="EG86" i="20"/>
  <c r="EF86" i="20"/>
  <c r="DW86" i="20"/>
  <c r="CW86" i="20"/>
  <c r="ED86" i="20"/>
  <c r="EC86" i="20"/>
  <c r="EB86" i="20"/>
  <c r="EA86" i="20"/>
  <c r="DZ86" i="20"/>
  <c r="DY86" i="20"/>
  <c r="DX86" i="20"/>
  <c r="DV86" i="20"/>
  <c r="DU86" i="20"/>
  <c r="DT86" i="20"/>
  <c r="L86" i="20"/>
  <c r="DS86" i="20"/>
  <c r="DR86" i="20"/>
  <c r="AH86" i="20"/>
  <c r="AI86" i="20"/>
  <c r="AJ86" i="20"/>
  <c r="AK86" i="20"/>
  <c r="DP86" i="20"/>
  <c r="AG86" i="20"/>
  <c r="DQ86" i="20"/>
  <c r="DO86" i="20"/>
  <c r="DN86" i="20"/>
  <c r="DC86" i="20"/>
  <c r="DD86" i="20"/>
  <c r="DE86" i="20"/>
  <c r="DF86" i="20"/>
  <c r="DG86" i="20"/>
  <c r="DH86" i="20"/>
  <c r="DI86" i="20"/>
  <c r="DJ86" i="20"/>
  <c r="DK86" i="20"/>
  <c r="DL86" i="20"/>
  <c r="DM86" i="20"/>
  <c r="DB86" i="20"/>
  <c r="DA86" i="20"/>
  <c r="CZ86" i="20"/>
  <c r="CY86" i="20"/>
  <c r="CX86" i="20"/>
  <c r="CV86" i="20"/>
  <c r="CU86" i="20"/>
  <c r="CT86" i="20"/>
  <c r="CS86" i="20"/>
  <c r="CR86" i="20"/>
  <c r="S86" i="20"/>
  <c r="X86" i="20"/>
  <c r="V86" i="20"/>
  <c r="W86" i="20"/>
  <c r="Y86" i="20"/>
  <c r="AF86" i="20"/>
  <c r="AZ86" i="20"/>
  <c r="BE86" i="20"/>
  <c r="CO86" i="20"/>
  <c r="CN86" i="20"/>
  <c r="CP86" i="20"/>
  <c r="CQ86" i="20"/>
  <c r="T86" i="20"/>
  <c r="CM86" i="20"/>
  <c r="CJ86" i="20"/>
  <c r="CI86" i="20"/>
  <c r="BH86" i="20"/>
  <c r="CF86" i="20"/>
  <c r="CE86" i="20"/>
  <c r="CG86" i="20"/>
  <c r="CH86" i="20"/>
  <c r="CD86" i="20"/>
  <c r="AY86" i="20"/>
  <c r="BC86" i="20"/>
  <c r="CA86" i="20"/>
  <c r="BZ86" i="20"/>
  <c r="CB86" i="20"/>
  <c r="CC86" i="20"/>
  <c r="BY86" i="20"/>
  <c r="BB86" i="20"/>
  <c r="BU86" i="20"/>
  <c r="BT86" i="20"/>
  <c r="BV86" i="20"/>
  <c r="BW86" i="20"/>
  <c r="BS86" i="20"/>
  <c r="AL86" i="20"/>
  <c r="BG86" i="20"/>
  <c r="BM86" i="20"/>
  <c r="BN86" i="20"/>
  <c r="BO86" i="20"/>
  <c r="BP86" i="20"/>
  <c r="BL86" i="20"/>
  <c r="BK86" i="20"/>
  <c r="BJ86" i="20"/>
  <c r="BI86" i="20"/>
  <c r="AX86" i="20"/>
  <c r="BA86" i="20"/>
  <c r="BD86" i="20"/>
  <c r="BF86" i="20"/>
  <c r="AT86" i="20"/>
  <c r="AS86" i="20"/>
  <c r="AR86" i="20"/>
  <c r="AQ86" i="20"/>
  <c r="AO86" i="20"/>
  <c r="AC86" i="20"/>
  <c r="AA86" i="20"/>
  <c r="Z86" i="20"/>
  <c r="U86" i="20"/>
  <c r="R86" i="20"/>
  <c r="P86" i="20"/>
  <c r="O86" i="20"/>
  <c r="N86" i="20"/>
  <c r="M86" i="20"/>
  <c r="K86" i="20"/>
  <c r="J86" i="20"/>
  <c r="I86" i="20"/>
  <c r="H86" i="20"/>
  <c r="F86" i="20"/>
  <c r="E86" i="20"/>
  <c r="D86" i="20"/>
  <c r="C86" i="20"/>
  <c r="A86" i="20"/>
  <c r="B85" i="20"/>
  <c r="G85" i="20"/>
  <c r="EH85" i="20"/>
  <c r="EG85" i="20"/>
  <c r="EF85" i="20"/>
  <c r="DW85" i="20"/>
  <c r="CW85" i="20"/>
  <c r="ED85" i="20"/>
  <c r="EC85" i="20"/>
  <c r="EB85" i="20"/>
  <c r="EA85" i="20"/>
  <c r="DZ85" i="20"/>
  <c r="DY85" i="20"/>
  <c r="DX85" i="20"/>
  <c r="DV85" i="20"/>
  <c r="DU85" i="20"/>
  <c r="DT85" i="20"/>
  <c r="L85" i="20"/>
  <c r="DS85" i="20"/>
  <c r="DR85" i="20"/>
  <c r="AH85" i="20"/>
  <c r="AI85" i="20"/>
  <c r="AJ85" i="20"/>
  <c r="AK85" i="20"/>
  <c r="DP85" i="20"/>
  <c r="AG85" i="20"/>
  <c r="DQ85" i="20"/>
  <c r="DO85" i="20"/>
  <c r="DN85" i="20"/>
  <c r="DC85" i="20"/>
  <c r="DD85" i="20"/>
  <c r="DE85" i="20"/>
  <c r="DF85" i="20"/>
  <c r="DG85" i="20"/>
  <c r="DH85" i="20"/>
  <c r="DI85" i="20"/>
  <c r="DJ85" i="20"/>
  <c r="DK85" i="20"/>
  <c r="DL85" i="20"/>
  <c r="DM85" i="20"/>
  <c r="DB85" i="20"/>
  <c r="DA85" i="20"/>
  <c r="CZ85" i="20"/>
  <c r="CY85" i="20"/>
  <c r="CX85" i="20"/>
  <c r="CV85" i="20"/>
  <c r="CU85" i="20"/>
  <c r="CT85" i="20"/>
  <c r="CS85" i="20"/>
  <c r="CR85" i="20"/>
  <c r="S85" i="20"/>
  <c r="X85" i="20"/>
  <c r="V85" i="20"/>
  <c r="W85" i="20"/>
  <c r="Y85" i="20"/>
  <c r="AF85" i="20"/>
  <c r="AZ85" i="20"/>
  <c r="BE85" i="20"/>
  <c r="CO85" i="20"/>
  <c r="CN85" i="20"/>
  <c r="CP85" i="20"/>
  <c r="CQ85" i="20"/>
  <c r="T85" i="20"/>
  <c r="CM85" i="20"/>
  <c r="CJ85" i="20"/>
  <c r="CI85" i="20"/>
  <c r="BH85" i="20"/>
  <c r="CF85" i="20"/>
  <c r="CE85" i="20"/>
  <c r="CG85" i="20"/>
  <c r="CH85" i="20"/>
  <c r="CD85" i="20"/>
  <c r="AY85" i="20"/>
  <c r="BC85" i="20"/>
  <c r="CA85" i="20"/>
  <c r="BZ85" i="20"/>
  <c r="CB85" i="20"/>
  <c r="CC85" i="20"/>
  <c r="BY85" i="20"/>
  <c r="BB85" i="20"/>
  <c r="BU85" i="20"/>
  <c r="BT85" i="20"/>
  <c r="BV85" i="20"/>
  <c r="BW85" i="20"/>
  <c r="BS85" i="20"/>
  <c r="AL85" i="20"/>
  <c r="BG85" i="20"/>
  <c r="BM85" i="20"/>
  <c r="BN85" i="20"/>
  <c r="BO85" i="20"/>
  <c r="BP85" i="20"/>
  <c r="BL85" i="20"/>
  <c r="BK85" i="20"/>
  <c r="BJ85" i="20"/>
  <c r="BI85" i="20"/>
  <c r="AX85" i="20"/>
  <c r="BA85" i="20"/>
  <c r="BD85" i="20"/>
  <c r="BF85" i="20"/>
  <c r="AT85" i="20"/>
  <c r="AS85" i="20"/>
  <c r="AR85" i="20"/>
  <c r="AQ85" i="20"/>
  <c r="AO85" i="20"/>
  <c r="AC85" i="20"/>
  <c r="AA85" i="20"/>
  <c r="Z85" i="20"/>
  <c r="U85" i="20"/>
  <c r="R85" i="20"/>
  <c r="P85" i="20"/>
  <c r="O85" i="20"/>
  <c r="N85" i="20"/>
  <c r="M85" i="20"/>
  <c r="K85" i="20"/>
  <c r="J85" i="20"/>
  <c r="I85" i="20"/>
  <c r="H85" i="20"/>
  <c r="F85" i="20"/>
  <c r="E85" i="20"/>
  <c r="D85" i="20"/>
  <c r="C85" i="20"/>
  <c r="A85" i="20"/>
  <c r="B84" i="20"/>
  <c r="G84" i="20"/>
  <c r="EH84" i="20"/>
  <c r="EG84" i="20"/>
  <c r="EF84" i="20"/>
  <c r="DW84" i="20"/>
  <c r="CW84" i="20"/>
  <c r="ED84" i="20"/>
  <c r="EC84" i="20"/>
  <c r="EB84" i="20"/>
  <c r="EA84" i="20"/>
  <c r="DZ84" i="20"/>
  <c r="DY84" i="20"/>
  <c r="DX84" i="20"/>
  <c r="DV84" i="20"/>
  <c r="DU84" i="20"/>
  <c r="DT84" i="20"/>
  <c r="L84" i="20"/>
  <c r="DS84" i="20"/>
  <c r="DR84" i="20"/>
  <c r="AH84" i="20"/>
  <c r="AI84" i="20"/>
  <c r="AJ84" i="20"/>
  <c r="AK84" i="20"/>
  <c r="DP84" i="20"/>
  <c r="AG84" i="20"/>
  <c r="DQ84" i="20"/>
  <c r="DO84" i="20"/>
  <c r="DN84" i="20"/>
  <c r="DC84" i="20"/>
  <c r="DD84" i="20"/>
  <c r="DE84" i="20"/>
  <c r="DF84" i="20"/>
  <c r="DG84" i="20"/>
  <c r="DH84" i="20"/>
  <c r="DI84" i="20"/>
  <c r="DJ84" i="20"/>
  <c r="DK84" i="20"/>
  <c r="DL84" i="20"/>
  <c r="DM84" i="20"/>
  <c r="DB84" i="20"/>
  <c r="DA84" i="20"/>
  <c r="CZ84" i="20"/>
  <c r="CY84" i="20"/>
  <c r="CX84" i="20"/>
  <c r="CV84" i="20"/>
  <c r="CU84" i="20"/>
  <c r="CT84" i="20"/>
  <c r="CS84" i="20"/>
  <c r="CR84" i="20"/>
  <c r="S84" i="20"/>
  <c r="X84" i="20"/>
  <c r="V84" i="20"/>
  <c r="W84" i="20"/>
  <c r="Y84" i="20"/>
  <c r="AF84" i="20"/>
  <c r="AZ84" i="20"/>
  <c r="BE84" i="20"/>
  <c r="CO84" i="20"/>
  <c r="CN84" i="20"/>
  <c r="CP84" i="20"/>
  <c r="CQ84" i="20"/>
  <c r="T84" i="20"/>
  <c r="CM84" i="20"/>
  <c r="CJ84" i="20"/>
  <c r="CI84" i="20"/>
  <c r="BH84" i="20"/>
  <c r="CF84" i="20"/>
  <c r="CE84" i="20"/>
  <c r="CG84" i="20"/>
  <c r="CH84" i="20"/>
  <c r="CD84" i="20"/>
  <c r="AY84" i="20"/>
  <c r="BC84" i="20"/>
  <c r="CA84" i="20"/>
  <c r="BZ84" i="20"/>
  <c r="CB84" i="20"/>
  <c r="CC84" i="20"/>
  <c r="BY84" i="20"/>
  <c r="BB84" i="20"/>
  <c r="BU84" i="20"/>
  <c r="BT84" i="20"/>
  <c r="BV84" i="20"/>
  <c r="BW84" i="20"/>
  <c r="BS84" i="20"/>
  <c r="AL84" i="20"/>
  <c r="BG84" i="20"/>
  <c r="BM84" i="20"/>
  <c r="BN84" i="20"/>
  <c r="BO84" i="20"/>
  <c r="BP84" i="20"/>
  <c r="BL84" i="20"/>
  <c r="BK84" i="20"/>
  <c r="BJ84" i="20"/>
  <c r="BI84" i="20"/>
  <c r="AX84" i="20"/>
  <c r="BA84" i="20"/>
  <c r="BD84" i="20"/>
  <c r="BF84" i="20"/>
  <c r="AT84" i="20"/>
  <c r="AS84" i="20"/>
  <c r="AR84" i="20"/>
  <c r="AQ84" i="20"/>
  <c r="AO84" i="20"/>
  <c r="AC84" i="20"/>
  <c r="AA84" i="20"/>
  <c r="Z84" i="20"/>
  <c r="U84" i="20"/>
  <c r="R84" i="20"/>
  <c r="P84" i="20"/>
  <c r="O84" i="20"/>
  <c r="N84" i="20"/>
  <c r="M84" i="20"/>
  <c r="K84" i="20"/>
  <c r="J84" i="20"/>
  <c r="I84" i="20"/>
  <c r="H84" i="20"/>
  <c r="F84" i="20"/>
  <c r="E84" i="20"/>
  <c r="D84" i="20"/>
  <c r="C84" i="20"/>
  <c r="A84" i="20"/>
  <c r="B83" i="20"/>
  <c r="G83" i="20"/>
  <c r="EH83" i="20"/>
  <c r="EG83" i="20"/>
  <c r="EF83" i="20"/>
  <c r="DW83" i="20"/>
  <c r="CW83" i="20"/>
  <c r="ED83" i="20"/>
  <c r="EC83" i="20"/>
  <c r="EB83" i="20"/>
  <c r="EA83" i="20"/>
  <c r="DZ83" i="20"/>
  <c r="DY83" i="20"/>
  <c r="DX83" i="20"/>
  <c r="DV83" i="20"/>
  <c r="DU83" i="20"/>
  <c r="DT83" i="20"/>
  <c r="L83" i="20"/>
  <c r="DS83" i="20"/>
  <c r="DR83" i="20"/>
  <c r="AH83" i="20"/>
  <c r="AI83" i="20"/>
  <c r="AJ83" i="20"/>
  <c r="AK83" i="20"/>
  <c r="DP83" i="20"/>
  <c r="AG83" i="20"/>
  <c r="DQ83" i="20"/>
  <c r="DO83" i="20"/>
  <c r="DN83" i="20"/>
  <c r="DC83" i="20"/>
  <c r="DD83" i="20"/>
  <c r="DE83" i="20"/>
  <c r="DF83" i="20"/>
  <c r="DG83" i="20"/>
  <c r="DH83" i="20"/>
  <c r="DI83" i="20"/>
  <c r="DJ83" i="20"/>
  <c r="DK83" i="20"/>
  <c r="DL83" i="20"/>
  <c r="DM83" i="20"/>
  <c r="DB83" i="20"/>
  <c r="DA83" i="20"/>
  <c r="CZ83" i="20"/>
  <c r="CY83" i="20"/>
  <c r="CX83" i="20"/>
  <c r="CV83" i="20"/>
  <c r="CU83" i="20"/>
  <c r="CT83" i="20"/>
  <c r="CS83" i="20"/>
  <c r="CR83" i="20"/>
  <c r="S83" i="20"/>
  <c r="X83" i="20"/>
  <c r="V83" i="20"/>
  <c r="W83" i="20"/>
  <c r="Y83" i="20"/>
  <c r="AF83" i="20"/>
  <c r="AZ83" i="20"/>
  <c r="BE83" i="20"/>
  <c r="CO83" i="20"/>
  <c r="CN83" i="20"/>
  <c r="CP83" i="20"/>
  <c r="CQ83" i="20"/>
  <c r="T83" i="20"/>
  <c r="CM83" i="20"/>
  <c r="CJ83" i="20"/>
  <c r="CI83" i="20"/>
  <c r="BH83" i="20"/>
  <c r="CF83" i="20"/>
  <c r="CE83" i="20"/>
  <c r="CG83" i="20"/>
  <c r="CH83" i="20"/>
  <c r="CD83" i="20"/>
  <c r="AY83" i="20"/>
  <c r="BC83" i="20"/>
  <c r="CA83" i="20"/>
  <c r="BZ83" i="20"/>
  <c r="CB83" i="20"/>
  <c r="CC83" i="20"/>
  <c r="BY83" i="20"/>
  <c r="BB83" i="20"/>
  <c r="BU83" i="20"/>
  <c r="BT83" i="20"/>
  <c r="BV83" i="20"/>
  <c r="BW83" i="20"/>
  <c r="BS83" i="20"/>
  <c r="AL83" i="20"/>
  <c r="BG83" i="20"/>
  <c r="BM83" i="20"/>
  <c r="BN83" i="20"/>
  <c r="BO83" i="20"/>
  <c r="BP83" i="20"/>
  <c r="BL83" i="20"/>
  <c r="BK83" i="20"/>
  <c r="BJ83" i="20"/>
  <c r="BI83" i="20"/>
  <c r="AX83" i="20"/>
  <c r="BA83" i="20"/>
  <c r="BD83" i="20"/>
  <c r="BF83" i="20"/>
  <c r="AT83" i="20"/>
  <c r="AS83" i="20"/>
  <c r="AR83" i="20"/>
  <c r="AQ83" i="20"/>
  <c r="AO83" i="20"/>
  <c r="AC83" i="20"/>
  <c r="AA83" i="20"/>
  <c r="Z83" i="20"/>
  <c r="U83" i="20"/>
  <c r="R83" i="20"/>
  <c r="P83" i="20"/>
  <c r="O83" i="20"/>
  <c r="N83" i="20"/>
  <c r="M83" i="20"/>
  <c r="K83" i="20"/>
  <c r="J83" i="20"/>
  <c r="I83" i="20"/>
  <c r="H83" i="20"/>
  <c r="F83" i="20"/>
  <c r="E83" i="20"/>
  <c r="D83" i="20"/>
  <c r="C83" i="20"/>
  <c r="A83" i="20"/>
  <c r="B82" i="20"/>
  <c r="G82" i="20"/>
  <c r="EH82" i="20"/>
  <c r="EG82" i="20"/>
  <c r="EF82" i="20"/>
  <c r="DW82" i="20"/>
  <c r="CW82" i="20"/>
  <c r="ED82" i="20"/>
  <c r="EC82" i="20"/>
  <c r="EB82" i="20"/>
  <c r="EA82" i="20"/>
  <c r="DZ82" i="20"/>
  <c r="DY82" i="20"/>
  <c r="DX82" i="20"/>
  <c r="DV82" i="20"/>
  <c r="DU82" i="20"/>
  <c r="DT82" i="20"/>
  <c r="L82" i="20"/>
  <c r="DS82" i="20"/>
  <c r="DR82" i="20"/>
  <c r="AH82" i="20"/>
  <c r="AI82" i="20"/>
  <c r="AJ82" i="20"/>
  <c r="AK82" i="20"/>
  <c r="DP82" i="20"/>
  <c r="AG82" i="20"/>
  <c r="DQ82" i="20"/>
  <c r="DO82" i="20"/>
  <c r="DN82" i="20"/>
  <c r="DC82" i="20"/>
  <c r="DD82" i="20"/>
  <c r="DE82" i="20"/>
  <c r="DF82" i="20"/>
  <c r="DG82" i="20"/>
  <c r="DH82" i="20"/>
  <c r="DI82" i="20"/>
  <c r="DJ82" i="20"/>
  <c r="DK82" i="20"/>
  <c r="DL82" i="20"/>
  <c r="DM82" i="20"/>
  <c r="DB82" i="20"/>
  <c r="DA82" i="20"/>
  <c r="CZ82" i="20"/>
  <c r="CY82" i="20"/>
  <c r="CX82" i="20"/>
  <c r="CV82" i="20"/>
  <c r="CU82" i="20"/>
  <c r="CT82" i="20"/>
  <c r="CS82" i="20"/>
  <c r="CR82" i="20"/>
  <c r="S82" i="20"/>
  <c r="X82" i="20"/>
  <c r="V82" i="20"/>
  <c r="W82" i="20"/>
  <c r="Y82" i="20"/>
  <c r="AF82" i="20"/>
  <c r="AZ82" i="20"/>
  <c r="BE82" i="20"/>
  <c r="CO82" i="20"/>
  <c r="CN82" i="20"/>
  <c r="CP82" i="20"/>
  <c r="CQ82" i="20"/>
  <c r="T82" i="20"/>
  <c r="CM82" i="20"/>
  <c r="CJ82" i="20"/>
  <c r="CI82" i="20"/>
  <c r="BH82" i="20"/>
  <c r="CF82" i="20"/>
  <c r="CE82" i="20"/>
  <c r="CG82" i="20"/>
  <c r="CH82" i="20"/>
  <c r="CD82" i="20"/>
  <c r="AY82" i="20"/>
  <c r="BC82" i="20"/>
  <c r="CA82" i="20"/>
  <c r="BZ82" i="20"/>
  <c r="CB82" i="20"/>
  <c r="CC82" i="20"/>
  <c r="BY82" i="20"/>
  <c r="BB82" i="20"/>
  <c r="BU82" i="20"/>
  <c r="BT82" i="20"/>
  <c r="BV82" i="20"/>
  <c r="BW82" i="20"/>
  <c r="BS82" i="20"/>
  <c r="AL82" i="20"/>
  <c r="BG82" i="20"/>
  <c r="BM82" i="20"/>
  <c r="BN82" i="20"/>
  <c r="BO82" i="20"/>
  <c r="BP82" i="20"/>
  <c r="BL82" i="20"/>
  <c r="BK82" i="20"/>
  <c r="BJ82" i="20"/>
  <c r="BI82" i="20"/>
  <c r="AX82" i="20"/>
  <c r="BA82" i="20"/>
  <c r="BD82" i="20"/>
  <c r="BF82" i="20"/>
  <c r="AT82" i="20"/>
  <c r="AS82" i="20"/>
  <c r="AR82" i="20"/>
  <c r="AQ82" i="20"/>
  <c r="AO82" i="20"/>
  <c r="AC82" i="20"/>
  <c r="AA82" i="20"/>
  <c r="Z82" i="20"/>
  <c r="U82" i="20"/>
  <c r="R82" i="20"/>
  <c r="P82" i="20"/>
  <c r="O82" i="20"/>
  <c r="N82" i="20"/>
  <c r="M82" i="20"/>
  <c r="K82" i="20"/>
  <c r="J82" i="20"/>
  <c r="I82" i="20"/>
  <c r="H82" i="20"/>
  <c r="F82" i="20"/>
  <c r="E82" i="20"/>
  <c r="D82" i="20"/>
  <c r="C82" i="20"/>
  <c r="A82" i="20"/>
  <c r="B81" i="20"/>
  <c r="G81" i="20"/>
  <c r="EH81" i="20"/>
  <c r="EG81" i="20"/>
  <c r="EF81" i="20"/>
  <c r="DW81" i="20"/>
  <c r="CW81" i="20"/>
  <c r="ED81" i="20"/>
  <c r="EC81" i="20"/>
  <c r="EB81" i="20"/>
  <c r="EA81" i="20"/>
  <c r="DZ81" i="20"/>
  <c r="DY81" i="20"/>
  <c r="DX81" i="20"/>
  <c r="DV81" i="20"/>
  <c r="DU81" i="20"/>
  <c r="DT81" i="20"/>
  <c r="L81" i="20"/>
  <c r="DS81" i="20"/>
  <c r="DR81" i="20"/>
  <c r="AH81" i="20"/>
  <c r="AI81" i="20"/>
  <c r="AJ81" i="20"/>
  <c r="AK81" i="20"/>
  <c r="DP81" i="20"/>
  <c r="AG81" i="20"/>
  <c r="DQ81" i="20"/>
  <c r="DO81" i="20"/>
  <c r="DN81" i="20"/>
  <c r="DC81" i="20"/>
  <c r="DD81" i="20"/>
  <c r="DE81" i="20"/>
  <c r="DF81" i="20"/>
  <c r="DG81" i="20"/>
  <c r="DH81" i="20"/>
  <c r="DI81" i="20"/>
  <c r="DJ81" i="20"/>
  <c r="DK81" i="20"/>
  <c r="DL81" i="20"/>
  <c r="DM81" i="20"/>
  <c r="DB81" i="20"/>
  <c r="DA81" i="20"/>
  <c r="CZ81" i="20"/>
  <c r="CY81" i="20"/>
  <c r="CX81" i="20"/>
  <c r="CV81" i="20"/>
  <c r="CU81" i="20"/>
  <c r="CT81" i="20"/>
  <c r="CS81" i="20"/>
  <c r="CR81" i="20"/>
  <c r="S81" i="20"/>
  <c r="X81" i="20"/>
  <c r="V81" i="20"/>
  <c r="W81" i="20"/>
  <c r="Y81" i="20"/>
  <c r="AF81" i="20"/>
  <c r="AZ81" i="20"/>
  <c r="BE81" i="20"/>
  <c r="CO81" i="20"/>
  <c r="CN81" i="20"/>
  <c r="CP81" i="20"/>
  <c r="CQ81" i="20"/>
  <c r="T81" i="20"/>
  <c r="CM81" i="20"/>
  <c r="CJ81" i="20"/>
  <c r="CI81" i="20"/>
  <c r="BH81" i="20"/>
  <c r="CF81" i="20"/>
  <c r="CE81" i="20"/>
  <c r="CG81" i="20"/>
  <c r="CH81" i="20"/>
  <c r="CD81" i="20"/>
  <c r="AY81" i="20"/>
  <c r="BC81" i="20"/>
  <c r="CA81" i="20"/>
  <c r="BZ81" i="20"/>
  <c r="CB81" i="20"/>
  <c r="CC81" i="20"/>
  <c r="BY81" i="20"/>
  <c r="BB81" i="20"/>
  <c r="BU81" i="20"/>
  <c r="BT81" i="20"/>
  <c r="BV81" i="20"/>
  <c r="BW81" i="20"/>
  <c r="BS81" i="20"/>
  <c r="AL81" i="20"/>
  <c r="BG81" i="20"/>
  <c r="BM81" i="20"/>
  <c r="BN81" i="20"/>
  <c r="BO81" i="20"/>
  <c r="BP81" i="20"/>
  <c r="BL81" i="20"/>
  <c r="BK81" i="20"/>
  <c r="BJ81" i="20"/>
  <c r="BI81" i="20"/>
  <c r="AX81" i="20"/>
  <c r="BA81" i="20"/>
  <c r="BD81" i="20"/>
  <c r="BF81" i="20"/>
  <c r="AT81" i="20"/>
  <c r="AS81" i="20"/>
  <c r="AR81" i="20"/>
  <c r="AQ81" i="20"/>
  <c r="AO81" i="20"/>
  <c r="AC81" i="20"/>
  <c r="AA81" i="20"/>
  <c r="Z81" i="20"/>
  <c r="U81" i="20"/>
  <c r="R81" i="20"/>
  <c r="P81" i="20"/>
  <c r="O81" i="20"/>
  <c r="N81" i="20"/>
  <c r="M81" i="20"/>
  <c r="K81" i="20"/>
  <c r="J81" i="20"/>
  <c r="I81" i="20"/>
  <c r="H81" i="20"/>
  <c r="F81" i="20"/>
  <c r="E81" i="20"/>
  <c r="D81" i="20"/>
  <c r="C81" i="20"/>
  <c r="A81" i="20"/>
  <c r="B80" i="20"/>
  <c r="G80" i="20"/>
  <c r="EH80" i="20"/>
  <c r="EG80" i="20"/>
  <c r="EF80" i="20"/>
  <c r="DW80" i="20"/>
  <c r="CW80" i="20"/>
  <c r="ED80" i="20"/>
  <c r="EC80" i="20"/>
  <c r="EB80" i="20"/>
  <c r="EA80" i="20"/>
  <c r="DZ80" i="20"/>
  <c r="DY80" i="20"/>
  <c r="DX80" i="20"/>
  <c r="DV80" i="20"/>
  <c r="DU80" i="20"/>
  <c r="DT80" i="20"/>
  <c r="L80" i="20"/>
  <c r="DS80" i="20"/>
  <c r="DR80" i="20"/>
  <c r="AH80" i="20"/>
  <c r="AI80" i="20"/>
  <c r="AJ80" i="20"/>
  <c r="AK80" i="20"/>
  <c r="DP80" i="20"/>
  <c r="AG80" i="20"/>
  <c r="DQ80" i="20"/>
  <c r="DO80" i="20"/>
  <c r="DN80" i="20"/>
  <c r="DC80" i="20"/>
  <c r="DD80" i="20"/>
  <c r="DE80" i="20"/>
  <c r="DF80" i="20"/>
  <c r="DG80" i="20"/>
  <c r="DH80" i="20"/>
  <c r="DI80" i="20"/>
  <c r="DJ80" i="20"/>
  <c r="DK80" i="20"/>
  <c r="DL80" i="20"/>
  <c r="DM80" i="20"/>
  <c r="DB80" i="20"/>
  <c r="DA80" i="20"/>
  <c r="CZ80" i="20"/>
  <c r="CY80" i="20"/>
  <c r="CX80" i="20"/>
  <c r="CV80" i="20"/>
  <c r="CU80" i="20"/>
  <c r="CT80" i="20"/>
  <c r="CS80" i="20"/>
  <c r="CR80" i="20"/>
  <c r="S80" i="20"/>
  <c r="X80" i="20"/>
  <c r="V80" i="20"/>
  <c r="W80" i="20"/>
  <c r="Y80" i="20"/>
  <c r="AF80" i="20"/>
  <c r="AZ80" i="20"/>
  <c r="BE80" i="20"/>
  <c r="CO80" i="20"/>
  <c r="CN80" i="20"/>
  <c r="CP80" i="20"/>
  <c r="CQ80" i="20"/>
  <c r="T80" i="20"/>
  <c r="CM80" i="20"/>
  <c r="CJ80" i="20"/>
  <c r="CI80" i="20"/>
  <c r="BH80" i="20"/>
  <c r="CF80" i="20"/>
  <c r="CE80" i="20"/>
  <c r="CG80" i="20"/>
  <c r="CH80" i="20"/>
  <c r="CD80" i="20"/>
  <c r="AY80" i="20"/>
  <c r="BC80" i="20"/>
  <c r="CA80" i="20"/>
  <c r="BZ80" i="20"/>
  <c r="CB80" i="20"/>
  <c r="CC80" i="20"/>
  <c r="BY80" i="20"/>
  <c r="BB80" i="20"/>
  <c r="BU80" i="20"/>
  <c r="BT80" i="20"/>
  <c r="BV80" i="20"/>
  <c r="BW80" i="20"/>
  <c r="BS80" i="20"/>
  <c r="AL80" i="20"/>
  <c r="BG80" i="20"/>
  <c r="BM80" i="20"/>
  <c r="BN80" i="20"/>
  <c r="BO80" i="20"/>
  <c r="BP80" i="20"/>
  <c r="BL80" i="20"/>
  <c r="BK80" i="20"/>
  <c r="BJ80" i="20"/>
  <c r="BI80" i="20"/>
  <c r="AX80" i="20"/>
  <c r="BA80" i="20"/>
  <c r="BD80" i="20"/>
  <c r="BF80" i="20"/>
  <c r="AT80" i="20"/>
  <c r="AS80" i="20"/>
  <c r="AR80" i="20"/>
  <c r="AQ80" i="20"/>
  <c r="AO80" i="20"/>
  <c r="AC80" i="20"/>
  <c r="AA80" i="20"/>
  <c r="Z80" i="20"/>
  <c r="U80" i="20"/>
  <c r="R80" i="20"/>
  <c r="P80" i="20"/>
  <c r="O80" i="20"/>
  <c r="N80" i="20"/>
  <c r="M80" i="20"/>
  <c r="K80" i="20"/>
  <c r="J80" i="20"/>
  <c r="I80" i="20"/>
  <c r="H80" i="20"/>
  <c r="F80" i="20"/>
  <c r="E80" i="20"/>
  <c r="D80" i="20"/>
  <c r="C80" i="20"/>
  <c r="A80" i="20"/>
  <c r="B79" i="20"/>
  <c r="G79" i="20"/>
  <c r="EH79" i="20"/>
  <c r="EG79" i="20"/>
  <c r="EF79" i="20"/>
  <c r="DW79" i="20"/>
  <c r="CW79" i="20"/>
  <c r="ED79" i="20"/>
  <c r="EC79" i="20"/>
  <c r="EB79" i="20"/>
  <c r="EA79" i="20"/>
  <c r="DZ79" i="20"/>
  <c r="DY79" i="20"/>
  <c r="DX79" i="20"/>
  <c r="DV79" i="20"/>
  <c r="DU79" i="20"/>
  <c r="DT79" i="20"/>
  <c r="L79" i="20"/>
  <c r="DS79" i="20"/>
  <c r="DR79" i="20"/>
  <c r="AH79" i="20"/>
  <c r="AI79" i="20"/>
  <c r="AJ79" i="20"/>
  <c r="AK79" i="20"/>
  <c r="DP79" i="20"/>
  <c r="AG79" i="20"/>
  <c r="DQ79" i="20"/>
  <c r="DO79" i="20"/>
  <c r="DN79" i="20"/>
  <c r="DC79" i="20"/>
  <c r="DD79" i="20"/>
  <c r="DE79" i="20"/>
  <c r="DF79" i="20"/>
  <c r="DG79" i="20"/>
  <c r="DH79" i="20"/>
  <c r="DI79" i="20"/>
  <c r="DJ79" i="20"/>
  <c r="DK79" i="20"/>
  <c r="DL79" i="20"/>
  <c r="DM79" i="20"/>
  <c r="DB79" i="20"/>
  <c r="DA79" i="20"/>
  <c r="CZ79" i="20"/>
  <c r="CY79" i="20"/>
  <c r="CX79" i="20"/>
  <c r="CV79" i="20"/>
  <c r="CU79" i="20"/>
  <c r="CT79" i="20"/>
  <c r="CS79" i="20"/>
  <c r="CR79" i="20"/>
  <c r="S79" i="20"/>
  <c r="X79" i="20"/>
  <c r="V79" i="20"/>
  <c r="W79" i="20"/>
  <c r="Y79" i="20"/>
  <c r="AF79" i="20"/>
  <c r="AZ79" i="20"/>
  <c r="BE79" i="20"/>
  <c r="CO79" i="20"/>
  <c r="CN79" i="20"/>
  <c r="CP79" i="20"/>
  <c r="CQ79" i="20"/>
  <c r="T79" i="20"/>
  <c r="CM79" i="20"/>
  <c r="CJ79" i="20"/>
  <c r="CI79" i="20"/>
  <c r="BH79" i="20"/>
  <c r="CF79" i="20"/>
  <c r="CE79" i="20"/>
  <c r="CG79" i="20"/>
  <c r="CH79" i="20"/>
  <c r="CD79" i="20"/>
  <c r="AY79" i="20"/>
  <c r="BC79" i="20"/>
  <c r="CA79" i="20"/>
  <c r="BZ79" i="20"/>
  <c r="CB79" i="20"/>
  <c r="CC79" i="20"/>
  <c r="BY79" i="20"/>
  <c r="BB79" i="20"/>
  <c r="BU79" i="20"/>
  <c r="BT79" i="20"/>
  <c r="BV79" i="20"/>
  <c r="BW79" i="20"/>
  <c r="BS79" i="20"/>
  <c r="AL79" i="20"/>
  <c r="BG79" i="20"/>
  <c r="BM79" i="20"/>
  <c r="BN79" i="20"/>
  <c r="BO79" i="20"/>
  <c r="BP79" i="20"/>
  <c r="BL79" i="20"/>
  <c r="BK79" i="20"/>
  <c r="BJ79" i="20"/>
  <c r="BI79" i="20"/>
  <c r="AX79" i="20"/>
  <c r="BA79" i="20"/>
  <c r="BD79" i="20"/>
  <c r="BF79" i="20"/>
  <c r="AT79" i="20"/>
  <c r="AS79" i="20"/>
  <c r="AR79" i="20"/>
  <c r="AQ79" i="20"/>
  <c r="AO79" i="20"/>
  <c r="AC79" i="20"/>
  <c r="AA79" i="20"/>
  <c r="Z79" i="20"/>
  <c r="U79" i="20"/>
  <c r="R79" i="20"/>
  <c r="P79" i="20"/>
  <c r="O79" i="20"/>
  <c r="N79" i="20"/>
  <c r="M79" i="20"/>
  <c r="K79" i="20"/>
  <c r="J79" i="20"/>
  <c r="I79" i="20"/>
  <c r="H79" i="20"/>
  <c r="F79" i="20"/>
  <c r="E79" i="20"/>
  <c r="D79" i="20"/>
  <c r="C79" i="20"/>
  <c r="A79" i="20"/>
  <c r="B78" i="20"/>
  <c r="G78" i="20"/>
  <c r="EH78" i="20"/>
  <c r="EG78" i="20"/>
  <c r="EF78" i="20"/>
  <c r="DW78" i="20"/>
  <c r="CW78" i="20"/>
  <c r="ED78" i="20"/>
  <c r="EC78" i="20"/>
  <c r="EB78" i="20"/>
  <c r="EA78" i="20"/>
  <c r="DZ78" i="20"/>
  <c r="DY78" i="20"/>
  <c r="DX78" i="20"/>
  <c r="DV78" i="20"/>
  <c r="DU78" i="20"/>
  <c r="DT78" i="20"/>
  <c r="L78" i="20"/>
  <c r="DS78" i="20"/>
  <c r="DR78" i="20"/>
  <c r="AH78" i="20"/>
  <c r="AI78" i="20"/>
  <c r="AJ78" i="20"/>
  <c r="AK78" i="20"/>
  <c r="DP78" i="20"/>
  <c r="AG78" i="20"/>
  <c r="DQ78" i="20"/>
  <c r="DO78" i="20"/>
  <c r="DN78" i="20"/>
  <c r="DC78" i="20"/>
  <c r="DD78" i="20"/>
  <c r="DE78" i="20"/>
  <c r="DF78" i="20"/>
  <c r="DG78" i="20"/>
  <c r="DH78" i="20"/>
  <c r="DI78" i="20"/>
  <c r="DJ78" i="20"/>
  <c r="DK78" i="20"/>
  <c r="DL78" i="20"/>
  <c r="DM78" i="20"/>
  <c r="DB78" i="20"/>
  <c r="DA78" i="20"/>
  <c r="CZ78" i="20"/>
  <c r="CY78" i="20"/>
  <c r="CX78" i="20"/>
  <c r="CV78" i="20"/>
  <c r="CU78" i="20"/>
  <c r="CT78" i="20"/>
  <c r="CS78" i="20"/>
  <c r="CR78" i="20"/>
  <c r="S78" i="20"/>
  <c r="X78" i="20"/>
  <c r="V78" i="20"/>
  <c r="W78" i="20"/>
  <c r="Y78" i="20"/>
  <c r="AF78" i="20"/>
  <c r="AZ78" i="20"/>
  <c r="BE78" i="20"/>
  <c r="CO78" i="20"/>
  <c r="CN78" i="20"/>
  <c r="CP78" i="20"/>
  <c r="CQ78" i="20"/>
  <c r="T78" i="20"/>
  <c r="CM78" i="20"/>
  <c r="CJ78" i="20"/>
  <c r="CI78" i="20"/>
  <c r="BH78" i="20"/>
  <c r="CF78" i="20"/>
  <c r="CE78" i="20"/>
  <c r="CG78" i="20"/>
  <c r="CH78" i="20"/>
  <c r="CD78" i="20"/>
  <c r="AY78" i="20"/>
  <c r="BC78" i="20"/>
  <c r="CA78" i="20"/>
  <c r="BZ78" i="20"/>
  <c r="CB78" i="20"/>
  <c r="CC78" i="20"/>
  <c r="BY78" i="20"/>
  <c r="BB78" i="20"/>
  <c r="BU78" i="20"/>
  <c r="BT78" i="20"/>
  <c r="BV78" i="20"/>
  <c r="BW78" i="20"/>
  <c r="BS78" i="20"/>
  <c r="AL78" i="20"/>
  <c r="BG78" i="20"/>
  <c r="BM78" i="20"/>
  <c r="BN78" i="20"/>
  <c r="BO78" i="20"/>
  <c r="BP78" i="20"/>
  <c r="BL78" i="20"/>
  <c r="BK78" i="20"/>
  <c r="BJ78" i="20"/>
  <c r="BI78" i="20"/>
  <c r="AX78" i="20"/>
  <c r="BA78" i="20"/>
  <c r="BD78" i="20"/>
  <c r="BF78" i="20"/>
  <c r="AT78" i="20"/>
  <c r="AS78" i="20"/>
  <c r="AR78" i="20"/>
  <c r="AQ78" i="20"/>
  <c r="AO78" i="20"/>
  <c r="AC78" i="20"/>
  <c r="AA78" i="20"/>
  <c r="Z78" i="20"/>
  <c r="U78" i="20"/>
  <c r="R78" i="20"/>
  <c r="P78" i="20"/>
  <c r="O78" i="20"/>
  <c r="N78" i="20"/>
  <c r="M78" i="20"/>
  <c r="K78" i="20"/>
  <c r="J78" i="20"/>
  <c r="I78" i="20"/>
  <c r="H78" i="20"/>
  <c r="F78" i="20"/>
  <c r="E78" i="20"/>
  <c r="D78" i="20"/>
  <c r="C78" i="20"/>
  <c r="A78" i="20"/>
  <c r="B77" i="20"/>
  <c r="G77" i="20"/>
  <c r="EH77" i="20"/>
  <c r="EG77" i="20"/>
  <c r="EF77" i="20"/>
  <c r="DW77" i="20"/>
  <c r="CW77" i="20"/>
  <c r="ED77" i="20"/>
  <c r="EC77" i="20"/>
  <c r="EB77" i="20"/>
  <c r="EA77" i="20"/>
  <c r="DZ77" i="20"/>
  <c r="DY77" i="20"/>
  <c r="DX77" i="20"/>
  <c r="DV77" i="20"/>
  <c r="DU77" i="20"/>
  <c r="DT77" i="20"/>
  <c r="L77" i="20"/>
  <c r="DS77" i="20"/>
  <c r="DR77" i="20"/>
  <c r="AH77" i="20"/>
  <c r="AI77" i="20"/>
  <c r="AJ77" i="20"/>
  <c r="AK77" i="20"/>
  <c r="DP77" i="20"/>
  <c r="AG77" i="20"/>
  <c r="DQ77" i="20"/>
  <c r="DO77" i="20"/>
  <c r="DN77" i="20"/>
  <c r="DC77" i="20"/>
  <c r="DD77" i="20"/>
  <c r="DE77" i="20"/>
  <c r="DF77" i="20"/>
  <c r="DG77" i="20"/>
  <c r="DH77" i="20"/>
  <c r="DI77" i="20"/>
  <c r="DJ77" i="20"/>
  <c r="DK77" i="20"/>
  <c r="DL77" i="20"/>
  <c r="DM77" i="20"/>
  <c r="DB77" i="20"/>
  <c r="DA77" i="20"/>
  <c r="CZ77" i="20"/>
  <c r="CY77" i="20"/>
  <c r="CX77" i="20"/>
  <c r="CV77" i="20"/>
  <c r="CU77" i="20"/>
  <c r="CT77" i="20"/>
  <c r="CS77" i="20"/>
  <c r="CR77" i="20"/>
  <c r="S77" i="20"/>
  <c r="X77" i="20"/>
  <c r="V77" i="20"/>
  <c r="W77" i="20"/>
  <c r="Y77" i="20"/>
  <c r="AF77" i="20"/>
  <c r="AZ77" i="20"/>
  <c r="BE77" i="20"/>
  <c r="CO77" i="20"/>
  <c r="CN77" i="20"/>
  <c r="CP77" i="20"/>
  <c r="CQ77" i="20"/>
  <c r="T77" i="20"/>
  <c r="CM77" i="20"/>
  <c r="CJ77" i="20"/>
  <c r="CI77" i="20"/>
  <c r="BH77" i="20"/>
  <c r="CF77" i="20"/>
  <c r="CE77" i="20"/>
  <c r="CG77" i="20"/>
  <c r="CH77" i="20"/>
  <c r="CD77" i="20"/>
  <c r="AY77" i="20"/>
  <c r="BC77" i="20"/>
  <c r="CA77" i="20"/>
  <c r="BZ77" i="20"/>
  <c r="CB77" i="20"/>
  <c r="CC77" i="20"/>
  <c r="BY77" i="20"/>
  <c r="BB77" i="20"/>
  <c r="BU77" i="20"/>
  <c r="BT77" i="20"/>
  <c r="BV77" i="20"/>
  <c r="BW77" i="20"/>
  <c r="BS77" i="20"/>
  <c r="AL77" i="20"/>
  <c r="BG77" i="20"/>
  <c r="BM77" i="20"/>
  <c r="BN77" i="20"/>
  <c r="BO77" i="20"/>
  <c r="BP77" i="20"/>
  <c r="BL77" i="20"/>
  <c r="BK77" i="20"/>
  <c r="BJ77" i="20"/>
  <c r="BI77" i="20"/>
  <c r="AX77" i="20"/>
  <c r="BA77" i="20"/>
  <c r="BD77" i="20"/>
  <c r="BF77" i="20"/>
  <c r="AT77" i="20"/>
  <c r="AS77" i="20"/>
  <c r="AR77" i="20"/>
  <c r="AQ77" i="20"/>
  <c r="AO77" i="20"/>
  <c r="AC77" i="20"/>
  <c r="AA77" i="20"/>
  <c r="Z77" i="20"/>
  <c r="U77" i="20"/>
  <c r="R77" i="20"/>
  <c r="P77" i="20"/>
  <c r="O77" i="20"/>
  <c r="N77" i="20"/>
  <c r="M77" i="20"/>
  <c r="K77" i="20"/>
  <c r="J77" i="20"/>
  <c r="I77" i="20"/>
  <c r="H77" i="20"/>
  <c r="F77" i="20"/>
  <c r="E77" i="20"/>
  <c r="D77" i="20"/>
  <c r="C77" i="20"/>
  <c r="A77" i="20"/>
  <c r="B76" i="20"/>
  <c r="G76" i="20"/>
  <c r="EH76" i="20"/>
  <c r="EG76" i="20"/>
  <c r="EF76" i="20"/>
  <c r="DW76" i="20"/>
  <c r="CW76" i="20"/>
  <c r="ED76" i="20"/>
  <c r="EC76" i="20"/>
  <c r="EB76" i="20"/>
  <c r="EA76" i="20"/>
  <c r="DZ76" i="20"/>
  <c r="DY76" i="20"/>
  <c r="DX76" i="20"/>
  <c r="DV76" i="20"/>
  <c r="DU76" i="20"/>
  <c r="DT76" i="20"/>
  <c r="L76" i="20"/>
  <c r="DS76" i="20"/>
  <c r="DR76" i="20"/>
  <c r="AH76" i="20"/>
  <c r="AI76" i="20"/>
  <c r="AJ76" i="20"/>
  <c r="AK76" i="20"/>
  <c r="DP76" i="20"/>
  <c r="AG76" i="20"/>
  <c r="DQ76" i="20"/>
  <c r="DO76" i="20"/>
  <c r="DN76" i="20"/>
  <c r="DC76" i="20"/>
  <c r="DD76" i="20"/>
  <c r="DE76" i="20"/>
  <c r="DF76" i="20"/>
  <c r="DG76" i="20"/>
  <c r="DH76" i="20"/>
  <c r="DI76" i="20"/>
  <c r="DJ76" i="20"/>
  <c r="DK76" i="20"/>
  <c r="DL76" i="20"/>
  <c r="DM76" i="20"/>
  <c r="DB76" i="20"/>
  <c r="DA76" i="20"/>
  <c r="CZ76" i="20"/>
  <c r="CY76" i="20"/>
  <c r="CX76" i="20"/>
  <c r="CV76" i="20"/>
  <c r="CU76" i="20"/>
  <c r="CT76" i="20"/>
  <c r="CS76" i="20"/>
  <c r="CR76" i="20"/>
  <c r="S76" i="20"/>
  <c r="X76" i="20"/>
  <c r="V76" i="20"/>
  <c r="W76" i="20"/>
  <c r="Y76" i="20"/>
  <c r="AF76" i="20"/>
  <c r="AZ76" i="20"/>
  <c r="BE76" i="20"/>
  <c r="CO76" i="20"/>
  <c r="CN76" i="20"/>
  <c r="CP76" i="20"/>
  <c r="CQ76" i="20"/>
  <c r="T76" i="20"/>
  <c r="CM76" i="20"/>
  <c r="CJ76" i="20"/>
  <c r="CI76" i="20"/>
  <c r="BH76" i="20"/>
  <c r="CF76" i="20"/>
  <c r="CE76" i="20"/>
  <c r="CG76" i="20"/>
  <c r="CH76" i="20"/>
  <c r="CD76" i="20"/>
  <c r="AY76" i="20"/>
  <c r="BC76" i="20"/>
  <c r="CA76" i="20"/>
  <c r="BZ76" i="20"/>
  <c r="CB76" i="20"/>
  <c r="CC76" i="20"/>
  <c r="BY76" i="20"/>
  <c r="BB76" i="20"/>
  <c r="BU76" i="20"/>
  <c r="BT76" i="20"/>
  <c r="BV76" i="20"/>
  <c r="BW76" i="20"/>
  <c r="BS76" i="20"/>
  <c r="AL76" i="20"/>
  <c r="BG76" i="20"/>
  <c r="BM76" i="20"/>
  <c r="BN76" i="20"/>
  <c r="BO76" i="20"/>
  <c r="BP76" i="20"/>
  <c r="BL76" i="20"/>
  <c r="BK76" i="20"/>
  <c r="BJ76" i="20"/>
  <c r="BI76" i="20"/>
  <c r="AX76" i="20"/>
  <c r="BA76" i="20"/>
  <c r="BD76" i="20"/>
  <c r="BF76" i="20"/>
  <c r="AT76" i="20"/>
  <c r="AS76" i="20"/>
  <c r="AR76" i="20"/>
  <c r="AQ76" i="20"/>
  <c r="AO76" i="20"/>
  <c r="AC76" i="20"/>
  <c r="AA76" i="20"/>
  <c r="Z76" i="20"/>
  <c r="U76" i="20"/>
  <c r="R76" i="20"/>
  <c r="P76" i="20"/>
  <c r="O76" i="20"/>
  <c r="N76" i="20"/>
  <c r="M76" i="20"/>
  <c r="K76" i="20"/>
  <c r="J76" i="20"/>
  <c r="I76" i="20"/>
  <c r="H76" i="20"/>
  <c r="F76" i="20"/>
  <c r="E76" i="20"/>
  <c r="D76" i="20"/>
  <c r="C76" i="20"/>
  <c r="A76" i="20"/>
  <c r="B75" i="20"/>
  <c r="G75" i="20"/>
  <c r="EH75" i="20"/>
  <c r="EG75" i="20"/>
  <c r="EF75" i="20"/>
  <c r="DW75" i="20"/>
  <c r="CW75" i="20"/>
  <c r="ED75" i="20"/>
  <c r="EC75" i="20"/>
  <c r="EB75" i="20"/>
  <c r="EA75" i="20"/>
  <c r="DZ75" i="20"/>
  <c r="DY75" i="20"/>
  <c r="DX75" i="20"/>
  <c r="DV75" i="20"/>
  <c r="DU75" i="20"/>
  <c r="DT75" i="20"/>
  <c r="L75" i="20"/>
  <c r="DS75" i="20"/>
  <c r="DR75" i="20"/>
  <c r="AH75" i="20"/>
  <c r="AI75" i="20"/>
  <c r="AJ75" i="20"/>
  <c r="AK75" i="20"/>
  <c r="DP75" i="20"/>
  <c r="AG75" i="20"/>
  <c r="DQ75" i="20"/>
  <c r="DO75" i="20"/>
  <c r="DN75" i="20"/>
  <c r="DC75" i="20"/>
  <c r="DD75" i="20"/>
  <c r="DE75" i="20"/>
  <c r="DF75" i="20"/>
  <c r="DG75" i="20"/>
  <c r="DH75" i="20"/>
  <c r="DI75" i="20"/>
  <c r="DJ75" i="20"/>
  <c r="DK75" i="20"/>
  <c r="DL75" i="20"/>
  <c r="DM75" i="20"/>
  <c r="DB75" i="20"/>
  <c r="DA75" i="20"/>
  <c r="CZ75" i="20"/>
  <c r="CY75" i="20"/>
  <c r="CX75" i="20"/>
  <c r="CV75" i="20"/>
  <c r="CU75" i="20"/>
  <c r="CT75" i="20"/>
  <c r="CS75" i="20"/>
  <c r="CR75" i="20"/>
  <c r="S75" i="20"/>
  <c r="X75" i="20"/>
  <c r="V75" i="20"/>
  <c r="W75" i="20"/>
  <c r="Y75" i="20"/>
  <c r="AF75" i="20"/>
  <c r="AZ75" i="20"/>
  <c r="BE75" i="20"/>
  <c r="CO75" i="20"/>
  <c r="CN75" i="20"/>
  <c r="CP75" i="20"/>
  <c r="CQ75" i="20"/>
  <c r="T75" i="20"/>
  <c r="CM75" i="20"/>
  <c r="CJ75" i="20"/>
  <c r="CI75" i="20"/>
  <c r="BH75" i="20"/>
  <c r="CF75" i="20"/>
  <c r="CE75" i="20"/>
  <c r="CG75" i="20"/>
  <c r="CH75" i="20"/>
  <c r="CD75" i="20"/>
  <c r="AY75" i="20"/>
  <c r="BC75" i="20"/>
  <c r="CA75" i="20"/>
  <c r="BZ75" i="20"/>
  <c r="CB75" i="20"/>
  <c r="CC75" i="20"/>
  <c r="BY75" i="20"/>
  <c r="BB75" i="20"/>
  <c r="BU75" i="20"/>
  <c r="BT75" i="20"/>
  <c r="BV75" i="20"/>
  <c r="BW75" i="20"/>
  <c r="BS75" i="20"/>
  <c r="AL75" i="20"/>
  <c r="BG75" i="20"/>
  <c r="BM75" i="20"/>
  <c r="BN75" i="20"/>
  <c r="BO75" i="20"/>
  <c r="BP75" i="20"/>
  <c r="BL75" i="20"/>
  <c r="BK75" i="20"/>
  <c r="BJ75" i="20"/>
  <c r="BI75" i="20"/>
  <c r="AX75" i="20"/>
  <c r="BA75" i="20"/>
  <c r="BD75" i="20"/>
  <c r="BF75" i="20"/>
  <c r="AT75" i="20"/>
  <c r="AS75" i="20"/>
  <c r="AR75" i="20"/>
  <c r="AQ75" i="20"/>
  <c r="AO75" i="20"/>
  <c r="AC75" i="20"/>
  <c r="AA75" i="20"/>
  <c r="Z75" i="20"/>
  <c r="U75" i="20"/>
  <c r="R75" i="20"/>
  <c r="P75" i="20"/>
  <c r="O75" i="20"/>
  <c r="N75" i="20"/>
  <c r="M75" i="20"/>
  <c r="K75" i="20"/>
  <c r="J75" i="20"/>
  <c r="I75" i="20"/>
  <c r="H75" i="20"/>
  <c r="F75" i="20"/>
  <c r="E75" i="20"/>
  <c r="D75" i="20"/>
  <c r="C75" i="20"/>
  <c r="A75" i="20"/>
  <c r="B74" i="20"/>
  <c r="G74" i="20"/>
  <c r="EH74" i="20"/>
  <c r="EG74" i="20"/>
  <c r="EF74" i="20"/>
  <c r="DW74" i="20"/>
  <c r="CW74" i="20"/>
  <c r="ED74" i="20"/>
  <c r="EC74" i="20"/>
  <c r="EB74" i="20"/>
  <c r="EA74" i="20"/>
  <c r="DZ74" i="20"/>
  <c r="DY74" i="20"/>
  <c r="DX74" i="20"/>
  <c r="DV74" i="20"/>
  <c r="DU74" i="20"/>
  <c r="DT74" i="20"/>
  <c r="L74" i="20"/>
  <c r="DS74" i="20"/>
  <c r="DR74" i="20"/>
  <c r="AH74" i="20"/>
  <c r="AI74" i="20"/>
  <c r="AJ74" i="20"/>
  <c r="AK74" i="20"/>
  <c r="DP74" i="20"/>
  <c r="AG74" i="20"/>
  <c r="DQ74" i="20"/>
  <c r="DO74" i="20"/>
  <c r="DN74" i="20"/>
  <c r="DC74" i="20"/>
  <c r="DD74" i="20"/>
  <c r="DE74" i="20"/>
  <c r="DF74" i="20"/>
  <c r="DG74" i="20"/>
  <c r="DH74" i="20"/>
  <c r="DI74" i="20"/>
  <c r="DJ74" i="20"/>
  <c r="DK74" i="20"/>
  <c r="DL74" i="20"/>
  <c r="DM74" i="20"/>
  <c r="DB74" i="20"/>
  <c r="DA74" i="20"/>
  <c r="CZ74" i="20"/>
  <c r="CY74" i="20"/>
  <c r="CX74" i="20"/>
  <c r="CV74" i="20"/>
  <c r="CU74" i="20"/>
  <c r="CT74" i="20"/>
  <c r="CS74" i="20"/>
  <c r="CR74" i="20"/>
  <c r="S74" i="20"/>
  <c r="X74" i="20"/>
  <c r="V74" i="20"/>
  <c r="W74" i="20"/>
  <c r="Y74" i="20"/>
  <c r="AF74" i="20"/>
  <c r="AZ74" i="20"/>
  <c r="BE74" i="20"/>
  <c r="CO74" i="20"/>
  <c r="CN74" i="20"/>
  <c r="CP74" i="20"/>
  <c r="CQ74" i="20"/>
  <c r="T74" i="20"/>
  <c r="CM74" i="20"/>
  <c r="CJ74" i="20"/>
  <c r="CI74" i="20"/>
  <c r="BH74" i="20"/>
  <c r="CF74" i="20"/>
  <c r="CE74" i="20"/>
  <c r="CG74" i="20"/>
  <c r="CH74" i="20"/>
  <c r="CD74" i="20"/>
  <c r="AY74" i="20"/>
  <c r="BC74" i="20"/>
  <c r="CA74" i="20"/>
  <c r="BZ74" i="20"/>
  <c r="CB74" i="20"/>
  <c r="CC74" i="20"/>
  <c r="BY74" i="20"/>
  <c r="BB74" i="20"/>
  <c r="BU74" i="20"/>
  <c r="BT74" i="20"/>
  <c r="BV74" i="20"/>
  <c r="BW74" i="20"/>
  <c r="BS74" i="20"/>
  <c r="AL74" i="20"/>
  <c r="BG74" i="20"/>
  <c r="BM74" i="20"/>
  <c r="BN74" i="20"/>
  <c r="BO74" i="20"/>
  <c r="BP74" i="20"/>
  <c r="BL74" i="20"/>
  <c r="BK74" i="20"/>
  <c r="BJ74" i="20"/>
  <c r="BI74" i="20"/>
  <c r="AX74" i="20"/>
  <c r="BA74" i="20"/>
  <c r="BD74" i="20"/>
  <c r="BF74" i="20"/>
  <c r="AT74" i="20"/>
  <c r="AS74" i="20"/>
  <c r="AR74" i="20"/>
  <c r="AQ74" i="20"/>
  <c r="AO74" i="20"/>
  <c r="AC74" i="20"/>
  <c r="AA74" i="20"/>
  <c r="Z74" i="20"/>
  <c r="U74" i="20"/>
  <c r="R74" i="20"/>
  <c r="P74" i="20"/>
  <c r="O74" i="20"/>
  <c r="N74" i="20"/>
  <c r="M74" i="20"/>
  <c r="K74" i="20"/>
  <c r="J74" i="20"/>
  <c r="I74" i="20"/>
  <c r="H74" i="20"/>
  <c r="F74" i="20"/>
  <c r="E74" i="20"/>
  <c r="D74" i="20"/>
  <c r="C74" i="20"/>
  <c r="A74" i="20"/>
  <c r="B73" i="20"/>
  <c r="G73" i="20"/>
  <c r="EH73" i="20"/>
  <c r="EG73" i="20"/>
  <c r="EF73" i="20"/>
  <c r="DW73" i="20"/>
  <c r="CW73" i="20"/>
  <c r="ED73" i="20"/>
  <c r="EC73" i="20"/>
  <c r="EB73" i="20"/>
  <c r="EA73" i="20"/>
  <c r="DZ73" i="20"/>
  <c r="DY73" i="20"/>
  <c r="DX73" i="20"/>
  <c r="DV73" i="20"/>
  <c r="DU73" i="20"/>
  <c r="DT73" i="20"/>
  <c r="L73" i="20"/>
  <c r="DS73" i="20"/>
  <c r="DR73" i="20"/>
  <c r="AH73" i="20"/>
  <c r="AI73" i="20"/>
  <c r="AJ73" i="20"/>
  <c r="AK73" i="20"/>
  <c r="DP73" i="20"/>
  <c r="AG73" i="20"/>
  <c r="DQ73" i="20"/>
  <c r="DO73" i="20"/>
  <c r="DN73" i="20"/>
  <c r="DC73" i="20"/>
  <c r="DD73" i="20"/>
  <c r="DE73" i="20"/>
  <c r="DF73" i="20"/>
  <c r="DG73" i="20"/>
  <c r="DH73" i="20"/>
  <c r="DI73" i="20"/>
  <c r="DJ73" i="20"/>
  <c r="DK73" i="20"/>
  <c r="DL73" i="20"/>
  <c r="DM73" i="20"/>
  <c r="DB73" i="20"/>
  <c r="DA73" i="20"/>
  <c r="CZ73" i="20"/>
  <c r="CY73" i="20"/>
  <c r="CX73" i="20"/>
  <c r="CV73" i="20"/>
  <c r="CU73" i="20"/>
  <c r="CT73" i="20"/>
  <c r="CS73" i="20"/>
  <c r="CR73" i="20"/>
  <c r="S73" i="20"/>
  <c r="X73" i="20"/>
  <c r="V73" i="20"/>
  <c r="W73" i="20"/>
  <c r="Y73" i="20"/>
  <c r="AF73" i="20"/>
  <c r="AZ73" i="20"/>
  <c r="BE73" i="20"/>
  <c r="CO73" i="20"/>
  <c r="CN73" i="20"/>
  <c r="CP73" i="20"/>
  <c r="CQ73" i="20"/>
  <c r="T73" i="20"/>
  <c r="CM73" i="20"/>
  <c r="CJ73" i="20"/>
  <c r="CI73" i="20"/>
  <c r="BH73" i="20"/>
  <c r="CF73" i="20"/>
  <c r="CE73" i="20"/>
  <c r="CG73" i="20"/>
  <c r="CH73" i="20"/>
  <c r="CD73" i="20"/>
  <c r="AY73" i="20"/>
  <c r="BC73" i="20"/>
  <c r="CA73" i="20"/>
  <c r="BZ73" i="20"/>
  <c r="CB73" i="20"/>
  <c r="CC73" i="20"/>
  <c r="BY73" i="20"/>
  <c r="BB73" i="20"/>
  <c r="BU73" i="20"/>
  <c r="BT73" i="20"/>
  <c r="BV73" i="20"/>
  <c r="BW73" i="20"/>
  <c r="BS73" i="20"/>
  <c r="AL73" i="20"/>
  <c r="BG73" i="20"/>
  <c r="BM73" i="20"/>
  <c r="BN73" i="20"/>
  <c r="BO73" i="20"/>
  <c r="BP73" i="20"/>
  <c r="BL73" i="20"/>
  <c r="BK73" i="20"/>
  <c r="BJ73" i="20"/>
  <c r="BI73" i="20"/>
  <c r="AX73" i="20"/>
  <c r="BA73" i="20"/>
  <c r="BD73" i="20"/>
  <c r="BF73" i="20"/>
  <c r="AT73" i="20"/>
  <c r="AS73" i="20"/>
  <c r="AR73" i="20"/>
  <c r="AQ73" i="20"/>
  <c r="AO73" i="20"/>
  <c r="AC73" i="20"/>
  <c r="AA73" i="20"/>
  <c r="Z73" i="20"/>
  <c r="U73" i="20"/>
  <c r="R73" i="20"/>
  <c r="P73" i="20"/>
  <c r="O73" i="20"/>
  <c r="N73" i="20"/>
  <c r="M73" i="20"/>
  <c r="K73" i="20"/>
  <c r="J73" i="20"/>
  <c r="I73" i="20"/>
  <c r="H73" i="20"/>
  <c r="F73" i="20"/>
  <c r="E73" i="20"/>
  <c r="D73" i="20"/>
  <c r="C73" i="20"/>
  <c r="A73" i="20"/>
  <c r="B72" i="20"/>
  <c r="G72" i="20"/>
  <c r="EH72" i="20"/>
  <c r="EG72" i="20"/>
  <c r="EF72" i="20"/>
  <c r="DW72" i="20"/>
  <c r="CW72" i="20"/>
  <c r="ED72" i="20"/>
  <c r="EC72" i="20"/>
  <c r="EB72" i="20"/>
  <c r="EA72" i="20"/>
  <c r="DZ72" i="20"/>
  <c r="DY72" i="20"/>
  <c r="DX72" i="20"/>
  <c r="DV72" i="20"/>
  <c r="DU72" i="20"/>
  <c r="DT72" i="20"/>
  <c r="L72" i="20"/>
  <c r="DS72" i="20"/>
  <c r="DR72" i="20"/>
  <c r="AH72" i="20"/>
  <c r="AI72" i="20"/>
  <c r="AJ72" i="20"/>
  <c r="AK72" i="20"/>
  <c r="DP72" i="20"/>
  <c r="AG72" i="20"/>
  <c r="DQ72" i="20"/>
  <c r="DO72" i="20"/>
  <c r="DN72" i="20"/>
  <c r="DC72" i="20"/>
  <c r="DD72" i="20"/>
  <c r="DE72" i="20"/>
  <c r="DF72" i="20"/>
  <c r="DG72" i="20"/>
  <c r="DH72" i="20"/>
  <c r="DI72" i="20"/>
  <c r="DJ72" i="20"/>
  <c r="DK72" i="20"/>
  <c r="DL72" i="20"/>
  <c r="DM72" i="20"/>
  <c r="DB72" i="20"/>
  <c r="DA72" i="20"/>
  <c r="CZ72" i="20"/>
  <c r="CY72" i="20"/>
  <c r="CX72" i="20"/>
  <c r="CV72" i="20"/>
  <c r="CU72" i="20"/>
  <c r="CT72" i="20"/>
  <c r="CS72" i="20"/>
  <c r="CR72" i="20"/>
  <c r="S72" i="20"/>
  <c r="X72" i="20"/>
  <c r="V72" i="20"/>
  <c r="W72" i="20"/>
  <c r="Y72" i="20"/>
  <c r="AF72" i="20"/>
  <c r="AZ72" i="20"/>
  <c r="BE72" i="20"/>
  <c r="CO72" i="20"/>
  <c r="CN72" i="20"/>
  <c r="CP72" i="20"/>
  <c r="CQ72" i="20"/>
  <c r="T72" i="20"/>
  <c r="CM72" i="20"/>
  <c r="CJ72" i="20"/>
  <c r="CI72" i="20"/>
  <c r="BH72" i="20"/>
  <c r="CF72" i="20"/>
  <c r="CE72" i="20"/>
  <c r="CG72" i="20"/>
  <c r="CH72" i="20"/>
  <c r="CD72" i="20"/>
  <c r="AY72" i="20"/>
  <c r="BC72" i="20"/>
  <c r="CA72" i="20"/>
  <c r="BZ72" i="20"/>
  <c r="CB72" i="20"/>
  <c r="CC72" i="20"/>
  <c r="BY72" i="20"/>
  <c r="BB72" i="20"/>
  <c r="BU72" i="20"/>
  <c r="BT72" i="20"/>
  <c r="BV72" i="20"/>
  <c r="BW72" i="20"/>
  <c r="BS72" i="20"/>
  <c r="AL72" i="20"/>
  <c r="BG72" i="20"/>
  <c r="BM72" i="20"/>
  <c r="BN72" i="20"/>
  <c r="BO72" i="20"/>
  <c r="BP72" i="20"/>
  <c r="BL72" i="20"/>
  <c r="BK72" i="20"/>
  <c r="BJ72" i="20"/>
  <c r="BI72" i="20"/>
  <c r="AX72" i="20"/>
  <c r="BA72" i="20"/>
  <c r="BD72" i="20"/>
  <c r="BF72" i="20"/>
  <c r="AT72" i="20"/>
  <c r="AS72" i="20"/>
  <c r="AR72" i="20"/>
  <c r="AQ72" i="20"/>
  <c r="AO72" i="20"/>
  <c r="AC72" i="20"/>
  <c r="AA72" i="20"/>
  <c r="Z72" i="20"/>
  <c r="U72" i="20"/>
  <c r="R72" i="20"/>
  <c r="P72" i="20"/>
  <c r="O72" i="20"/>
  <c r="N72" i="20"/>
  <c r="M72" i="20"/>
  <c r="K72" i="20"/>
  <c r="J72" i="20"/>
  <c r="I72" i="20"/>
  <c r="H72" i="20"/>
  <c r="F72" i="20"/>
  <c r="E72" i="20"/>
  <c r="D72" i="20"/>
  <c r="C72" i="20"/>
  <c r="A72" i="20"/>
  <c r="B71" i="20"/>
  <c r="G71" i="20"/>
  <c r="EH71" i="20"/>
  <c r="EG71" i="20"/>
  <c r="EF71" i="20"/>
  <c r="DW71" i="20"/>
  <c r="CW71" i="20"/>
  <c r="ED71" i="20"/>
  <c r="EC71" i="20"/>
  <c r="EB71" i="20"/>
  <c r="EA71" i="20"/>
  <c r="DZ71" i="20"/>
  <c r="DY71" i="20"/>
  <c r="DX71" i="20"/>
  <c r="DV71" i="20"/>
  <c r="DU71" i="20"/>
  <c r="DT71" i="20"/>
  <c r="L71" i="20"/>
  <c r="DS71" i="20"/>
  <c r="DR71" i="20"/>
  <c r="AH71" i="20"/>
  <c r="AI71" i="20"/>
  <c r="AJ71" i="20"/>
  <c r="AK71" i="20"/>
  <c r="DP71" i="20"/>
  <c r="AG71" i="20"/>
  <c r="DQ71" i="20"/>
  <c r="DO71" i="20"/>
  <c r="DN71" i="20"/>
  <c r="DC71" i="20"/>
  <c r="DD71" i="20"/>
  <c r="DE71" i="20"/>
  <c r="DF71" i="20"/>
  <c r="DG71" i="20"/>
  <c r="DH71" i="20"/>
  <c r="DI71" i="20"/>
  <c r="DJ71" i="20"/>
  <c r="DK71" i="20"/>
  <c r="DL71" i="20"/>
  <c r="DM71" i="20"/>
  <c r="DB71" i="20"/>
  <c r="DA71" i="20"/>
  <c r="CZ71" i="20"/>
  <c r="CY71" i="20"/>
  <c r="CX71" i="20"/>
  <c r="CV71" i="20"/>
  <c r="CU71" i="20"/>
  <c r="CT71" i="20"/>
  <c r="CS71" i="20"/>
  <c r="CR71" i="20"/>
  <c r="S71" i="20"/>
  <c r="X71" i="20"/>
  <c r="V71" i="20"/>
  <c r="W71" i="20"/>
  <c r="Y71" i="20"/>
  <c r="AF71" i="20"/>
  <c r="AZ71" i="20"/>
  <c r="BE71" i="20"/>
  <c r="CO71" i="20"/>
  <c r="CN71" i="20"/>
  <c r="CP71" i="20"/>
  <c r="CQ71" i="20"/>
  <c r="T71" i="20"/>
  <c r="CM71" i="20"/>
  <c r="CJ71" i="20"/>
  <c r="CI71" i="20"/>
  <c r="BH71" i="20"/>
  <c r="CF71" i="20"/>
  <c r="CE71" i="20"/>
  <c r="CG71" i="20"/>
  <c r="CH71" i="20"/>
  <c r="CD71" i="20"/>
  <c r="AY71" i="20"/>
  <c r="BC71" i="20"/>
  <c r="CA71" i="20"/>
  <c r="BZ71" i="20"/>
  <c r="CB71" i="20"/>
  <c r="CC71" i="20"/>
  <c r="BY71" i="20"/>
  <c r="BB71" i="20"/>
  <c r="BU71" i="20"/>
  <c r="BT71" i="20"/>
  <c r="BV71" i="20"/>
  <c r="BW71" i="20"/>
  <c r="BS71" i="20"/>
  <c r="AL71" i="20"/>
  <c r="BG71" i="20"/>
  <c r="BM71" i="20"/>
  <c r="BN71" i="20"/>
  <c r="BO71" i="20"/>
  <c r="BP71" i="20"/>
  <c r="BL71" i="20"/>
  <c r="BK71" i="20"/>
  <c r="BJ71" i="20"/>
  <c r="BI71" i="20"/>
  <c r="AX71" i="20"/>
  <c r="BA71" i="20"/>
  <c r="BD71" i="20"/>
  <c r="BF71" i="20"/>
  <c r="AT71" i="20"/>
  <c r="AS71" i="20"/>
  <c r="AR71" i="20"/>
  <c r="AQ71" i="20"/>
  <c r="AO71" i="20"/>
  <c r="AC71" i="20"/>
  <c r="AA71" i="20"/>
  <c r="Z71" i="20"/>
  <c r="U71" i="20"/>
  <c r="R71" i="20"/>
  <c r="P71" i="20"/>
  <c r="O71" i="20"/>
  <c r="N71" i="20"/>
  <c r="M71" i="20"/>
  <c r="K71" i="20"/>
  <c r="J71" i="20"/>
  <c r="I71" i="20"/>
  <c r="H71" i="20"/>
  <c r="F71" i="20"/>
  <c r="E71" i="20"/>
  <c r="D71" i="20"/>
  <c r="C71" i="20"/>
  <c r="A71" i="20"/>
  <c r="B70" i="20"/>
  <c r="G70" i="20"/>
  <c r="EH70" i="20"/>
  <c r="EG70" i="20"/>
  <c r="EF70" i="20"/>
  <c r="DW70" i="20"/>
  <c r="CW70" i="20"/>
  <c r="ED70" i="20"/>
  <c r="EC70" i="20"/>
  <c r="EB70" i="20"/>
  <c r="EA70" i="20"/>
  <c r="DZ70" i="20"/>
  <c r="DY70" i="20"/>
  <c r="DX70" i="20"/>
  <c r="DV70" i="20"/>
  <c r="DU70" i="20"/>
  <c r="DT70" i="20"/>
  <c r="L70" i="20"/>
  <c r="DS70" i="20"/>
  <c r="DR70" i="20"/>
  <c r="AH70" i="20"/>
  <c r="AI70" i="20"/>
  <c r="AJ70" i="20"/>
  <c r="AK70" i="20"/>
  <c r="DP70" i="20"/>
  <c r="AG70" i="20"/>
  <c r="DQ70" i="20"/>
  <c r="DO70" i="20"/>
  <c r="DN70" i="20"/>
  <c r="DC70" i="20"/>
  <c r="DD70" i="20"/>
  <c r="DE70" i="20"/>
  <c r="DF70" i="20"/>
  <c r="DG70" i="20"/>
  <c r="DH70" i="20"/>
  <c r="DI70" i="20"/>
  <c r="DJ70" i="20"/>
  <c r="DK70" i="20"/>
  <c r="DL70" i="20"/>
  <c r="DM70" i="20"/>
  <c r="DB70" i="20"/>
  <c r="DA70" i="20"/>
  <c r="CZ70" i="20"/>
  <c r="CY70" i="20"/>
  <c r="CX70" i="20"/>
  <c r="CV70" i="20"/>
  <c r="CU70" i="20"/>
  <c r="CT70" i="20"/>
  <c r="CS70" i="20"/>
  <c r="CR70" i="20"/>
  <c r="S70" i="20"/>
  <c r="X70" i="20"/>
  <c r="V70" i="20"/>
  <c r="W70" i="20"/>
  <c r="Y70" i="20"/>
  <c r="AF70" i="20"/>
  <c r="AZ70" i="20"/>
  <c r="BE70" i="20"/>
  <c r="CO70" i="20"/>
  <c r="CN70" i="20"/>
  <c r="CP70" i="20"/>
  <c r="CQ70" i="20"/>
  <c r="T70" i="20"/>
  <c r="CM70" i="20"/>
  <c r="CJ70" i="20"/>
  <c r="CI70" i="20"/>
  <c r="BH70" i="20"/>
  <c r="CF70" i="20"/>
  <c r="CE70" i="20"/>
  <c r="CG70" i="20"/>
  <c r="CH70" i="20"/>
  <c r="CD70" i="20"/>
  <c r="AY70" i="20"/>
  <c r="BC70" i="20"/>
  <c r="CA70" i="20"/>
  <c r="BZ70" i="20"/>
  <c r="CB70" i="20"/>
  <c r="CC70" i="20"/>
  <c r="BY70" i="20"/>
  <c r="BB70" i="20"/>
  <c r="BU70" i="20"/>
  <c r="BT70" i="20"/>
  <c r="BV70" i="20"/>
  <c r="BW70" i="20"/>
  <c r="BS70" i="20"/>
  <c r="AL70" i="20"/>
  <c r="BG70" i="20"/>
  <c r="BM70" i="20"/>
  <c r="BN70" i="20"/>
  <c r="BO70" i="20"/>
  <c r="BP70" i="20"/>
  <c r="BL70" i="20"/>
  <c r="BK70" i="20"/>
  <c r="BJ70" i="20"/>
  <c r="BI70" i="20"/>
  <c r="AX70" i="20"/>
  <c r="BA70" i="20"/>
  <c r="BD70" i="20"/>
  <c r="BF70" i="20"/>
  <c r="AT70" i="20"/>
  <c r="AS70" i="20"/>
  <c r="AR70" i="20"/>
  <c r="AQ70" i="20"/>
  <c r="AO70" i="20"/>
  <c r="AC70" i="20"/>
  <c r="AA70" i="20"/>
  <c r="Z70" i="20"/>
  <c r="U70" i="20"/>
  <c r="R70" i="20"/>
  <c r="P70" i="20"/>
  <c r="O70" i="20"/>
  <c r="N70" i="20"/>
  <c r="M70" i="20"/>
  <c r="K70" i="20"/>
  <c r="J70" i="20"/>
  <c r="I70" i="20"/>
  <c r="H70" i="20"/>
  <c r="F70" i="20"/>
  <c r="E70" i="20"/>
  <c r="D70" i="20"/>
  <c r="C70" i="20"/>
  <c r="A70" i="20"/>
  <c r="B69" i="20"/>
  <c r="G69" i="20"/>
  <c r="EH69" i="20"/>
  <c r="EG69" i="20"/>
  <c r="EF69" i="20"/>
  <c r="DW69" i="20"/>
  <c r="CW69" i="20"/>
  <c r="ED69" i="20"/>
  <c r="EC69" i="20"/>
  <c r="EB69" i="20"/>
  <c r="EA69" i="20"/>
  <c r="DZ69" i="20"/>
  <c r="DY69" i="20"/>
  <c r="DX69" i="20"/>
  <c r="DV69" i="20"/>
  <c r="DU69" i="20"/>
  <c r="DT69" i="20"/>
  <c r="L69" i="20"/>
  <c r="DS69" i="20"/>
  <c r="DR69" i="20"/>
  <c r="AH69" i="20"/>
  <c r="AI69" i="20"/>
  <c r="AJ69" i="20"/>
  <c r="AK69" i="20"/>
  <c r="DP69" i="20"/>
  <c r="AG69" i="20"/>
  <c r="DQ69" i="20"/>
  <c r="DO69" i="20"/>
  <c r="DN69" i="20"/>
  <c r="DC69" i="20"/>
  <c r="DD69" i="20"/>
  <c r="DE69" i="20"/>
  <c r="DF69" i="20"/>
  <c r="DG69" i="20"/>
  <c r="DH69" i="20"/>
  <c r="DI69" i="20"/>
  <c r="DJ69" i="20"/>
  <c r="DK69" i="20"/>
  <c r="DL69" i="20"/>
  <c r="DM69" i="20"/>
  <c r="DB69" i="20"/>
  <c r="DA69" i="20"/>
  <c r="CZ69" i="20"/>
  <c r="CY69" i="20"/>
  <c r="CX69" i="20"/>
  <c r="CV69" i="20"/>
  <c r="CU69" i="20"/>
  <c r="CT69" i="20"/>
  <c r="CS69" i="20"/>
  <c r="CR69" i="20"/>
  <c r="S69" i="20"/>
  <c r="X69" i="20"/>
  <c r="V69" i="20"/>
  <c r="W69" i="20"/>
  <c r="Y69" i="20"/>
  <c r="AF69" i="20"/>
  <c r="AZ69" i="20"/>
  <c r="BE69" i="20"/>
  <c r="CO69" i="20"/>
  <c r="CN69" i="20"/>
  <c r="CP69" i="20"/>
  <c r="CQ69" i="20"/>
  <c r="T69" i="20"/>
  <c r="CM69" i="20"/>
  <c r="CJ69" i="20"/>
  <c r="CI69" i="20"/>
  <c r="BH69" i="20"/>
  <c r="CF69" i="20"/>
  <c r="CE69" i="20"/>
  <c r="CG69" i="20"/>
  <c r="CH69" i="20"/>
  <c r="CD69" i="20"/>
  <c r="AY69" i="20"/>
  <c r="BC69" i="20"/>
  <c r="CA69" i="20"/>
  <c r="BZ69" i="20"/>
  <c r="CB69" i="20"/>
  <c r="CC69" i="20"/>
  <c r="BY69" i="20"/>
  <c r="BB69" i="20"/>
  <c r="BU69" i="20"/>
  <c r="BT69" i="20"/>
  <c r="BV69" i="20"/>
  <c r="BW69" i="20"/>
  <c r="BS69" i="20"/>
  <c r="AL69" i="20"/>
  <c r="BG69" i="20"/>
  <c r="BM69" i="20"/>
  <c r="BN69" i="20"/>
  <c r="BO69" i="20"/>
  <c r="BP69" i="20"/>
  <c r="BL69" i="20"/>
  <c r="BK69" i="20"/>
  <c r="BJ69" i="20"/>
  <c r="BI69" i="20"/>
  <c r="AX69" i="20"/>
  <c r="BA69" i="20"/>
  <c r="BD69" i="20"/>
  <c r="BF69" i="20"/>
  <c r="AT69" i="20"/>
  <c r="AS69" i="20"/>
  <c r="AR69" i="20"/>
  <c r="AQ69" i="20"/>
  <c r="AO69" i="20"/>
  <c r="AC69" i="20"/>
  <c r="AA69" i="20"/>
  <c r="Z69" i="20"/>
  <c r="U69" i="20"/>
  <c r="R69" i="20"/>
  <c r="P69" i="20"/>
  <c r="O69" i="20"/>
  <c r="N69" i="20"/>
  <c r="M69" i="20"/>
  <c r="K69" i="20"/>
  <c r="J69" i="20"/>
  <c r="I69" i="20"/>
  <c r="H69" i="20"/>
  <c r="F69" i="20"/>
  <c r="E69" i="20"/>
  <c r="D69" i="20"/>
  <c r="C69" i="20"/>
  <c r="A69" i="20"/>
  <c r="B68" i="20"/>
  <c r="G68" i="20"/>
  <c r="EH68" i="20"/>
  <c r="EG68" i="20"/>
  <c r="EF68" i="20"/>
  <c r="DW68" i="20"/>
  <c r="CW68" i="20"/>
  <c r="ED68" i="20"/>
  <c r="EC68" i="20"/>
  <c r="EB68" i="20"/>
  <c r="EA68" i="20"/>
  <c r="DZ68" i="20"/>
  <c r="DY68" i="20"/>
  <c r="DX68" i="20"/>
  <c r="DV68" i="20"/>
  <c r="DU68" i="20"/>
  <c r="DT68" i="20"/>
  <c r="L68" i="20"/>
  <c r="DS68" i="20"/>
  <c r="DR68" i="20"/>
  <c r="AH68" i="20"/>
  <c r="AI68" i="20"/>
  <c r="AJ68" i="20"/>
  <c r="AK68" i="20"/>
  <c r="DP68" i="20"/>
  <c r="AG68" i="20"/>
  <c r="DQ68" i="20"/>
  <c r="DO68" i="20"/>
  <c r="DN68" i="20"/>
  <c r="DC68" i="20"/>
  <c r="DD68" i="20"/>
  <c r="DE68" i="20"/>
  <c r="DF68" i="20"/>
  <c r="DG68" i="20"/>
  <c r="DH68" i="20"/>
  <c r="DI68" i="20"/>
  <c r="DJ68" i="20"/>
  <c r="DK68" i="20"/>
  <c r="DL68" i="20"/>
  <c r="DM68" i="20"/>
  <c r="DB68" i="20"/>
  <c r="DA68" i="20"/>
  <c r="CZ68" i="20"/>
  <c r="CY68" i="20"/>
  <c r="CX68" i="20"/>
  <c r="CV68" i="20"/>
  <c r="CU68" i="20"/>
  <c r="CT68" i="20"/>
  <c r="CS68" i="20"/>
  <c r="CR68" i="20"/>
  <c r="S68" i="20"/>
  <c r="X68" i="20"/>
  <c r="V68" i="20"/>
  <c r="W68" i="20"/>
  <c r="Y68" i="20"/>
  <c r="AF68" i="20"/>
  <c r="AZ68" i="20"/>
  <c r="BE68" i="20"/>
  <c r="CO68" i="20"/>
  <c r="CN68" i="20"/>
  <c r="CP68" i="20"/>
  <c r="CQ68" i="20"/>
  <c r="T68" i="20"/>
  <c r="CM68" i="20"/>
  <c r="CJ68" i="20"/>
  <c r="CI68" i="20"/>
  <c r="BH68" i="20"/>
  <c r="CF68" i="20"/>
  <c r="CE68" i="20"/>
  <c r="CG68" i="20"/>
  <c r="CH68" i="20"/>
  <c r="CD68" i="20"/>
  <c r="AY68" i="20"/>
  <c r="BC68" i="20"/>
  <c r="CA68" i="20"/>
  <c r="BZ68" i="20"/>
  <c r="CB68" i="20"/>
  <c r="CC68" i="20"/>
  <c r="BY68" i="20"/>
  <c r="BB68" i="20"/>
  <c r="BU68" i="20"/>
  <c r="BT68" i="20"/>
  <c r="BV68" i="20"/>
  <c r="BW68" i="20"/>
  <c r="BS68" i="20"/>
  <c r="AL68" i="20"/>
  <c r="BG68" i="20"/>
  <c r="BM68" i="20"/>
  <c r="BN68" i="20"/>
  <c r="BO68" i="20"/>
  <c r="BP68" i="20"/>
  <c r="BL68" i="20"/>
  <c r="BK68" i="20"/>
  <c r="BJ68" i="20"/>
  <c r="BI68" i="20"/>
  <c r="AX68" i="20"/>
  <c r="BA68" i="20"/>
  <c r="BD68" i="20"/>
  <c r="BF68" i="20"/>
  <c r="AT68" i="20"/>
  <c r="AS68" i="20"/>
  <c r="AR68" i="20"/>
  <c r="AQ68" i="20"/>
  <c r="AO68" i="20"/>
  <c r="AC68" i="20"/>
  <c r="AA68" i="20"/>
  <c r="Z68" i="20"/>
  <c r="U68" i="20"/>
  <c r="R68" i="20"/>
  <c r="P68" i="20"/>
  <c r="O68" i="20"/>
  <c r="N68" i="20"/>
  <c r="M68" i="20"/>
  <c r="K68" i="20"/>
  <c r="J68" i="20"/>
  <c r="I68" i="20"/>
  <c r="H68" i="20"/>
  <c r="F68" i="20"/>
  <c r="E68" i="20"/>
  <c r="D68" i="20"/>
  <c r="C68" i="20"/>
  <c r="A68" i="20"/>
  <c r="B67" i="20"/>
  <c r="G67" i="20"/>
  <c r="EH67" i="20"/>
  <c r="EG67" i="20"/>
  <c r="EF67" i="20"/>
  <c r="DW67" i="20"/>
  <c r="CW67" i="20"/>
  <c r="ED67" i="20"/>
  <c r="EC67" i="20"/>
  <c r="EB67" i="20"/>
  <c r="EA67" i="20"/>
  <c r="DZ67" i="20"/>
  <c r="DY67" i="20"/>
  <c r="DX67" i="20"/>
  <c r="DV67" i="20"/>
  <c r="DU67" i="20"/>
  <c r="DT67" i="20"/>
  <c r="L67" i="20"/>
  <c r="DS67" i="20"/>
  <c r="DR67" i="20"/>
  <c r="AH67" i="20"/>
  <c r="AI67" i="20"/>
  <c r="AJ67" i="20"/>
  <c r="AK67" i="20"/>
  <c r="DP67" i="20"/>
  <c r="AG67" i="20"/>
  <c r="DQ67" i="20"/>
  <c r="DO67" i="20"/>
  <c r="DN67" i="20"/>
  <c r="DC67" i="20"/>
  <c r="DD67" i="20"/>
  <c r="DE67" i="20"/>
  <c r="DF67" i="20"/>
  <c r="DG67" i="20"/>
  <c r="DH67" i="20"/>
  <c r="DI67" i="20"/>
  <c r="DJ67" i="20"/>
  <c r="DK67" i="20"/>
  <c r="DL67" i="20"/>
  <c r="DM67" i="20"/>
  <c r="DB67" i="20"/>
  <c r="DA67" i="20"/>
  <c r="CZ67" i="20"/>
  <c r="CY67" i="20"/>
  <c r="CX67" i="20"/>
  <c r="CV67" i="20"/>
  <c r="CU67" i="20"/>
  <c r="CT67" i="20"/>
  <c r="CS67" i="20"/>
  <c r="CR67" i="20"/>
  <c r="S67" i="20"/>
  <c r="X67" i="20"/>
  <c r="V67" i="20"/>
  <c r="W67" i="20"/>
  <c r="Y67" i="20"/>
  <c r="AF67" i="20"/>
  <c r="AZ67" i="20"/>
  <c r="BE67" i="20"/>
  <c r="CO67" i="20"/>
  <c r="CN67" i="20"/>
  <c r="CP67" i="20"/>
  <c r="CQ67" i="20"/>
  <c r="T67" i="20"/>
  <c r="CM67" i="20"/>
  <c r="CJ67" i="20"/>
  <c r="CI67" i="20"/>
  <c r="BH67" i="20"/>
  <c r="CF67" i="20"/>
  <c r="CE67" i="20"/>
  <c r="CG67" i="20"/>
  <c r="CH67" i="20"/>
  <c r="CD67" i="20"/>
  <c r="AY67" i="20"/>
  <c r="BC67" i="20"/>
  <c r="CA67" i="20"/>
  <c r="BZ67" i="20"/>
  <c r="CB67" i="20"/>
  <c r="CC67" i="20"/>
  <c r="BY67" i="20"/>
  <c r="BB67" i="20"/>
  <c r="BU67" i="20"/>
  <c r="BT67" i="20"/>
  <c r="BV67" i="20"/>
  <c r="BW67" i="20"/>
  <c r="BS67" i="20"/>
  <c r="AL67" i="20"/>
  <c r="BG67" i="20"/>
  <c r="BM67" i="20"/>
  <c r="BN67" i="20"/>
  <c r="BO67" i="20"/>
  <c r="BP67" i="20"/>
  <c r="BL67" i="20"/>
  <c r="BK67" i="20"/>
  <c r="BJ67" i="20"/>
  <c r="BI67" i="20"/>
  <c r="AX67" i="20"/>
  <c r="BA67" i="20"/>
  <c r="BD67" i="20"/>
  <c r="BF67" i="20"/>
  <c r="AT67" i="20"/>
  <c r="AS67" i="20"/>
  <c r="AR67" i="20"/>
  <c r="AQ67" i="20"/>
  <c r="AO67" i="20"/>
  <c r="AC67" i="20"/>
  <c r="AA67" i="20"/>
  <c r="Z67" i="20"/>
  <c r="U67" i="20"/>
  <c r="R67" i="20"/>
  <c r="P67" i="20"/>
  <c r="O67" i="20"/>
  <c r="N67" i="20"/>
  <c r="M67" i="20"/>
  <c r="K67" i="20"/>
  <c r="J67" i="20"/>
  <c r="I67" i="20"/>
  <c r="H67" i="20"/>
  <c r="F67" i="20"/>
  <c r="E67" i="20"/>
  <c r="D67" i="20"/>
  <c r="C67" i="20"/>
  <c r="A67" i="20"/>
  <c r="B66" i="20"/>
  <c r="G66" i="20"/>
  <c r="EH66" i="20"/>
  <c r="EG66" i="20"/>
  <c r="EF66" i="20"/>
  <c r="DW66" i="20"/>
  <c r="CW66" i="20"/>
  <c r="ED66" i="20"/>
  <c r="EC66" i="20"/>
  <c r="EB66" i="20"/>
  <c r="EA66" i="20"/>
  <c r="DZ66" i="20"/>
  <c r="DY66" i="20"/>
  <c r="DX66" i="20"/>
  <c r="DV66" i="20"/>
  <c r="DU66" i="20"/>
  <c r="DT66" i="20"/>
  <c r="L66" i="20"/>
  <c r="DS66" i="20"/>
  <c r="DR66" i="20"/>
  <c r="AH66" i="20"/>
  <c r="AI66" i="20"/>
  <c r="AJ66" i="20"/>
  <c r="AK66" i="20"/>
  <c r="DP66" i="20"/>
  <c r="AG66" i="20"/>
  <c r="DQ66" i="20"/>
  <c r="DO66" i="20"/>
  <c r="DN66" i="20"/>
  <c r="DC66" i="20"/>
  <c r="DD66" i="20"/>
  <c r="DE66" i="20"/>
  <c r="DF66" i="20"/>
  <c r="DG66" i="20"/>
  <c r="DH66" i="20"/>
  <c r="DI66" i="20"/>
  <c r="DJ66" i="20"/>
  <c r="DK66" i="20"/>
  <c r="DL66" i="20"/>
  <c r="DM66" i="20"/>
  <c r="DB66" i="20"/>
  <c r="DA66" i="20"/>
  <c r="CZ66" i="20"/>
  <c r="CY66" i="20"/>
  <c r="CX66" i="20"/>
  <c r="CV66" i="20"/>
  <c r="CU66" i="20"/>
  <c r="CT66" i="20"/>
  <c r="CS66" i="20"/>
  <c r="CR66" i="20"/>
  <c r="S66" i="20"/>
  <c r="X66" i="20"/>
  <c r="V66" i="20"/>
  <c r="W66" i="20"/>
  <c r="Y66" i="20"/>
  <c r="AF66" i="20"/>
  <c r="AZ66" i="20"/>
  <c r="BE66" i="20"/>
  <c r="CO66" i="20"/>
  <c r="CN66" i="20"/>
  <c r="CP66" i="20"/>
  <c r="CQ66" i="20"/>
  <c r="T66" i="20"/>
  <c r="CM66" i="20"/>
  <c r="CJ66" i="20"/>
  <c r="CI66" i="20"/>
  <c r="BH66" i="20"/>
  <c r="CF66" i="20"/>
  <c r="CE66" i="20"/>
  <c r="CG66" i="20"/>
  <c r="CH66" i="20"/>
  <c r="CD66" i="20"/>
  <c r="AY66" i="20"/>
  <c r="BC66" i="20"/>
  <c r="CA66" i="20"/>
  <c r="BZ66" i="20"/>
  <c r="CB66" i="20"/>
  <c r="CC66" i="20"/>
  <c r="BY66" i="20"/>
  <c r="BB66" i="20"/>
  <c r="BU66" i="20"/>
  <c r="BT66" i="20"/>
  <c r="BV66" i="20"/>
  <c r="BW66" i="20"/>
  <c r="BS66" i="20"/>
  <c r="AL66" i="20"/>
  <c r="BG66" i="20"/>
  <c r="BM66" i="20"/>
  <c r="BN66" i="20"/>
  <c r="BO66" i="20"/>
  <c r="BP66" i="20"/>
  <c r="BL66" i="20"/>
  <c r="BK66" i="20"/>
  <c r="BJ66" i="20"/>
  <c r="BI66" i="20"/>
  <c r="AX66" i="20"/>
  <c r="BA66" i="20"/>
  <c r="BD66" i="20"/>
  <c r="BF66" i="20"/>
  <c r="AT66" i="20"/>
  <c r="AS66" i="20"/>
  <c r="AR66" i="20"/>
  <c r="AQ66" i="20"/>
  <c r="AO66" i="20"/>
  <c r="AC66" i="20"/>
  <c r="AA66" i="20"/>
  <c r="Z66" i="20"/>
  <c r="U66" i="20"/>
  <c r="R66" i="20"/>
  <c r="P66" i="20"/>
  <c r="O66" i="20"/>
  <c r="N66" i="20"/>
  <c r="M66" i="20"/>
  <c r="K66" i="20"/>
  <c r="J66" i="20"/>
  <c r="I66" i="20"/>
  <c r="H66" i="20"/>
  <c r="F66" i="20"/>
  <c r="E66" i="20"/>
  <c r="D66" i="20"/>
  <c r="C66" i="20"/>
  <c r="A66" i="20"/>
  <c r="B65" i="20"/>
  <c r="G65" i="20"/>
  <c r="EH65" i="20"/>
  <c r="EG65" i="20"/>
  <c r="EF65" i="20"/>
  <c r="DW65" i="20"/>
  <c r="CW65" i="20"/>
  <c r="ED65" i="20"/>
  <c r="EC65" i="20"/>
  <c r="EB65" i="20"/>
  <c r="EA65" i="20"/>
  <c r="DZ65" i="20"/>
  <c r="DY65" i="20"/>
  <c r="DX65" i="20"/>
  <c r="DV65" i="20"/>
  <c r="DU65" i="20"/>
  <c r="DT65" i="20"/>
  <c r="L65" i="20"/>
  <c r="DS65" i="20"/>
  <c r="DR65" i="20"/>
  <c r="AH65" i="20"/>
  <c r="AI65" i="20"/>
  <c r="AJ65" i="20"/>
  <c r="AK65" i="20"/>
  <c r="DP65" i="20"/>
  <c r="AG65" i="20"/>
  <c r="DQ65" i="20"/>
  <c r="DO65" i="20"/>
  <c r="DN65" i="20"/>
  <c r="DC65" i="20"/>
  <c r="DD65" i="20"/>
  <c r="DE65" i="20"/>
  <c r="DF65" i="20"/>
  <c r="DG65" i="20"/>
  <c r="DH65" i="20"/>
  <c r="DI65" i="20"/>
  <c r="DJ65" i="20"/>
  <c r="DK65" i="20"/>
  <c r="DL65" i="20"/>
  <c r="DM65" i="20"/>
  <c r="DB65" i="20"/>
  <c r="DA65" i="20"/>
  <c r="CZ65" i="20"/>
  <c r="CY65" i="20"/>
  <c r="CX65" i="20"/>
  <c r="CV65" i="20"/>
  <c r="CU65" i="20"/>
  <c r="CT65" i="20"/>
  <c r="CS65" i="20"/>
  <c r="CR65" i="20"/>
  <c r="S65" i="20"/>
  <c r="X65" i="20"/>
  <c r="V65" i="20"/>
  <c r="W65" i="20"/>
  <c r="Y65" i="20"/>
  <c r="AF65" i="20"/>
  <c r="AZ65" i="20"/>
  <c r="BE65" i="20"/>
  <c r="CO65" i="20"/>
  <c r="CN65" i="20"/>
  <c r="CP65" i="20"/>
  <c r="CQ65" i="20"/>
  <c r="T65" i="20"/>
  <c r="CM65" i="20"/>
  <c r="CJ65" i="20"/>
  <c r="CI65" i="20"/>
  <c r="BH65" i="20"/>
  <c r="CF65" i="20"/>
  <c r="CE65" i="20"/>
  <c r="CG65" i="20"/>
  <c r="CH65" i="20"/>
  <c r="CD65" i="20"/>
  <c r="AY65" i="20"/>
  <c r="BC65" i="20"/>
  <c r="CA65" i="20"/>
  <c r="BZ65" i="20"/>
  <c r="CB65" i="20"/>
  <c r="CC65" i="20"/>
  <c r="BY65" i="20"/>
  <c r="BB65" i="20"/>
  <c r="BU65" i="20"/>
  <c r="BT65" i="20"/>
  <c r="BV65" i="20"/>
  <c r="BW65" i="20"/>
  <c r="BS65" i="20"/>
  <c r="AL65" i="20"/>
  <c r="BG65" i="20"/>
  <c r="BM65" i="20"/>
  <c r="BN65" i="20"/>
  <c r="BO65" i="20"/>
  <c r="BP65" i="20"/>
  <c r="BL65" i="20"/>
  <c r="BK65" i="20"/>
  <c r="BJ65" i="20"/>
  <c r="BI65" i="20"/>
  <c r="AX65" i="20"/>
  <c r="BA65" i="20"/>
  <c r="BD65" i="20"/>
  <c r="BF65" i="20"/>
  <c r="AT65" i="20"/>
  <c r="AS65" i="20"/>
  <c r="AR65" i="20"/>
  <c r="AQ65" i="20"/>
  <c r="AO65" i="20"/>
  <c r="AC65" i="20"/>
  <c r="AA65" i="20"/>
  <c r="Z65" i="20"/>
  <c r="U65" i="20"/>
  <c r="R65" i="20"/>
  <c r="P65" i="20"/>
  <c r="O65" i="20"/>
  <c r="N65" i="20"/>
  <c r="M65" i="20"/>
  <c r="K65" i="20"/>
  <c r="J65" i="20"/>
  <c r="I65" i="20"/>
  <c r="H65" i="20"/>
  <c r="F65" i="20"/>
  <c r="E65" i="20"/>
  <c r="D65" i="20"/>
  <c r="C65" i="20"/>
  <c r="A65" i="20"/>
  <c r="B64" i="20"/>
  <c r="G64" i="20"/>
  <c r="EH64" i="20"/>
  <c r="EG64" i="20"/>
  <c r="EF64" i="20"/>
  <c r="DW64" i="20"/>
  <c r="CW64" i="20"/>
  <c r="ED64" i="20"/>
  <c r="EC64" i="20"/>
  <c r="EB64" i="20"/>
  <c r="EA64" i="20"/>
  <c r="DZ64" i="20"/>
  <c r="DY64" i="20"/>
  <c r="DX64" i="20"/>
  <c r="DV64" i="20"/>
  <c r="DU64" i="20"/>
  <c r="DT64" i="20"/>
  <c r="L64" i="20"/>
  <c r="DS64" i="20"/>
  <c r="DR64" i="20"/>
  <c r="AH64" i="20"/>
  <c r="AI64" i="20"/>
  <c r="AJ64" i="20"/>
  <c r="AK64" i="20"/>
  <c r="DP64" i="20"/>
  <c r="AG64" i="20"/>
  <c r="DQ64" i="20"/>
  <c r="DO64" i="20"/>
  <c r="DN64" i="20"/>
  <c r="DC64" i="20"/>
  <c r="DD64" i="20"/>
  <c r="DE64" i="20"/>
  <c r="DF64" i="20"/>
  <c r="DG64" i="20"/>
  <c r="DH64" i="20"/>
  <c r="DI64" i="20"/>
  <c r="DJ64" i="20"/>
  <c r="DK64" i="20"/>
  <c r="DL64" i="20"/>
  <c r="DM64" i="20"/>
  <c r="DB64" i="20"/>
  <c r="DA64" i="20"/>
  <c r="CZ64" i="20"/>
  <c r="CY64" i="20"/>
  <c r="CX64" i="20"/>
  <c r="CV64" i="20"/>
  <c r="CU64" i="20"/>
  <c r="CT64" i="20"/>
  <c r="CS64" i="20"/>
  <c r="CR64" i="20"/>
  <c r="S64" i="20"/>
  <c r="X64" i="20"/>
  <c r="V64" i="20"/>
  <c r="W64" i="20"/>
  <c r="Y64" i="20"/>
  <c r="AF64" i="20"/>
  <c r="AZ64" i="20"/>
  <c r="BE64" i="20"/>
  <c r="CO64" i="20"/>
  <c r="CN64" i="20"/>
  <c r="CP64" i="20"/>
  <c r="CQ64" i="20"/>
  <c r="T64" i="20"/>
  <c r="CM64" i="20"/>
  <c r="CJ64" i="20"/>
  <c r="CI64" i="20"/>
  <c r="BH64" i="20"/>
  <c r="CF64" i="20"/>
  <c r="CE64" i="20"/>
  <c r="CG64" i="20"/>
  <c r="CH64" i="20"/>
  <c r="CD64" i="20"/>
  <c r="AY64" i="20"/>
  <c r="BC64" i="20"/>
  <c r="CA64" i="20"/>
  <c r="BZ64" i="20"/>
  <c r="CB64" i="20"/>
  <c r="CC64" i="20"/>
  <c r="BY64" i="20"/>
  <c r="BB64" i="20"/>
  <c r="BU64" i="20"/>
  <c r="BT64" i="20"/>
  <c r="BV64" i="20"/>
  <c r="BW64" i="20"/>
  <c r="BS64" i="20"/>
  <c r="AL64" i="20"/>
  <c r="BG64" i="20"/>
  <c r="BM64" i="20"/>
  <c r="BN64" i="20"/>
  <c r="BO64" i="20"/>
  <c r="BP64" i="20"/>
  <c r="BL64" i="20"/>
  <c r="BK64" i="20"/>
  <c r="BJ64" i="20"/>
  <c r="BI64" i="20"/>
  <c r="AX64" i="20"/>
  <c r="BA64" i="20"/>
  <c r="BD64" i="20"/>
  <c r="BF64" i="20"/>
  <c r="AT64" i="20"/>
  <c r="AS64" i="20"/>
  <c r="AR64" i="20"/>
  <c r="AQ64" i="20"/>
  <c r="AO64" i="20"/>
  <c r="AC64" i="20"/>
  <c r="AA64" i="20"/>
  <c r="Z64" i="20"/>
  <c r="U64" i="20"/>
  <c r="R64" i="20"/>
  <c r="P64" i="20"/>
  <c r="O64" i="20"/>
  <c r="N64" i="20"/>
  <c r="M64" i="20"/>
  <c r="K64" i="20"/>
  <c r="J64" i="20"/>
  <c r="I64" i="20"/>
  <c r="H64" i="20"/>
  <c r="F64" i="20"/>
  <c r="E64" i="20"/>
  <c r="D64" i="20"/>
  <c r="C64" i="20"/>
  <c r="A64" i="20"/>
  <c r="B63" i="20"/>
  <c r="G63" i="20"/>
  <c r="EH63" i="20"/>
  <c r="EG63" i="20"/>
  <c r="EF63" i="20"/>
  <c r="DW63" i="20"/>
  <c r="CW63" i="20"/>
  <c r="ED63" i="20"/>
  <c r="EC63" i="20"/>
  <c r="EB63" i="20"/>
  <c r="EA63" i="20"/>
  <c r="DZ63" i="20"/>
  <c r="DY63" i="20"/>
  <c r="DX63" i="20"/>
  <c r="DV63" i="20"/>
  <c r="DU63" i="20"/>
  <c r="DT63" i="20"/>
  <c r="L63" i="20"/>
  <c r="DS63" i="20"/>
  <c r="DR63" i="20"/>
  <c r="AH63" i="20"/>
  <c r="AI63" i="20"/>
  <c r="AJ63" i="20"/>
  <c r="AK63" i="20"/>
  <c r="DP63" i="20"/>
  <c r="AG63" i="20"/>
  <c r="DQ63" i="20"/>
  <c r="DO63" i="20"/>
  <c r="DN63" i="20"/>
  <c r="DC63" i="20"/>
  <c r="DD63" i="20"/>
  <c r="DE63" i="20"/>
  <c r="DF63" i="20"/>
  <c r="DG63" i="20"/>
  <c r="DH63" i="20"/>
  <c r="DI63" i="20"/>
  <c r="DJ63" i="20"/>
  <c r="DK63" i="20"/>
  <c r="DL63" i="20"/>
  <c r="DM63" i="20"/>
  <c r="DB63" i="20"/>
  <c r="DA63" i="20"/>
  <c r="CZ63" i="20"/>
  <c r="CY63" i="20"/>
  <c r="CX63" i="20"/>
  <c r="CV63" i="20"/>
  <c r="CU63" i="20"/>
  <c r="CT63" i="20"/>
  <c r="CS63" i="20"/>
  <c r="CR63" i="20"/>
  <c r="S63" i="20"/>
  <c r="X63" i="20"/>
  <c r="V63" i="20"/>
  <c r="W63" i="20"/>
  <c r="Y63" i="20"/>
  <c r="AF63" i="20"/>
  <c r="AZ63" i="20"/>
  <c r="BE63" i="20"/>
  <c r="CO63" i="20"/>
  <c r="CN63" i="20"/>
  <c r="CP63" i="20"/>
  <c r="CQ63" i="20"/>
  <c r="T63" i="20"/>
  <c r="CM63" i="20"/>
  <c r="CJ63" i="20"/>
  <c r="CI63" i="20"/>
  <c r="BH63" i="20"/>
  <c r="CF63" i="20"/>
  <c r="CE63" i="20"/>
  <c r="CG63" i="20"/>
  <c r="CH63" i="20"/>
  <c r="CD63" i="20"/>
  <c r="AY63" i="20"/>
  <c r="BC63" i="20"/>
  <c r="CA63" i="20"/>
  <c r="BZ63" i="20"/>
  <c r="CB63" i="20"/>
  <c r="CC63" i="20"/>
  <c r="BY63" i="20"/>
  <c r="BB63" i="20"/>
  <c r="BU63" i="20"/>
  <c r="BT63" i="20"/>
  <c r="BV63" i="20"/>
  <c r="BW63" i="20"/>
  <c r="BS63" i="20"/>
  <c r="AL63" i="20"/>
  <c r="BG63" i="20"/>
  <c r="BM63" i="20"/>
  <c r="BN63" i="20"/>
  <c r="BO63" i="20"/>
  <c r="BP63" i="20"/>
  <c r="BL63" i="20"/>
  <c r="BK63" i="20"/>
  <c r="BJ63" i="20"/>
  <c r="BI63" i="20"/>
  <c r="AX63" i="20"/>
  <c r="BA63" i="20"/>
  <c r="BD63" i="20"/>
  <c r="BF63" i="20"/>
  <c r="AT63" i="20"/>
  <c r="AS63" i="20"/>
  <c r="AR63" i="20"/>
  <c r="AQ63" i="20"/>
  <c r="AO63" i="20"/>
  <c r="AC63" i="20"/>
  <c r="AA63" i="20"/>
  <c r="Z63" i="20"/>
  <c r="U63" i="20"/>
  <c r="R63" i="20"/>
  <c r="P63" i="20"/>
  <c r="O63" i="20"/>
  <c r="N63" i="20"/>
  <c r="M63" i="20"/>
  <c r="K63" i="20"/>
  <c r="J63" i="20"/>
  <c r="I63" i="20"/>
  <c r="H63" i="20"/>
  <c r="F63" i="20"/>
  <c r="E63" i="20"/>
  <c r="D63" i="20"/>
  <c r="C63" i="20"/>
  <c r="A63" i="20"/>
  <c r="B62" i="20"/>
  <c r="G62" i="20"/>
  <c r="EH62" i="20"/>
  <c r="EG62" i="20"/>
  <c r="EF62" i="20"/>
  <c r="DW62" i="20"/>
  <c r="CW62" i="20"/>
  <c r="ED62" i="20"/>
  <c r="EC62" i="20"/>
  <c r="EB62" i="20"/>
  <c r="EA62" i="20"/>
  <c r="DZ62" i="20"/>
  <c r="DY62" i="20"/>
  <c r="DX62" i="20"/>
  <c r="DV62" i="20"/>
  <c r="DU62" i="20"/>
  <c r="DT62" i="20"/>
  <c r="L62" i="20"/>
  <c r="DS62" i="20"/>
  <c r="DR62" i="20"/>
  <c r="AH62" i="20"/>
  <c r="AI62" i="20"/>
  <c r="AJ62" i="20"/>
  <c r="AK62" i="20"/>
  <c r="DP62" i="20"/>
  <c r="AG62" i="20"/>
  <c r="DQ62" i="20"/>
  <c r="DO62" i="20"/>
  <c r="DN62" i="20"/>
  <c r="DC62" i="20"/>
  <c r="DD62" i="20"/>
  <c r="DE62" i="20"/>
  <c r="DF62" i="20"/>
  <c r="DG62" i="20"/>
  <c r="DH62" i="20"/>
  <c r="DI62" i="20"/>
  <c r="DJ62" i="20"/>
  <c r="DK62" i="20"/>
  <c r="DL62" i="20"/>
  <c r="DM62" i="20"/>
  <c r="DB62" i="20"/>
  <c r="DA62" i="20"/>
  <c r="CZ62" i="20"/>
  <c r="CY62" i="20"/>
  <c r="CX62" i="20"/>
  <c r="CV62" i="20"/>
  <c r="CU62" i="20"/>
  <c r="CT62" i="20"/>
  <c r="CS62" i="20"/>
  <c r="CR62" i="20"/>
  <c r="S62" i="20"/>
  <c r="X62" i="20"/>
  <c r="V62" i="20"/>
  <c r="W62" i="20"/>
  <c r="Y62" i="20"/>
  <c r="AF62" i="20"/>
  <c r="AZ62" i="20"/>
  <c r="BE62" i="20"/>
  <c r="CO62" i="20"/>
  <c r="CN62" i="20"/>
  <c r="CP62" i="20"/>
  <c r="CQ62" i="20"/>
  <c r="T62" i="20"/>
  <c r="CM62" i="20"/>
  <c r="CJ62" i="20"/>
  <c r="CI62" i="20"/>
  <c r="BH62" i="20"/>
  <c r="CF62" i="20"/>
  <c r="CE62" i="20"/>
  <c r="CG62" i="20"/>
  <c r="CH62" i="20"/>
  <c r="CD62" i="20"/>
  <c r="AY62" i="20"/>
  <c r="BC62" i="20"/>
  <c r="CA62" i="20"/>
  <c r="BZ62" i="20"/>
  <c r="CB62" i="20"/>
  <c r="CC62" i="20"/>
  <c r="BY62" i="20"/>
  <c r="BB62" i="20"/>
  <c r="BU62" i="20"/>
  <c r="BT62" i="20"/>
  <c r="BV62" i="20"/>
  <c r="BW62" i="20"/>
  <c r="BS62" i="20"/>
  <c r="AL62" i="20"/>
  <c r="BG62" i="20"/>
  <c r="BM62" i="20"/>
  <c r="BN62" i="20"/>
  <c r="BO62" i="20"/>
  <c r="BP62" i="20"/>
  <c r="BL62" i="20"/>
  <c r="BK62" i="20"/>
  <c r="BJ62" i="20"/>
  <c r="BI62" i="20"/>
  <c r="AX62" i="20"/>
  <c r="BA62" i="20"/>
  <c r="BD62" i="20"/>
  <c r="BF62" i="20"/>
  <c r="AT62" i="20"/>
  <c r="AS62" i="20"/>
  <c r="AR62" i="20"/>
  <c r="AQ62" i="20"/>
  <c r="AO62" i="20"/>
  <c r="AC62" i="20"/>
  <c r="AA62" i="20"/>
  <c r="Z62" i="20"/>
  <c r="U62" i="20"/>
  <c r="R62" i="20"/>
  <c r="P62" i="20"/>
  <c r="O62" i="20"/>
  <c r="N62" i="20"/>
  <c r="M62" i="20"/>
  <c r="K62" i="20"/>
  <c r="J62" i="20"/>
  <c r="I62" i="20"/>
  <c r="H62" i="20"/>
  <c r="F62" i="20"/>
  <c r="E62" i="20"/>
  <c r="D62" i="20"/>
  <c r="C62" i="20"/>
  <c r="A62" i="20"/>
  <c r="B61" i="20"/>
  <c r="G61" i="20"/>
  <c r="EH61" i="20"/>
  <c r="EG61" i="20"/>
  <c r="EF61" i="20"/>
  <c r="DW61" i="20"/>
  <c r="CW61" i="20"/>
  <c r="ED61" i="20"/>
  <c r="EC61" i="20"/>
  <c r="EB61" i="20"/>
  <c r="EA61" i="20"/>
  <c r="DZ61" i="20"/>
  <c r="DY61" i="20"/>
  <c r="DX61" i="20"/>
  <c r="DV61" i="20"/>
  <c r="DU61" i="20"/>
  <c r="DT61" i="20"/>
  <c r="L61" i="20"/>
  <c r="DS61" i="20"/>
  <c r="DR61" i="20"/>
  <c r="AH61" i="20"/>
  <c r="AI61" i="20"/>
  <c r="AJ61" i="20"/>
  <c r="AK61" i="20"/>
  <c r="DP61" i="20"/>
  <c r="AG61" i="20"/>
  <c r="DQ61" i="20"/>
  <c r="DO61" i="20"/>
  <c r="DN61" i="20"/>
  <c r="DC61" i="20"/>
  <c r="DD61" i="20"/>
  <c r="DE61" i="20"/>
  <c r="DF61" i="20"/>
  <c r="DG61" i="20"/>
  <c r="DH61" i="20"/>
  <c r="DI61" i="20"/>
  <c r="DJ61" i="20"/>
  <c r="DK61" i="20"/>
  <c r="DL61" i="20"/>
  <c r="DM61" i="20"/>
  <c r="DB61" i="20"/>
  <c r="DA61" i="20"/>
  <c r="CZ61" i="20"/>
  <c r="CY61" i="20"/>
  <c r="CX61" i="20"/>
  <c r="CV61" i="20"/>
  <c r="CU61" i="20"/>
  <c r="CT61" i="20"/>
  <c r="CS61" i="20"/>
  <c r="CR61" i="20"/>
  <c r="S61" i="20"/>
  <c r="X61" i="20"/>
  <c r="V61" i="20"/>
  <c r="W61" i="20"/>
  <c r="Y61" i="20"/>
  <c r="AF61" i="20"/>
  <c r="AZ61" i="20"/>
  <c r="BE61" i="20"/>
  <c r="CO61" i="20"/>
  <c r="CN61" i="20"/>
  <c r="CP61" i="20"/>
  <c r="CQ61" i="20"/>
  <c r="T61" i="20"/>
  <c r="CM61" i="20"/>
  <c r="CJ61" i="20"/>
  <c r="CI61" i="20"/>
  <c r="BH61" i="20"/>
  <c r="CF61" i="20"/>
  <c r="CE61" i="20"/>
  <c r="CG61" i="20"/>
  <c r="CH61" i="20"/>
  <c r="CD61" i="20"/>
  <c r="AY61" i="20"/>
  <c r="BC61" i="20"/>
  <c r="CA61" i="20"/>
  <c r="BZ61" i="20"/>
  <c r="CB61" i="20"/>
  <c r="CC61" i="20"/>
  <c r="BY61" i="20"/>
  <c r="BB61" i="20"/>
  <c r="BU61" i="20"/>
  <c r="BT61" i="20"/>
  <c r="BV61" i="20"/>
  <c r="BW61" i="20"/>
  <c r="BS61" i="20"/>
  <c r="AL61" i="20"/>
  <c r="BG61" i="20"/>
  <c r="BM61" i="20"/>
  <c r="BN61" i="20"/>
  <c r="BO61" i="20"/>
  <c r="BP61" i="20"/>
  <c r="BL61" i="20"/>
  <c r="BK61" i="20"/>
  <c r="BJ61" i="20"/>
  <c r="BI61" i="20"/>
  <c r="AX61" i="20"/>
  <c r="BA61" i="20"/>
  <c r="BD61" i="20"/>
  <c r="BF61" i="20"/>
  <c r="AT61" i="20"/>
  <c r="AS61" i="20"/>
  <c r="AR61" i="20"/>
  <c r="AQ61" i="20"/>
  <c r="AO61" i="20"/>
  <c r="AC61" i="20"/>
  <c r="AA61" i="20"/>
  <c r="Z61" i="20"/>
  <c r="U61" i="20"/>
  <c r="R61" i="20"/>
  <c r="P61" i="20"/>
  <c r="O61" i="20"/>
  <c r="N61" i="20"/>
  <c r="M61" i="20"/>
  <c r="K61" i="20"/>
  <c r="J61" i="20"/>
  <c r="I61" i="20"/>
  <c r="H61" i="20"/>
  <c r="F61" i="20"/>
  <c r="E61" i="20"/>
  <c r="D61" i="20"/>
  <c r="C61" i="20"/>
  <c r="A61" i="20"/>
  <c r="B60" i="20"/>
  <c r="G60" i="20"/>
  <c r="EH60" i="20"/>
  <c r="EG60" i="20"/>
  <c r="EF60" i="20"/>
  <c r="DW60" i="20"/>
  <c r="CW60" i="20"/>
  <c r="ED60" i="20"/>
  <c r="EC60" i="20"/>
  <c r="EB60" i="20"/>
  <c r="EA60" i="20"/>
  <c r="DZ60" i="20"/>
  <c r="DY60" i="20"/>
  <c r="DX60" i="20"/>
  <c r="DV60" i="20"/>
  <c r="DU60" i="20"/>
  <c r="DT60" i="20"/>
  <c r="L60" i="20"/>
  <c r="DS60" i="20"/>
  <c r="DR60" i="20"/>
  <c r="AH60" i="20"/>
  <c r="AI60" i="20"/>
  <c r="AJ60" i="20"/>
  <c r="AK60" i="20"/>
  <c r="DP60" i="20"/>
  <c r="AG60" i="20"/>
  <c r="DQ60" i="20"/>
  <c r="DO60" i="20"/>
  <c r="DN60" i="20"/>
  <c r="DC60" i="20"/>
  <c r="DD60" i="20"/>
  <c r="DE60" i="20"/>
  <c r="DF60" i="20"/>
  <c r="DG60" i="20"/>
  <c r="DH60" i="20"/>
  <c r="DI60" i="20"/>
  <c r="DJ60" i="20"/>
  <c r="DK60" i="20"/>
  <c r="DL60" i="20"/>
  <c r="DM60" i="20"/>
  <c r="DB60" i="20"/>
  <c r="DA60" i="20"/>
  <c r="CZ60" i="20"/>
  <c r="CY60" i="20"/>
  <c r="CX60" i="20"/>
  <c r="CV60" i="20"/>
  <c r="CU60" i="20"/>
  <c r="CT60" i="20"/>
  <c r="CS60" i="20"/>
  <c r="CR60" i="20"/>
  <c r="S60" i="20"/>
  <c r="X60" i="20"/>
  <c r="V60" i="20"/>
  <c r="W60" i="20"/>
  <c r="Y60" i="20"/>
  <c r="AF60" i="20"/>
  <c r="AZ60" i="20"/>
  <c r="BE60" i="20"/>
  <c r="CO60" i="20"/>
  <c r="CN60" i="20"/>
  <c r="CP60" i="20"/>
  <c r="CQ60" i="20"/>
  <c r="T60" i="20"/>
  <c r="CM60" i="20"/>
  <c r="CJ60" i="20"/>
  <c r="CI60" i="20"/>
  <c r="BH60" i="20"/>
  <c r="CF60" i="20"/>
  <c r="CE60" i="20"/>
  <c r="CG60" i="20"/>
  <c r="CH60" i="20"/>
  <c r="CD60" i="20"/>
  <c r="AY60" i="20"/>
  <c r="BC60" i="20"/>
  <c r="CA60" i="20"/>
  <c r="BZ60" i="20"/>
  <c r="CB60" i="20"/>
  <c r="CC60" i="20"/>
  <c r="BY60" i="20"/>
  <c r="BB60" i="20"/>
  <c r="BU60" i="20"/>
  <c r="BT60" i="20"/>
  <c r="BV60" i="20"/>
  <c r="BW60" i="20"/>
  <c r="BS60" i="20"/>
  <c r="AL60" i="20"/>
  <c r="BG60" i="20"/>
  <c r="BM60" i="20"/>
  <c r="BN60" i="20"/>
  <c r="BO60" i="20"/>
  <c r="BP60" i="20"/>
  <c r="BL60" i="20"/>
  <c r="BK60" i="20"/>
  <c r="BJ60" i="20"/>
  <c r="BI60" i="20"/>
  <c r="AX60" i="20"/>
  <c r="BA60" i="20"/>
  <c r="BD60" i="20"/>
  <c r="BF60" i="20"/>
  <c r="AT60" i="20"/>
  <c r="AS60" i="20"/>
  <c r="AR60" i="20"/>
  <c r="AQ60" i="20"/>
  <c r="AO60" i="20"/>
  <c r="AC60" i="20"/>
  <c r="AA60" i="20"/>
  <c r="Z60" i="20"/>
  <c r="U60" i="20"/>
  <c r="R60" i="20"/>
  <c r="P60" i="20"/>
  <c r="O60" i="20"/>
  <c r="N60" i="20"/>
  <c r="M60" i="20"/>
  <c r="K60" i="20"/>
  <c r="J60" i="20"/>
  <c r="I60" i="20"/>
  <c r="H60" i="20"/>
  <c r="F60" i="20"/>
  <c r="E60" i="20"/>
  <c r="D60" i="20"/>
  <c r="C60" i="20"/>
  <c r="A60" i="20"/>
  <c r="B59" i="20"/>
  <c r="G59" i="20"/>
  <c r="EH59" i="20"/>
  <c r="EG59" i="20"/>
  <c r="EF59" i="20"/>
  <c r="DW59" i="20"/>
  <c r="CW59" i="20"/>
  <c r="ED59" i="20"/>
  <c r="EC59" i="20"/>
  <c r="EB59" i="20"/>
  <c r="EA59" i="20"/>
  <c r="DZ59" i="20"/>
  <c r="DY59" i="20"/>
  <c r="DX59" i="20"/>
  <c r="DV59" i="20"/>
  <c r="DU59" i="20"/>
  <c r="DT59" i="20"/>
  <c r="L59" i="20"/>
  <c r="DS59" i="20"/>
  <c r="DR59" i="20"/>
  <c r="AH59" i="20"/>
  <c r="AI59" i="20"/>
  <c r="AJ59" i="20"/>
  <c r="AK59" i="20"/>
  <c r="DP59" i="20"/>
  <c r="AG59" i="20"/>
  <c r="DQ59" i="20"/>
  <c r="DO59" i="20"/>
  <c r="DN59" i="20"/>
  <c r="DC59" i="20"/>
  <c r="DD59" i="20"/>
  <c r="DE59" i="20"/>
  <c r="DF59" i="20"/>
  <c r="DG59" i="20"/>
  <c r="DH59" i="20"/>
  <c r="DI59" i="20"/>
  <c r="DJ59" i="20"/>
  <c r="DK59" i="20"/>
  <c r="DL59" i="20"/>
  <c r="DM59" i="20"/>
  <c r="DB59" i="20"/>
  <c r="DA59" i="20"/>
  <c r="CZ59" i="20"/>
  <c r="CY59" i="20"/>
  <c r="CX59" i="20"/>
  <c r="CV59" i="20"/>
  <c r="CU59" i="20"/>
  <c r="CT59" i="20"/>
  <c r="CS59" i="20"/>
  <c r="CR59" i="20"/>
  <c r="S59" i="20"/>
  <c r="X59" i="20"/>
  <c r="V59" i="20"/>
  <c r="W59" i="20"/>
  <c r="Y59" i="20"/>
  <c r="AF59" i="20"/>
  <c r="AZ59" i="20"/>
  <c r="BE59" i="20"/>
  <c r="CO59" i="20"/>
  <c r="CN59" i="20"/>
  <c r="CP59" i="20"/>
  <c r="CQ59" i="20"/>
  <c r="T59" i="20"/>
  <c r="CM59" i="20"/>
  <c r="CJ59" i="20"/>
  <c r="CI59" i="20"/>
  <c r="BH59" i="20"/>
  <c r="CF59" i="20"/>
  <c r="CE59" i="20"/>
  <c r="CG59" i="20"/>
  <c r="CH59" i="20"/>
  <c r="CD59" i="20"/>
  <c r="AY59" i="20"/>
  <c r="BC59" i="20"/>
  <c r="CA59" i="20"/>
  <c r="BZ59" i="20"/>
  <c r="CB59" i="20"/>
  <c r="CC59" i="20"/>
  <c r="BY59" i="20"/>
  <c r="BB59" i="20"/>
  <c r="BU59" i="20"/>
  <c r="BT59" i="20"/>
  <c r="BV59" i="20"/>
  <c r="BW59" i="20"/>
  <c r="BS59" i="20"/>
  <c r="AL59" i="20"/>
  <c r="BG59" i="20"/>
  <c r="BM59" i="20"/>
  <c r="BN59" i="20"/>
  <c r="BO59" i="20"/>
  <c r="BP59" i="20"/>
  <c r="BL59" i="20"/>
  <c r="BK59" i="20"/>
  <c r="BJ59" i="20"/>
  <c r="BI59" i="20"/>
  <c r="AX59" i="20"/>
  <c r="BA59" i="20"/>
  <c r="BD59" i="20"/>
  <c r="BF59" i="20"/>
  <c r="AT59" i="20"/>
  <c r="AS59" i="20"/>
  <c r="AR59" i="20"/>
  <c r="AQ59" i="20"/>
  <c r="AO59" i="20"/>
  <c r="AC59" i="20"/>
  <c r="AA59" i="20"/>
  <c r="Z59" i="20"/>
  <c r="U59" i="20"/>
  <c r="R59" i="20"/>
  <c r="P59" i="20"/>
  <c r="O59" i="20"/>
  <c r="N59" i="20"/>
  <c r="M59" i="20"/>
  <c r="K59" i="20"/>
  <c r="J59" i="20"/>
  <c r="I59" i="20"/>
  <c r="H59" i="20"/>
  <c r="F59" i="20"/>
  <c r="E59" i="20"/>
  <c r="D59" i="20"/>
  <c r="C59" i="20"/>
  <c r="A59" i="20"/>
  <c r="B58" i="20"/>
  <c r="G58" i="20"/>
  <c r="EH58" i="20"/>
  <c r="EG58" i="20"/>
  <c r="EF58" i="20"/>
  <c r="DW58" i="20"/>
  <c r="CW58" i="20"/>
  <c r="ED58" i="20"/>
  <c r="EC58" i="20"/>
  <c r="EB58" i="20"/>
  <c r="EA58" i="20"/>
  <c r="DZ58" i="20"/>
  <c r="DY58" i="20"/>
  <c r="DX58" i="20"/>
  <c r="DV58" i="20"/>
  <c r="DU58" i="20"/>
  <c r="DT58" i="20"/>
  <c r="L58" i="20"/>
  <c r="DS58" i="20"/>
  <c r="DR58" i="20"/>
  <c r="AH58" i="20"/>
  <c r="AI58" i="20"/>
  <c r="AJ58" i="20"/>
  <c r="AK58" i="20"/>
  <c r="DP58" i="20"/>
  <c r="AG58" i="20"/>
  <c r="DQ58" i="20"/>
  <c r="DO58" i="20"/>
  <c r="DN58" i="20"/>
  <c r="DC58" i="20"/>
  <c r="DD58" i="20"/>
  <c r="DE58" i="20"/>
  <c r="DF58" i="20"/>
  <c r="DG58" i="20"/>
  <c r="DH58" i="20"/>
  <c r="DI58" i="20"/>
  <c r="DJ58" i="20"/>
  <c r="DK58" i="20"/>
  <c r="DL58" i="20"/>
  <c r="DM58" i="20"/>
  <c r="DB58" i="20"/>
  <c r="DA58" i="20"/>
  <c r="CZ58" i="20"/>
  <c r="CY58" i="20"/>
  <c r="CX58" i="20"/>
  <c r="CV58" i="20"/>
  <c r="CU58" i="20"/>
  <c r="CT58" i="20"/>
  <c r="CS58" i="20"/>
  <c r="CR58" i="20"/>
  <c r="S58" i="20"/>
  <c r="X58" i="20"/>
  <c r="V58" i="20"/>
  <c r="W58" i="20"/>
  <c r="Y58" i="20"/>
  <c r="AF58" i="20"/>
  <c r="AZ58" i="20"/>
  <c r="BE58" i="20"/>
  <c r="CO58" i="20"/>
  <c r="CN58" i="20"/>
  <c r="CP58" i="20"/>
  <c r="CQ58" i="20"/>
  <c r="T58" i="20"/>
  <c r="CM58" i="20"/>
  <c r="CJ58" i="20"/>
  <c r="CI58" i="20"/>
  <c r="BH58" i="20"/>
  <c r="CF58" i="20"/>
  <c r="CE58" i="20"/>
  <c r="CG58" i="20"/>
  <c r="CH58" i="20"/>
  <c r="CD58" i="20"/>
  <c r="AY58" i="20"/>
  <c r="BC58" i="20"/>
  <c r="CA58" i="20"/>
  <c r="BZ58" i="20"/>
  <c r="CB58" i="20"/>
  <c r="CC58" i="20"/>
  <c r="BY58" i="20"/>
  <c r="BB58" i="20"/>
  <c r="BU58" i="20"/>
  <c r="BT58" i="20"/>
  <c r="BV58" i="20"/>
  <c r="BW58" i="20"/>
  <c r="BS58" i="20"/>
  <c r="AL58" i="20"/>
  <c r="BG58" i="20"/>
  <c r="BM58" i="20"/>
  <c r="BN58" i="20"/>
  <c r="BO58" i="20"/>
  <c r="BP58" i="20"/>
  <c r="BL58" i="20"/>
  <c r="BK58" i="20"/>
  <c r="BJ58" i="20"/>
  <c r="BI58" i="20"/>
  <c r="AX58" i="20"/>
  <c r="BA58" i="20"/>
  <c r="BD58" i="20"/>
  <c r="BF58" i="20"/>
  <c r="AT58" i="20"/>
  <c r="AS58" i="20"/>
  <c r="AR58" i="20"/>
  <c r="AQ58" i="20"/>
  <c r="AO58" i="20"/>
  <c r="AC58" i="20"/>
  <c r="AA58" i="20"/>
  <c r="Z58" i="20"/>
  <c r="U58" i="20"/>
  <c r="R58" i="20"/>
  <c r="P58" i="20"/>
  <c r="O58" i="20"/>
  <c r="N58" i="20"/>
  <c r="M58" i="20"/>
  <c r="K58" i="20"/>
  <c r="J58" i="20"/>
  <c r="I58" i="20"/>
  <c r="H58" i="20"/>
  <c r="F58" i="20"/>
  <c r="E58" i="20"/>
  <c r="D58" i="20"/>
  <c r="C58" i="20"/>
  <c r="A58" i="20"/>
  <c r="B57" i="20"/>
  <c r="G57" i="20"/>
  <c r="EH57" i="20"/>
  <c r="EG57" i="20"/>
  <c r="EF57" i="20"/>
  <c r="DW57" i="20"/>
  <c r="CW57" i="20"/>
  <c r="ED57" i="20"/>
  <c r="EC57" i="20"/>
  <c r="EB57" i="20"/>
  <c r="EA57" i="20"/>
  <c r="DZ57" i="20"/>
  <c r="DY57" i="20"/>
  <c r="DX57" i="20"/>
  <c r="DV57" i="20"/>
  <c r="DU57" i="20"/>
  <c r="DT57" i="20"/>
  <c r="L57" i="20"/>
  <c r="DS57" i="20"/>
  <c r="DR57" i="20"/>
  <c r="AH57" i="20"/>
  <c r="AI57" i="20"/>
  <c r="AJ57" i="20"/>
  <c r="AK57" i="20"/>
  <c r="DP57" i="20"/>
  <c r="AG57" i="20"/>
  <c r="DQ57" i="20"/>
  <c r="DO57" i="20"/>
  <c r="DN57" i="20"/>
  <c r="DC57" i="20"/>
  <c r="DD57" i="20"/>
  <c r="DE57" i="20"/>
  <c r="DF57" i="20"/>
  <c r="DG57" i="20"/>
  <c r="DH57" i="20"/>
  <c r="DI57" i="20"/>
  <c r="DJ57" i="20"/>
  <c r="DK57" i="20"/>
  <c r="DL57" i="20"/>
  <c r="DM57" i="20"/>
  <c r="DB57" i="20"/>
  <c r="DA57" i="20"/>
  <c r="CZ57" i="20"/>
  <c r="CY57" i="20"/>
  <c r="CX57" i="20"/>
  <c r="CV57" i="20"/>
  <c r="CU57" i="20"/>
  <c r="CT57" i="20"/>
  <c r="CS57" i="20"/>
  <c r="CR57" i="20"/>
  <c r="S57" i="20"/>
  <c r="X57" i="20"/>
  <c r="V57" i="20"/>
  <c r="W57" i="20"/>
  <c r="Y57" i="20"/>
  <c r="AF57" i="20"/>
  <c r="AZ57" i="20"/>
  <c r="BE57" i="20"/>
  <c r="CO57" i="20"/>
  <c r="CN57" i="20"/>
  <c r="CP57" i="20"/>
  <c r="CQ57" i="20"/>
  <c r="T57" i="20"/>
  <c r="CM57" i="20"/>
  <c r="CJ57" i="20"/>
  <c r="CI57" i="20"/>
  <c r="BH57" i="20"/>
  <c r="CF57" i="20"/>
  <c r="CE57" i="20"/>
  <c r="CG57" i="20"/>
  <c r="CH57" i="20"/>
  <c r="CD57" i="20"/>
  <c r="AY57" i="20"/>
  <c r="BC57" i="20"/>
  <c r="CA57" i="20"/>
  <c r="BZ57" i="20"/>
  <c r="CB57" i="20"/>
  <c r="CC57" i="20"/>
  <c r="BY57" i="20"/>
  <c r="BB57" i="20"/>
  <c r="BU57" i="20"/>
  <c r="BT57" i="20"/>
  <c r="BV57" i="20"/>
  <c r="BW57" i="20"/>
  <c r="BS57" i="20"/>
  <c r="AL57" i="20"/>
  <c r="BG57" i="20"/>
  <c r="BM57" i="20"/>
  <c r="BN57" i="20"/>
  <c r="BO57" i="20"/>
  <c r="BP57" i="20"/>
  <c r="BL57" i="20"/>
  <c r="BK57" i="20"/>
  <c r="BJ57" i="20"/>
  <c r="BI57" i="20"/>
  <c r="AX57" i="20"/>
  <c r="BA57" i="20"/>
  <c r="BD57" i="20"/>
  <c r="BF57" i="20"/>
  <c r="AT57" i="20"/>
  <c r="AS57" i="20"/>
  <c r="AR57" i="20"/>
  <c r="AQ57" i="20"/>
  <c r="AO57" i="20"/>
  <c r="AC57" i="20"/>
  <c r="AA57" i="20"/>
  <c r="Z57" i="20"/>
  <c r="U57" i="20"/>
  <c r="R57" i="20"/>
  <c r="P57" i="20"/>
  <c r="O57" i="20"/>
  <c r="N57" i="20"/>
  <c r="M57" i="20"/>
  <c r="K57" i="20"/>
  <c r="J57" i="20"/>
  <c r="I57" i="20"/>
  <c r="H57" i="20"/>
  <c r="F57" i="20"/>
  <c r="E57" i="20"/>
  <c r="D57" i="20"/>
  <c r="C57" i="20"/>
  <c r="A57" i="20"/>
  <c r="B56" i="20"/>
  <c r="G56" i="20"/>
  <c r="EH56" i="20"/>
  <c r="EG56" i="20"/>
  <c r="EF56" i="20"/>
  <c r="DW56" i="20"/>
  <c r="CW56" i="20"/>
  <c r="ED56" i="20"/>
  <c r="EC56" i="20"/>
  <c r="EB56" i="20"/>
  <c r="EA56" i="20"/>
  <c r="DZ56" i="20"/>
  <c r="DY56" i="20"/>
  <c r="DX56" i="20"/>
  <c r="DV56" i="20"/>
  <c r="DU56" i="20"/>
  <c r="DT56" i="20"/>
  <c r="L56" i="20"/>
  <c r="DS56" i="20"/>
  <c r="DR56" i="20"/>
  <c r="AH56" i="20"/>
  <c r="AI56" i="20"/>
  <c r="AJ56" i="20"/>
  <c r="AK56" i="20"/>
  <c r="DP56" i="20"/>
  <c r="AG56" i="20"/>
  <c r="DQ56" i="20"/>
  <c r="DO56" i="20"/>
  <c r="DN56" i="20"/>
  <c r="DC56" i="20"/>
  <c r="DD56" i="20"/>
  <c r="DE56" i="20"/>
  <c r="DF56" i="20"/>
  <c r="DG56" i="20"/>
  <c r="DH56" i="20"/>
  <c r="DI56" i="20"/>
  <c r="DJ56" i="20"/>
  <c r="DK56" i="20"/>
  <c r="DL56" i="20"/>
  <c r="DM56" i="20"/>
  <c r="DB56" i="20"/>
  <c r="DA56" i="20"/>
  <c r="CZ56" i="20"/>
  <c r="CY56" i="20"/>
  <c r="CX56" i="20"/>
  <c r="CV56" i="20"/>
  <c r="CU56" i="20"/>
  <c r="CT56" i="20"/>
  <c r="CS56" i="20"/>
  <c r="CR56" i="20"/>
  <c r="S56" i="20"/>
  <c r="X56" i="20"/>
  <c r="V56" i="20"/>
  <c r="W56" i="20"/>
  <c r="Y56" i="20"/>
  <c r="AF56" i="20"/>
  <c r="AZ56" i="20"/>
  <c r="BE56" i="20"/>
  <c r="CO56" i="20"/>
  <c r="CN56" i="20"/>
  <c r="CP56" i="20"/>
  <c r="CQ56" i="20"/>
  <c r="T56" i="20"/>
  <c r="CM56" i="20"/>
  <c r="CJ56" i="20"/>
  <c r="CI56" i="20"/>
  <c r="BH56" i="20"/>
  <c r="CF56" i="20"/>
  <c r="CE56" i="20"/>
  <c r="CG56" i="20"/>
  <c r="CH56" i="20"/>
  <c r="CD56" i="20"/>
  <c r="AY56" i="20"/>
  <c r="BC56" i="20"/>
  <c r="CA56" i="20"/>
  <c r="BZ56" i="20"/>
  <c r="CB56" i="20"/>
  <c r="CC56" i="20"/>
  <c r="BY56" i="20"/>
  <c r="BB56" i="20"/>
  <c r="BU56" i="20"/>
  <c r="BT56" i="20"/>
  <c r="BV56" i="20"/>
  <c r="BW56" i="20"/>
  <c r="BS56" i="20"/>
  <c r="AL56" i="20"/>
  <c r="BG56" i="20"/>
  <c r="BM56" i="20"/>
  <c r="BN56" i="20"/>
  <c r="BO56" i="20"/>
  <c r="BP56" i="20"/>
  <c r="BL56" i="20"/>
  <c r="BK56" i="20"/>
  <c r="BJ56" i="20"/>
  <c r="BI56" i="20"/>
  <c r="AX56" i="20"/>
  <c r="BA56" i="20"/>
  <c r="BD56" i="20"/>
  <c r="BF56" i="20"/>
  <c r="AT56" i="20"/>
  <c r="AS56" i="20"/>
  <c r="AR56" i="20"/>
  <c r="AQ56" i="20"/>
  <c r="AO56" i="20"/>
  <c r="AC56" i="20"/>
  <c r="AA56" i="20"/>
  <c r="Z56" i="20"/>
  <c r="U56" i="20"/>
  <c r="R56" i="20"/>
  <c r="P56" i="20"/>
  <c r="O56" i="20"/>
  <c r="N56" i="20"/>
  <c r="M56" i="20"/>
  <c r="K56" i="20"/>
  <c r="J56" i="20"/>
  <c r="I56" i="20"/>
  <c r="H56" i="20"/>
  <c r="F56" i="20"/>
  <c r="E56" i="20"/>
  <c r="D56" i="20"/>
  <c r="C56" i="20"/>
  <c r="A56" i="20"/>
  <c r="EG55" i="20"/>
  <c r="EF55" i="20"/>
  <c r="DW55" i="20"/>
  <c r="CW55" i="20"/>
  <c r="ED55" i="20"/>
  <c r="EC55" i="20"/>
  <c r="EB55" i="20"/>
  <c r="EA55" i="20"/>
  <c r="DZ55" i="20"/>
  <c r="DY55" i="20"/>
  <c r="DX55" i="20"/>
  <c r="DV55" i="20"/>
  <c r="DU55" i="20"/>
  <c r="DT55" i="20"/>
  <c r="L55" i="20"/>
  <c r="DS55" i="20"/>
  <c r="DR55" i="20"/>
  <c r="DP55" i="20"/>
  <c r="DQ55" i="20"/>
  <c r="DO55" i="20"/>
  <c r="DN55" i="20"/>
  <c r="DC55" i="20"/>
  <c r="DD55" i="20"/>
  <c r="DE55" i="20"/>
  <c r="DF55" i="20"/>
  <c r="DG55" i="20"/>
  <c r="DH55" i="20"/>
  <c r="DI55" i="20"/>
  <c r="DJ55" i="20"/>
  <c r="DK55" i="20"/>
  <c r="DL55" i="20"/>
  <c r="DM55" i="20"/>
  <c r="DB55" i="20"/>
  <c r="DA55" i="20"/>
  <c r="CZ55" i="20"/>
  <c r="CY55" i="20"/>
  <c r="CX55" i="20"/>
  <c r="CV55" i="20"/>
  <c r="CU55" i="20"/>
  <c r="CT55" i="20"/>
  <c r="CS55" i="20"/>
  <c r="CR55" i="20"/>
  <c r="X55" i="20"/>
  <c r="V55" i="20"/>
  <c r="W55" i="20"/>
  <c r="Y55" i="20"/>
  <c r="AZ55" i="20"/>
  <c r="BE55" i="20"/>
  <c r="CO55" i="20"/>
  <c r="CN55" i="20"/>
  <c r="CP55" i="20"/>
  <c r="CQ55" i="20"/>
  <c r="CM55" i="20"/>
  <c r="CJ55" i="20"/>
  <c r="CI55" i="20"/>
  <c r="BH55" i="20"/>
  <c r="CF55" i="20"/>
  <c r="CE55" i="20"/>
  <c r="CG55" i="20"/>
  <c r="CH55" i="20"/>
  <c r="CD55" i="20"/>
  <c r="AY55" i="20"/>
  <c r="BC55" i="20"/>
  <c r="CA55" i="20"/>
  <c r="CB55" i="20"/>
  <c r="CC55" i="20"/>
  <c r="BL55" i="20"/>
  <c r="BK55" i="20"/>
  <c r="BJ55" i="20"/>
  <c r="BI55" i="20"/>
  <c r="AX55" i="20"/>
  <c r="BA55" i="20"/>
  <c r="BD55" i="20"/>
  <c r="BF55" i="20"/>
  <c r="AT55" i="20"/>
  <c r="AS55" i="20"/>
  <c r="AR55" i="20"/>
  <c r="AQ55" i="20"/>
  <c r="AO55" i="20"/>
  <c r="AC55" i="20"/>
  <c r="AA55" i="20"/>
  <c r="Z55" i="20"/>
  <c r="U55" i="20"/>
  <c r="R55" i="20"/>
  <c r="P55" i="20"/>
  <c r="O55" i="20"/>
  <c r="N55" i="20"/>
  <c r="M55" i="20"/>
  <c r="K55" i="20"/>
  <c r="J55" i="20"/>
  <c r="I55" i="20"/>
  <c r="H55" i="20"/>
  <c r="F55" i="20"/>
  <c r="E55" i="20"/>
  <c r="D55" i="20"/>
  <c r="C55" i="20"/>
  <c r="A55" i="20"/>
  <c r="EG54" i="20"/>
  <c r="EF54" i="20"/>
  <c r="DW54" i="20"/>
  <c r="CW54" i="20"/>
  <c r="ED54" i="20"/>
  <c r="EC54" i="20"/>
  <c r="EB54" i="20"/>
  <c r="EA54" i="20"/>
  <c r="DZ54" i="20"/>
  <c r="DY54" i="20"/>
  <c r="DX54" i="20"/>
  <c r="DV54" i="20"/>
  <c r="DU54" i="20"/>
  <c r="DT54" i="20"/>
  <c r="L54" i="20"/>
  <c r="DS54" i="20"/>
  <c r="DR54" i="20"/>
  <c r="DP54" i="20"/>
  <c r="DQ54" i="20"/>
  <c r="DO54" i="20"/>
  <c r="DN54" i="20"/>
  <c r="DC54" i="20"/>
  <c r="DD54" i="20"/>
  <c r="DE54" i="20"/>
  <c r="DF54" i="20"/>
  <c r="DG54" i="20"/>
  <c r="DH54" i="20"/>
  <c r="DI54" i="20"/>
  <c r="DJ54" i="20"/>
  <c r="DK54" i="20"/>
  <c r="DL54" i="20"/>
  <c r="DM54" i="20"/>
  <c r="DB54" i="20"/>
  <c r="DA54" i="20"/>
  <c r="CZ54" i="20"/>
  <c r="CY54" i="20"/>
  <c r="CX54" i="20"/>
  <c r="CV54" i="20"/>
  <c r="CU54" i="20"/>
  <c r="CT54" i="20"/>
  <c r="CS54" i="20"/>
  <c r="CR54" i="20"/>
  <c r="X54" i="20"/>
  <c r="V54" i="20"/>
  <c r="W54" i="20"/>
  <c r="Y54" i="20"/>
  <c r="AZ54" i="20"/>
  <c r="BE54" i="20"/>
  <c r="CO54" i="20"/>
  <c r="CN54" i="20"/>
  <c r="CP54" i="20"/>
  <c r="CQ54" i="20"/>
  <c r="CM54" i="20"/>
  <c r="CJ54" i="20"/>
  <c r="CI54" i="20"/>
  <c r="BH54" i="20"/>
  <c r="CF54" i="20"/>
  <c r="CE54" i="20"/>
  <c r="CG54" i="20"/>
  <c r="CH54" i="20"/>
  <c r="CD54" i="20"/>
  <c r="AY54" i="20"/>
  <c r="BC54" i="20"/>
  <c r="CA54" i="20"/>
  <c r="CB54" i="20"/>
  <c r="CC54" i="20"/>
  <c r="BL54" i="20"/>
  <c r="BK54" i="20"/>
  <c r="BJ54" i="20"/>
  <c r="BI54" i="20"/>
  <c r="AX54" i="20"/>
  <c r="BA54" i="20"/>
  <c r="BD54" i="20"/>
  <c r="BF54" i="20"/>
  <c r="AT54" i="20"/>
  <c r="AS54" i="20"/>
  <c r="AR54" i="20"/>
  <c r="AQ54" i="20"/>
  <c r="AO54" i="20"/>
  <c r="AC54" i="20"/>
  <c r="AA54" i="20"/>
  <c r="Z54" i="20"/>
  <c r="U54" i="20"/>
  <c r="R54" i="20"/>
  <c r="P54" i="20"/>
  <c r="O54" i="20"/>
  <c r="N54" i="20"/>
  <c r="M54" i="20"/>
  <c r="K54" i="20"/>
  <c r="J54" i="20"/>
  <c r="I54" i="20"/>
  <c r="H54" i="20"/>
  <c r="F54" i="20"/>
  <c r="E54" i="20"/>
  <c r="D54" i="20"/>
  <c r="C54" i="20"/>
  <c r="A54" i="20"/>
  <c r="EG53" i="20"/>
  <c r="EF53" i="20"/>
  <c r="DW53" i="20"/>
  <c r="CW53" i="20"/>
  <c r="ED53" i="20"/>
  <c r="EC53" i="20"/>
  <c r="EB53" i="20"/>
  <c r="EA53" i="20"/>
  <c r="DZ53" i="20"/>
  <c r="DY53" i="20"/>
  <c r="DX53" i="20"/>
  <c r="DV53" i="20"/>
  <c r="DU53" i="20"/>
  <c r="DT53" i="20"/>
  <c r="L53" i="20"/>
  <c r="DS53" i="20"/>
  <c r="DR53" i="20"/>
  <c r="DP53" i="20"/>
  <c r="DQ53" i="20"/>
  <c r="DO53" i="20"/>
  <c r="DN53" i="20"/>
  <c r="DC53" i="20"/>
  <c r="DD53" i="20"/>
  <c r="DE53" i="20"/>
  <c r="DF53" i="20"/>
  <c r="DG53" i="20"/>
  <c r="DH53" i="20"/>
  <c r="DI53" i="20"/>
  <c r="DJ53" i="20"/>
  <c r="DK53" i="20"/>
  <c r="DL53" i="20"/>
  <c r="DM53" i="20"/>
  <c r="DB53" i="20"/>
  <c r="DA53" i="20"/>
  <c r="CZ53" i="20"/>
  <c r="CY53" i="20"/>
  <c r="CX53" i="20"/>
  <c r="CV53" i="20"/>
  <c r="CU53" i="20"/>
  <c r="CT53" i="20"/>
  <c r="CS53" i="20"/>
  <c r="CR53" i="20"/>
  <c r="X53" i="20"/>
  <c r="V53" i="20"/>
  <c r="W53" i="20"/>
  <c r="Y53" i="20"/>
  <c r="AZ53" i="20"/>
  <c r="BE53" i="20"/>
  <c r="CO53" i="20"/>
  <c r="CN53" i="20"/>
  <c r="CP53" i="20"/>
  <c r="CQ53" i="20"/>
  <c r="CM53" i="20"/>
  <c r="CJ53" i="20"/>
  <c r="CI53" i="20"/>
  <c r="BH53" i="20"/>
  <c r="CF53" i="20"/>
  <c r="CE53" i="20"/>
  <c r="CG53" i="20"/>
  <c r="CH53" i="20"/>
  <c r="CD53" i="20"/>
  <c r="AY53" i="20"/>
  <c r="BC53" i="20"/>
  <c r="CA53" i="20"/>
  <c r="CB53" i="20"/>
  <c r="CC53" i="20"/>
  <c r="BL53" i="20"/>
  <c r="BK53" i="20"/>
  <c r="BJ53" i="20"/>
  <c r="BI53" i="20"/>
  <c r="AX53" i="20"/>
  <c r="BA53" i="20"/>
  <c r="BD53" i="20"/>
  <c r="BF53" i="20"/>
  <c r="AT53" i="20"/>
  <c r="AS53" i="20"/>
  <c r="AR53" i="20"/>
  <c r="AQ53" i="20"/>
  <c r="AO53" i="20"/>
  <c r="AC53" i="20"/>
  <c r="AA53" i="20"/>
  <c r="Z53" i="20"/>
  <c r="U53" i="20"/>
  <c r="R53" i="20"/>
  <c r="P53" i="20"/>
  <c r="O53" i="20"/>
  <c r="N53" i="20"/>
  <c r="M53" i="20"/>
  <c r="K53" i="20"/>
  <c r="J53" i="20"/>
  <c r="I53" i="20"/>
  <c r="H53" i="20"/>
  <c r="F53" i="20"/>
  <c r="E53" i="20"/>
  <c r="D53" i="20"/>
  <c r="C53" i="20"/>
  <c r="A53" i="20"/>
  <c r="EG52" i="20"/>
  <c r="EF52" i="20"/>
  <c r="EC52" i="20"/>
  <c r="EB52" i="20"/>
  <c r="EA52" i="20"/>
  <c r="DZ52" i="20"/>
  <c r="DS52" i="20"/>
  <c r="DC52" i="20"/>
  <c r="DD52" i="20"/>
  <c r="DE52" i="20"/>
  <c r="DF52" i="20"/>
  <c r="DG52" i="20"/>
  <c r="DH52" i="20"/>
  <c r="DI52" i="20"/>
  <c r="DJ52" i="20"/>
  <c r="DK52" i="20"/>
  <c r="DL52" i="20"/>
  <c r="DM52" i="20"/>
  <c r="DA52" i="20"/>
  <c r="CZ52" i="20"/>
  <c r="X52" i="20"/>
  <c r="V52" i="20"/>
  <c r="W52" i="20"/>
  <c r="Y52" i="20"/>
  <c r="AZ52" i="20"/>
  <c r="BE52" i="20"/>
  <c r="CO52" i="20"/>
  <c r="CN52" i="20"/>
  <c r="CP52" i="20"/>
  <c r="CQ52" i="20"/>
  <c r="CM52" i="20"/>
  <c r="CJ52" i="20"/>
  <c r="CI52" i="20"/>
  <c r="BH52" i="20"/>
  <c r="CF52" i="20"/>
  <c r="CE52" i="20"/>
  <c r="CG52" i="20"/>
  <c r="CH52" i="20"/>
  <c r="CD52" i="20"/>
  <c r="AY52" i="20"/>
  <c r="BC52" i="20"/>
  <c r="CA52" i="20"/>
  <c r="CB52" i="20"/>
  <c r="CC52" i="20"/>
  <c r="BL52" i="20"/>
  <c r="BK52" i="20"/>
  <c r="BJ52" i="20"/>
  <c r="BI52" i="20"/>
  <c r="AX52" i="20"/>
  <c r="BA52" i="20"/>
  <c r="BD52" i="20"/>
  <c r="BF52" i="20"/>
  <c r="AT52" i="20"/>
  <c r="AS52" i="20"/>
  <c r="AR52" i="20"/>
  <c r="AQ52" i="20"/>
  <c r="AO52" i="20"/>
  <c r="AC52" i="20"/>
  <c r="AA52" i="20"/>
  <c r="Z52" i="20"/>
  <c r="U52" i="20"/>
  <c r="P52" i="20"/>
  <c r="M52" i="20"/>
  <c r="J52" i="20"/>
  <c r="I52" i="20"/>
  <c r="H52" i="20"/>
  <c r="F52" i="20"/>
  <c r="EG51" i="20"/>
  <c r="EF51" i="20"/>
  <c r="EC51" i="20"/>
  <c r="EB51" i="20"/>
  <c r="EA51" i="20"/>
  <c r="DZ51" i="20"/>
  <c r="DS51" i="20"/>
  <c r="DC51" i="20"/>
  <c r="DD51" i="20"/>
  <c r="DE51" i="20"/>
  <c r="DF51" i="20"/>
  <c r="DG51" i="20"/>
  <c r="DH51" i="20"/>
  <c r="DI51" i="20"/>
  <c r="DJ51" i="20"/>
  <c r="DK51" i="20"/>
  <c r="DL51" i="20"/>
  <c r="DM51" i="20"/>
  <c r="DA51" i="20"/>
  <c r="CZ51" i="20"/>
  <c r="X51" i="20"/>
  <c r="V51" i="20"/>
  <c r="W51" i="20"/>
  <c r="Y51" i="20"/>
  <c r="AZ51" i="20"/>
  <c r="BE51" i="20"/>
  <c r="CO51" i="20"/>
  <c r="CN51" i="20"/>
  <c r="CP51" i="20"/>
  <c r="CQ51" i="20"/>
  <c r="CM51" i="20"/>
  <c r="CJ51" i="20"/>
  <c r="CI51" i="20"/>
  <c r="BH51" i="20"/>
  <c r="CF51" i="20"/>
  <c r="CE51" i="20"/>
  <c r="CG51" i="20"/>
  <c r="CH51" i="20"/>
  <c r="CD51" i="20"/>
  <c r="AY51" i="20"/>
  <c r="BC51" i="20"/>
  <c r="CA51" i="20"/>
  <c r="CB51" i="20"/>
  <c r="CC51" i="20"/>
  <c r="BL51" i="20"/>
  <c r="BK51" i="20"/>
  <c r="BJ51" i="20"/>
  <c r="BI51" i="20"/>
  <c r="AX51" i="20"/>
  <c r="BA51" i="20"/>
  <c r="BD51" i="20"/>
  <c r="BF51" i="20"/>
  <c r="AT51" i="20"/>
  <c r="AS51" i="20"/>
  <c r="AR51" i="20"/>
  <c r="AQ51" i="20"/>
  <c r="AO51" i="20"/>
  <c r="AC51" i="20"/>
  <c r="AA51" i="20"/>
  <c r="Z51" i="20"/>
  <c r="U51" i="20"/>
  <c r="P51" i="20"/>
  <c r="M51" i="20"/>
  <c r="J51" i="20"/>
  <c r="I51" i="20"/>
  <c r="H51" i="20"/>
  <c r="F51" i="20"/>
  <c r="EG50" i="20"/>
  <c r="EF50" i="20"/>
  <c r="EC50" i="20"/>
  <c r="EB50" i="20"/>
  <c r="EA50" i="20"/>
  <c r="DZ50" i="20"/>
  <c r="DS50" i="20"/>
  <c r="DC50" i="20"/>
  <c r="DD50" i="20"/>
  <c r="DE50" i="20"/>
  <c r="DF50" i="20"/>
  <c r="DG50" i="20"/>
  <c r="DH50" i="20"/>
  <c r="DI50" i="20"/>
  <c r="DJ50" i="20"/>
  <c r="DK50" i="20"/>
  <c r="DL50" i="20"/>
  <c r="DM50" i="20"/>
  <c r="DA50" i="20"/>
  <c r="CZ50" i="20"/>
  <c r="X50" i="20"/>
  <c r="V50" i="20"/>
  <c r="W50" i="20"/>
  <c r="Y50" i="20"/>
  <c r="AZ50" i="20"/>
  <c r="BE50" i="20"/>
  <c r="CO50" i="20"/>
  <c r="CN50" i="20"/>
  <c r="CP50" i="20"/>
  <c r="CQ50" i="20"/>
  <c r="CM50" i="20"/>
  <c r="CJ50" i="20"/>
  <c r="CI50" i="20"/>
  <c r="BH50" i="20"/>
  <c r="CF50" i="20"/>
  <c r="CE50" i="20"/>
  <c r="CG50" i="20"/>
  <c r="CH50" i="20"/>
  <c r="CD50" i="20"/>
  <c r="AY50" i="20"/>
  <c r="BC50" i="20"/>
  <c r="CA50" i="20"/>
  <c r="CB50" i="20"/>
  <c r="CC50" i="20"/>
  <c r="BL50" i="20"/>
  <c r="BK50" i="20"/>
  <c r="BJ50" i="20"/>
  <c r="BI50" i="20"/>
  <c r="AX50" i="20"/>
  <c r="BA50" i="20"/>
  <c r="BD50" i="20"/>
  <c r="BF50" i="20"/>
  <c r="AT50" i="20"/>
  <c r="AS50" i="20"/>
  <c r="AR50" i="20"/>
  <c r="AQ50" i="20"/>
  <c r="AO50" i="20"/>
  <c r="AC50" i="20"/>
  <c r="AA50" i="20"/>
  <c r="Z50" i="20"/>
  <c r="U50" i="20"/>
  <c r="P50" i="20"/>
  <c r="M50" i="20"/>
  <c r="J50" i="20"/>
  <c r="I50" i="20"/>
  <c r="H50" i="20"/>
  <c r="F50" i="20"/>
  <c r="EG49" i="20"/>
  <c r="EF49" i="20"/>
  <c r="EC49" i="20"/>
  <c r="EB49" i="20"/>
  <c r="EA49" i="20"/>
  <c r="DZ49" i="20"/>
  <c r="DS49" i="20"/>
  <c r="DC49" i="20"/>
  <c r="DD49" i="20"/>
  <c r="DE49" i="20"/>
  <c r="DF49" i="20"/>
  <c r="DG49" i="20"/>
  <c r="DH49" i="20"/>
  <c r="DI49" i="20"/>
  <c r="DJ49" i="20"/>
  <c r="DK49" i="20"/>
  <c r="DL49" i="20"/>
  <c r="DM49" i="20"/>
  <c r="DA49" i="20"/>
  <c r="CZ49" i="20"/>
  <c r="X49" i="20"/>
  <c r="V49" i="20"/>
  <c r="W49" i="20"/>
  <c r="Y49" i="20"/>
  <c r="AZ49" i="20"/>
  <c r="BE49" i="20"/>
  <c r="CO49" i="20"/>
  <c r="CN49" i="20"/>
  <c r="CP49" i="20"/>
  <c r="CQ49" i="20"/>
  <c r="CM49" i="20"/>
  <c r="CJ49" i="20"/>
  <c r="CI49" i="20"/>
  <c r="BH49" i="20"/>
  <c r="CF49" i="20"/>
  <c r="CE49" i="20"/>
  <c r="CG49" i="20"/>
  <c r="CH49" i="20"/>
  <c r="CD49" i="20"/>
  <c r="AY49" i="20"/>
  <c r="BC49" i="20"/>
  <c r="CA49" i="20"/>
  <c r="CB49" i="20"/>
  <c r="CC49" i="20"/>
  <c r="BL49" i="20"/>
  <c r="BK49" i="20"/>
  <c r="BJ49" i="20"/>
  <c r="BI49" i="20"/>
  <c r="AX49" i="20"/>
  <c r="BA49" i="20"/>
  <c r="BD49" i="20"/>
  <c r="BF49" i="20"/>
  <c r="AT49" i="20"/>
  <c r="AS49" i="20"/>
  <c r="AR49" i="20"/>
  <c r="AQ49" i="20"/>
  <c r="AO49" i="20"/>
  <c r="AC49" i="20"/>
  <c r="AA49" i="20"/>
  <c r="Z49" i="20"/>
  <c r="U49" i="20"/>
  <c r="P49" i="20"/>
  <c r="M49" i="20"/>
  <c r="J49" i="20"/>
  <c r="I49" i="20"/>
  <c r="H49" i="20"/>
  <c r="F49" i="20"/>
  <c r="EG48" i="20"/>
  <c r="EF48" i="20"/>
  <c r="EC48" i="20"/>
  <c r="EB48" i="20"/>
  <c r="EA48" i="20"/>
  <c r="DZ48" i="20"/>
  <c r="DS48" i="20"/>
  <c r="DC48" i="20"/>
  <c r="DD48" i="20"/>
  <c r="DE48" i="20"/>
  <c r="DF48" i="20"/>
  <c r="DG48" i="20"/>
  <c r="DH48" i="20"/>
  <c r="DI48" i="20"/>
  <c r="DJ48" i="20"/>
  <c r="DK48" i="20"/>
  <c r="DL48" i="20"/>
  <c r="DM48" i="20"/>
  <c r="DA48" i="20"/>
  <c r="CZ48" i="20"/>
  <c r="X48" i="20"/>
  <c r="V48" i="20"/>
  <c r="W48" i="20"/>
  <c r="Y48" i="20"/>
  <c r="AZ48" i="20"/>
  <c r="BE48" i="20"/>
  <c r="CO48" i="20"/>
  <c r="CN48" i="20"/>
  <c r="CP48" i="20"/>
  <c r="CQ48" i="20"/>
  <c r="CM48" i="20"/>
  <c r="CJ48" i="20"/>
  <c r="CI48" i="20"/>
  <c r="BH48" i="20"/>
  <c r="CF48" i="20"/>
  <c r="CE48" i="20"/>
  <c r="CG48" i="20"/>
  <c r="CH48" i="20"/>
  <c r="CD48" i="20"/>
  <c r="AY48" i="20"/>
  <c r="BC48" i="20"/>
  <c r="CA48" i="20"/>
  <c r="CB48" i="20"/>
  <c r="CC48" i="20"/>
  <c r="BL48" i="20"/>
  <c r="BK48" i="20"/>
  <c r="BJ48" i="20"/>
  <c r="BI48" i="20"/>
  <c r="AX48" i="20"/>
  <c r="BA48" i="20"/>
  <c r="BD48" i="20"/>
  <c r="BF48" i="20"/>
  <c r="AT48" i="20"/>
  <c r="AS48" i="20"/>
  <c r="AR48" i="20"/>
  <c r="AQ48" i="20"/>
  <c r="AO48" i="20"/>
  <c r="AC48" i="20"/>
  <c r="AA48" i="20"/>
  <c r="Z48" i="20"/>
  <c r="U48" i="20"/>
  <c r="P48" i="20"/>
  <c r="M48" i="20"/>
  <c r="J48" i="20"/>
  <c r="I48" i="20"/>
  <c r="H48" i="20"/>
  <c r="F48" i="20"/>
  <c r="EG47" i="20"/>
  <c r="EF47" i="20"/>
  <c r="EC47" i="20"/>
  <c r="EB47" i="20"/>
  <c r="EA47" i="20"/>
  <c r="DZ47" i="20"/>
  <c r="DS47" i="20"/>
  <c r="DC47" i="20"/>
  <c r="DD47" i="20"/>
  <c r="DE47" i="20"/>
  <c r="DF47" i="20"/>
  <c r="DG47" i="20"/>
  <c r="DH47" i="20"/>
  <c r="DI47" i="20"/>
  <c r="DJ47" i="20"/>
  <c r="DK47" i="20"/>
  <c r="DL47" i="20"/>
  <c r="DM47" i="20"/>
  <c r="DA47" i="20"/>
  <c r="CZ47" i="20"/>
  <c r="X47" i="20"/>
  <c r="V47" i="20"/>
  <c r="W47" i="20"/>
  <c r="Y47" i="20"/>
  <c r="AZ47" i="20"/>
  <c r="BE47" i="20"/>
  <c r="CO47" i="20"/>
  <c r="CN47" i="20"/>
  <c r="CP47" i="20"/>
  <c r="CQ47" i="20"/>
  <c r="CM47" i="20"/>
  <c r="CJ47" i="20"/>
  <c r="CI47" i="20"/>
  <c r="BH47" i="20"/>
  <c r="CF47" i="20"/>
  <c r="CE47" i="20"/>
  <c r="CG47" i="20"/>
  <c r="CH47" i="20"/>
  <c r="CD47" i="20"/>
  <c r="AY47" i="20"/>
  <c r="BC47" i="20"/>
  <c r="CA47" i="20"/>
  <c r="CB47" i="20"/>
  <c r="CC47" i="20"/>
  <c r="BL47" i="20"/>
  <c r="BK47" i="20"/>
  <c r="BJ47" i="20"/>
  <c r="BI47" i="20"/>
  <c r="AX47" i="20"/>
  <c r="BA47" i="20"/>
  <c r="BD47" i="20"/>
  <c r="BF47" i="20"/>
  <c r="AT47" i="20"/>
  <c r="AS47" i="20"/>
  <c r="AR47" i="20"/>
  <c r="AQ47" i="20"/>
  <c r="AO47" i="20"/>
  <c r="AC47" i="20"/>
  <c r="AA47" i="20"/>
  <c r="Z47" i="20"/>
  <c r="U47" i="20"/>
  <c r="P47" i="20"/>
  <c r="M47" i="20"/>
  <c r="J47" i="20"/>
  <c r="I47" i="20"/>
  <c r="H47" i="20"/>
  <c r="F47" i="20"/>
  <c r="EG46" i="20"/>
  <c r="EF46" i="20"/>
  <c r="EC46" i="20"/>
  <c r="EB46" i="20"/>
  <c r="EA46" i="20"/>
  <c r="DZ46" i="20"/>
  <c r="DS46" i="20"/>
  <c r="DC46" i="20"/>
  <c r="DD46" i="20"/>
  <c r="DE46" i="20"/>
  <c r="DF46" i="20"/>
  <c r="DG46" i="20"/>
  <c r="DH46" i="20"/>
  <c r="DI46" i="20"/>
  <c r="DJ46" i="20"/>
  <c r="DK46" i="20"/>
  <c r="DL46" i="20"/>
  <c r="DM46" i="20"/>
  <c r="DA46" i="20"/>
  <c r="CZ46" i="20"/>
  <c r="X46" i="20"/>
  <c r="V46" i="20"/>
  <c r="W46" i="20"/>
  <c r="Y46" i="20"/>
  <c r="AZ46" i="20"/>
  <c r="BE46" i="20"/>
  <c r="CO46" i="20"/>
  <c r="CN46" i="20"/>
  <c r="CP46" i="20"/>
  <c r="CQ46" i="20"/>
  <c r="CM46" i="20"/>
  <c r="CJ46" i="20"/>
  <c r="CI46" i="20"/>
  <c r="BH46" i="20"/>
  <c r="CF46" i="20"/>
  <c r="CE46" i="20"/>
  <c r="CG46" i="20"/>
  <c r="CH46" i="20"/>
  <c r="CD46" i="20"/>
  <c r="AY46" i="20"/>
  <c r="BC46" i="20"/>
  <c r="CA46" i="20"/>
  <c r="CB46" i="20"/>
  <c r="CC46" i="20"/>
  <c r="BL46" i="20"/>
  <c r="BK46" i="20"/>
  <c r="BJ46" i="20"/>
  <c r="BI46" i="20"/>
  <c r="AX46" i="20"/>
  <c r="BA46" i="20"/>
  <c r="BD46" i="20"/>
  <c r="BF46" i="20"/>
  <c r="AT46" i="20"/>
  <c r="AS46" i="20"/>
  <c r="AR46" i="20"/>
  <c r="AQ46" i="20"/>
  <c r="AO46" i="20"/>
  <c r="AC46" i="20"/>
  <c r="AA46" i="20"/>
  <c r="Z46" i="20"/>
  <c r="U46" i="20"/>
  <c r="P46" i="20"/>
  <c r="M46" i="20"/>
  <c r="J46" i="20"/>
  <c r="I46" i="20"/>
  <c r="H46" i="20"/>
  <c r="F46" i="20"/>
  <c r="EG45" i="20"/>
  <c r="EF45" i="20"/>
  <c r="EC45" i="20"/>
  <c r="EB45" i="20"/>
  <c r="EA45" i="20"/>
  <c r="DZ45" i="20"/>
  <c r="DS45" i="20"/>
  <c r="DC45" i="20"/>
  <c r="DD45" i="20"/>
  <c r="DE45" i="20"/>
  <c r="DF45" i="20"/>
  <c r="DG45" i="20"/>
  <c r="DH45" i="20"/>
  <c r="DI45" i="20"/>
  <c r="DJ45" i="20"/>
  <c r="DK45" i="20"/>
  <c r="DL45" i="20"/>
  <c r="DM45" i="20"/>
  <c r="DA45" i="20"/>
  <c r="CZ45" i="20"/>
  <c r="X45" i="20"/>
  <c r="V45" i="20"/>
  <c r="W45" i="20"/>
  <c r="Y45" i="20"/>
  <c r="AZ45" i="20"/>
  <c r="BE45" i="20"/>
  <c r="CO45" i="20"/>
  <c r="CN45" i="20"/>
  <c r="CP45" i="20"/>
  <c r="CQ45" i="20"/>
  <c r="CM45" i="20"/>
  <c r="CJ45" i="20"/>
  <c r="CI45" i="20"/>
  <c r="BH45" i="20"/>
  <c r="CF45" i="20"/>
  <c r="CE45" i="20"/>
  <c r="CG45" i="20"/>
  <c r="CH45" i="20"/>
  <c r="CD45" i="20"/>
  <c r="AY45" i="20"/>
  <c r="BC45" i="20"/>
  <c r="CA45" i="20"/>
  <c r="CB45" i="20"/>
  <c r="CC45" i="20"/>
  <c r="BL45" i="20"/>
  <c r="BJ45" i="20"/>
  <c r="BI45" i="20"/>
  <c r="AX45" i="20"/>
  <c r="BA45" i="20"/>
  <c r="BD45" i="20"/>
  <c r="BF45" i="20"/>
  <c r="AT45" i="20"/>
  <c r="AS45" i="20"/>
  <c r="AR45" i="20"/>
  <c r="AQ45" i="20"/>
  <c r="AO45" i="20"/>
  <c r="AC45" i="20"/>
  <c r="AA45" i="20"/>
  <c r="Z45" i="20"/>
  <c r="U45" i="20"/>
  <c r="P45" i="20"/>
  <c r="M45" i="20"/>
  <c r="J45" i="20"/>
  <c r="I45" i="20"/>
  <c r="H45" i="20"/>
  <c r="F45" i="20"/>
  <c r="EG44" i="20"/>
  <c r="EF44" i="20"/>
  <c r="EC44" i="20"/>
  <c r="EB44" i="20"/>
  <c r="EA44" i="20"/>
  <c r="DZ44" i="20"/>
  <c r="DS44" i="20"/>
  <c r="DC44" i="20"/>
  <c r="DD44" i="20"/>
  <c r="DE44" i="20"/>
  <c r="DF44" i="20"/>
  <c r="DG44" i="20"/>
  <c r="DH44" i="20"/>
  <c r="DI44" i="20"/>
  <c r="DJ44" i="20"/>
  <c r="DK44" i="20"/>
  <c r="DL44" i="20"/>
  <c r="DM44" i="20"/>
  <c r="DA44" i="20"/>
  <c r="CZ44" i="20"/>
  <c r="X44" i="20"/>
  <c r="V44" i="20"/>
  <c r="W44" i="20"/>
  <c r="Y44" i="20"/>
  <c r="AZ44" i="20"/>
  <c r="BE44" i="20"/>
  <c r="CO44" i="20"/>
  <c r="CN44" i="20"/>
  <c r="CP44" i="20"/>
  <c r="CQ44" i="20"/>
  <c r="CM44" i="20"/>
  <c r="CJ44" i="20"/>
  <c r="CI44" i="20"/>
  <c r="BH44" i="20"/>
  <c r="CF44" i="20"/>
  <c r="CE44" i="20"/>
  <c r="CG44" i="20"/>
  <c r="CH44" i="20"/>
  <c r="CD44" i="20"/>
  <c r="AY44" i="20"/>
  <c r="BC44" i="20"/>
  <c r="CA44" i="20"/>
  <c r="CB44" i="20"/>
  <c r="CC44" i="20"/>
  <c r="BL44" i="20"/>
  <c r="BJ44" i="20"/>
  <c r="BI44" i="20"/>
  <c r="AX44" i="20"/>
  <c r="BA44" i="20"/>
  <c r="BD44" i="20"/>
  <c r="BF44" i="20"/>
  <c r="AT44" i="20"/>
  <c r="AS44" i="20"/>
  <c r="AR44" i="20"/>
  <c r="AQ44" i="20"/>
  <c r="AO44" i="20"/>
  <c r="AC44" i="20"/>
  <c r="AA44" i="20"/>
  <c r="Z44" i="20"/>
  <c r="U44" i="20"/>
  <c r="P44" i="20"/>
  <c r="M44" i="20"/>
  <c r="J44" i="20"/>
  <c r="I44" i="20"/>
  <c r="H44" i="20"/>
  <c r="F44" i="20"/>
  <c r="EG43" i="20"/>
  <c r="EF43" i="20"/>
  <c r="EC43" i="20"/>
  <c r="EB43" i="20"/>
  <c r="EA43" i="20"/>
  <c r="DZ43" i="20"/>
  <c r="DS43" i="20"/>
  <c r="DC43" i="20"/>
  <c r="DD43" i="20"/>
  <c r="DE43" i="20"/>
  <c r="DF43" i="20"/>
  <c r="DG43" i="20"/>
  <c r="DH43" i="20"/>
  <c r="DI43" i="20"/>
  <c r="DJ43" i="20"/>
  <c r="DK43" i="20"/>
  <c r="DL43" i="20"/>
  <c r="DM43" i="20"/>
  <c r="DA43" i="20"/>
  <c r="CZ43" i="20"/>
  <c r="X43" i="20"/>
  <c r="V43" i="20"/>
  <c r="W43" i="20"/>
  <c r="Y43" i="20"/>
  <c r="AZ43" i="20"/>
  <c r="BE43" i="20"/>
  <c r="CO43" i="20"/>
  <c r="CN43" i="20"/>
  <c r="CP43" i="20"/>
  <c r="CQ43" i="20"/>
  <c r="CM43" i="20"/>
  <c r="CJ43" i="20"/>
  <c r="CI43" i="20"/>
  <c r="BH43" i="20"/>
  <c r="CF43" i="20"/>
  <c r="CE43" i="20"/>
  <c r="CG43" i="20"/>
  <c r="CH43" i="20"/>
  <c r="CD43" i="20"/>
  <c r="AY43" i="20"/>
  <c r="BC43" i="20"/>
  <c r="CA43" i="20"/>
  <c r="CB43" i="20"/>
  <c r="CC43" i="20"/>
  <c r="BL43" i="20"/>
  <c r="BJ43" i="20"/>
  <c r="BI43" i="20"/>
  <c r="AX43" i="20"/>
  <c r="BA43" i="20"/>
  <c r="BD43" i="20"/>
  <c r="BF43" i="20"/>
  <c r="AT43" i="20"/>
  <c r="AS43" i="20"/>
  <c r="AR43" i="20"/>
  <c r="AQ43" i="20"/>
  <c r="AO43" i="20"/>
  <c r="AC43" i="20"/>
  <c r="AA43" i="20"/>
  <c r="Z43" i="20"/>
  <c r="U43" i="20"/>
  <c r="P43" i="20"/>
  <c r="M43" i="20"/>
  <c r="J43" i="20"/>
  <c r="I43" i="20"/>
  <c r="H43" i="20"/>
  <c r="F43" i="20"/>
  <c r="EG42" i="20"/>
  <c r="EF42" i="20"/>
  <c r="EC42" i="20"/>
  <c r="EB42" i="20"/>
  <c r="EA42" i="20"/>
  <c r="DZ42" i="20"/>
  <c r="DS42" i="20"/>
  <c r="DC42" i="20"/>
  <c r="DD42" i="20"/>
  <c r="DE42" i="20"/>
  <c r="DF42" i="20"/>
  <c r="DG42" i="20"/>
  <c r="DH42" i="20"/>
  <c r="DI42" i="20"/>
  <c r="DJ42" i="20"/>
  <c r="DK42" i="20"/>
  <c r="DL42" i="20"/>
  <c r="DM42" i="20"/>
  <c r="DA42" i="20"/>
  <c r="CZ42" i="20"/>
  <c r="X42" i="20"/>
  <c r="V42" i="20"/>
  <c r="W42" i="20"/>
  <c r="Y42" i="20"/>
  <c r="AZ42" i="20"/>
  <c r="BE42" i="20"/>
  <c r="CO42" i="20"/>
  <c r="CN42" i="20"/>
  <c r="CP42" i="20"/>
  <c r="CQ42" i="20"/>
  <c r="CM42" i="20"/>
  <c r="CJ42" i="20"/>
  <c r="CI42" i="20"/>
  <c r="BH42" i="20"/>
  <c r="CF42" i="20"/>
  <c r="CE42" i="20"/>
  <c r="CG42" i="20"/>
  <c r="CH42" i="20"/>
  <c r="CD42" i="20"/>
  <c r="AY42" i="20"/>
  <c r="BC42" i="20"/>
  <c r="CA42" i="20"/>
  <c r="CB42" i="20"/>
  <c r="CC42" i="20"/>
  <c r="BL42" i="20"/>
  <c r="BJ42" i="20"/>
  <c r="BI42" i="20"/>
  <c r="AX42" i="20"/>
  <c r="BA42" i="20"/>
  <c r="BD42" i="20"/>
  <c r="BF42" i="20"/>
  <c r="AT42" i="20"/>
  <c r="AS42" i="20"/>
  <c r="AR42" i="20"/>
  <c r="AQ42" i="20"/>
  <c r="AO42" i="20"/>
  <c r="AC42" i="20"/>
  <c r="AA42" i="20"/>
  <c r="Z42" i="20"/>
  <c r="U42" i="20"/>
  <c r="P42" i="20"/>
  <c r="M42" i="20"/>
  <c r="J42" i="20"/>
  <c r="I42" i="20"/>
  <c r="H42" i="20"/>
  <c r="F42" i="20"/>
  <c r="EG41" i="20"/>
  <c r="EF41" i="20"/>
  <c r="EC41" i="20"/>
  <c r="EB41" i="20"/>
  <c r="EA41" i="20"/>
  <c r="DZ41" i="20"/>
  <c r="DS41" i="20"/>
  <c r="DC41" i="20"/>
  <c r="DD41" i="20"/>
  <c r="DE41" i="20"/>
  <c r="DF41" i="20"/>
  <c r="DG41" i="20"/>
  <c r="DH41" i="20"/>
  <c r="DI41" i="20"/>
  <c r="DJ41" i="20"/>
  <c r="DK41" i="20"/>
  <c r="DL41" i="20"/>
  <c r="DM41" i="20"/>
  <c r="DA41" i="20"/>
  <c r="CZ41" i="20"/>
  <c r="X41" i="20"/>
  <c r="V41" i="20"/>
  <c r="W41" i="20"/>
  <c r="Y41" i="20"/>
  <c r="AZ41" i="20"/>
  <c r="BE41" i="20"/>
  <c r="CO41" i="20"/>
  <c r="CN41" i="20"/>
  <c r="CP41" i="20"/>
  <c r="CQ41" i="20"/>
  <c r="CM41" i="20"/>
  <c r="CJ41" i="20"/>
  <c r="CI41" i="20"/>
  <c r="BH41" i="20"/>
  <c r="CF41" i="20"/>
  <c r="CE41" i="20"/>
  <c r="CG41" i="20"/>
  <c r="CH41" i="20"/>
  <c r="CD41" i="20"/>
  <c r="AY41" i="20"/>
  <c r="BC41" i="20"/>
  <c r="CA41" i="20"/>
  <c r="CB41" i="20"/>
  <c r="CC41" i="20"/>
  <c r="BL41" i="20"/>
  <c r="BJ41" i="20"/>
  <c r="BI41" i="20"/>
  <c r="AX41" i="20"/>
  <c r="BA41" i="20"/>
  <c r="BD41" i="20"/>
  <c r="BF41" i="20"/>
  <c r="AT41" i="20"/>
  <c r="AS41" i="20"/>
  <c r="AR41" i="20"/>
  <c r="AQ41" i="20"/>
  <c r="AO41" i="20"/>
  <c r="AC41" i="20"/>
  <c r="AA41" i="20"/>
  <c r="Z41" i="20"/>
  <c r="U41" i="20"/>
  <c r="P41" i="20"/>
  <c r="M41" i="20"/>
  <c r="J41" i="20"/>
  <c r="I41" i="20"/>
  <c r="H41" i="20"/>
  <c r="F41" i="20"/>
  <c r="EG40" i="20"/>
  <c r="EF40" i="20"/>
  <c r="EC40" i="20"/>
  <c r="EB40" i="20"/>
  <c r="EA40" i="20"/>
  <c r="DZ40" i="20"/>
  <c r="DS40" i="20"/>
  <c r="DC40" i="20"/>
  <c r="DD40" i="20"/>
  <c r="DE40" i="20"/>
  <c r="DF40" i="20"/>
  <c r="DG40" i="20"/>
  <c r="DH40" i="20"/>
  <c r="DI40" i="20"/>
  <c r="DJ40" i="20"/>
  <c r="DK40" i="20"/>
  <c r="DL40" i="20"/>
  <c r="DM40" i="20"/>
  <c r="DA40" i="20"/>
  <c r="CZ40" i="20"/>
  <c r="X40" i="20"/>
  <c r="V40" i="20"/>
  <c r="W40" i="20"/>
  <c r="Y40" i="20"/>
  <c r="AZ40" i="20"/>
  <c r="BE40" i="20"/>
  <c r="CO40" i="20"/>
  <c r="CN40" i="20"/>
  <c r="CP40" i="20"/>
  <c r="CQ40" i="20"/>
  <c r="CM40" i="20"/>
  <c r="CJ40" i="20"/>
  <c r="CI40" i="20"/>
  <c r="BH40" i="20"/>
  <c r="CF40" i="20"/>
  <c r="CE40" i="20"/>
  <c r="CG40" i="20"/>
  <c r="CH40" i="20"/>
  <c r="CD40" i="20"/>
  <c r="AY40" i="20"/>
  <c r="BC40" i="20"/>
  <c r="CA40" i="20"/>
  <c r="CB40" i="20"/>
  <c r="CC40" i="20"/>
  <c r="BL40" i="20"/>
  <c r="BJ40" i="20"/>
  <c r="BI40" i="20"/>
  <c r="AX40" i="20"/>
  <c r="BA40" i="20"/>
  <c r="BD40" i="20"/>
  <c r="BF40" i="20"/>
  <c r="AT40" i="20"/>
  <c r="AS40" i="20"/>
  <c r="AR40" i="20"/>
  <c r="AQ40" i="20"/>
  <c r="AO40" i="20"/>
  <c r="AC40" i="20"/>
  <c r="AA40" i="20"/>
  <c r="Z40" i="20"/>
  <c r="U40" i="20"/>
  <c r="P40" i="20"/>
  <c r="M40" i="20"/>
  <c r="J40" i="20"/>
  <c r="I40" i="20"/>
  <c r="H40" i="20"/>
  <c r="F40" i="20"/>
  <c r="EG39" i="20"/>
  <c r="EF39" i="20"/>
  <c r="EC39" i="20"/>
  <c r="EB39" i="20"/>
  <c r="EA39" i="20"/>
  <c r="DZ39" i="20"/>
  <c r="DS39" i="20"/>
  <c r="DC39" i="20"/>
  <c r="DD39" i="20"/>
  <c r="DE39" i="20"/>
  <c r="DF39" i="20"/>
  <c r="DG39" i="20"/>
  <c r="DH39" i="20"/>
  <c r="DI39" i="20"/>
  <c r="DJ39" i="20"/>
  <c r="DK39" i="20"/>
  <c r="DL39" i="20"/>
  <c r="DM39" i="20"/>
  <c r="DA39" i="20"/>
  <c r="CZ39" i="20"/>
  <c r="X39" i="20"/>
  <c r="V39" i="20"/>
  <c r="W39" i="20"/>
  <c r="Y39" i="20"/>
  <c r="AZ39" i="20"/>
  <c r="BE39" i="20"/>
  <c r="CO39" i="20"/>
  <c r="CN39" i="20"/>
  <c r="CP39" i="20"/>
  <c r="CQ39" i="20"/>
  <c r="CM39" i="20"/>
  <c r="CJ39" i="20"/>
  <c r="CI39" i="20"/>
  <c r="BH39" i="20"/>
  <c r="CF39" i="20"/>
  <c r="CE39" i="20"/>
  <c r="CG39" i="20"/>
  <c r="CH39" i="20"/>
  <c r="CD39" i="20"/>
  <c r="AY39" i="20"/>
  <c r="BC39" i="20"/>
  <c r="CA39" i="20"/>
  <c r="CB39" i="20"/>
  <c r="CC39" i="20"/>
  <c r="BL39" i="20"/>
  <c r="BJ39" i="20"/>
  <c r="BI39" i="20"/>
  <c r="AX39" i="20"/>
  <c r="BA39" i="20"/>
  <c r="BD39" i="20"/>
  <c r="BF39" i="20"/>
  <c r="AT39" i="20"/>
  <c r="AS39" i="20"/>
  <c r="AR39" i="20"/>
  <c r="AQ39" i="20"/>
  <c r="AO39" i="20"/>
  <c r="AC39" i="20"/>
  <c r="AA39" i="20"/>
  <c r="Z39" i="20"/>
  <c r="U39" i="20"/>
  <c r="P39" i="20"/>
  <c r="M39" i="20"/>
  <c r="J39" i="20"/>
  <c r="I39" i="20"/>
  <c r="H39" i="20"/>
  <c r="F39" i="20"/>
  <c r="EG38" i="20"/>
  <c r="EF38" i="20"/>
  <c r="EC38" i="20"/>
  <c r="EB38" i="20"/>
  <c r="EA38" i="20"/>
  <c r="DZ38" i="20"/>
  <c r="DS38" i="20"/>
  <c r="DC38" i="20"/>
  <c r="DD38" i="20"/>
  <c r="DE38" i="20"/>
  <c r="DF38" i="20"/>
  <c r="DG38" i="20"/>
  <c r="DH38" i="20"/>
  <c r="DI38" i="20"/>
  <c r="DJ38" i="20"/>
  <c r="DK38" i="20"/>
  <c r="DL38" i="20"/>
  <c r="DM38" i="20"/>
  <c r="DA38" i="20"/>
  <c r="CZ38" i="20"/>
  <c r="X38" i="20"/>
  <c r="V38" i="20"/>
  <c r="W38" i="20"/>
  <c r="Y38" i="20"/>
  <c r="AZ38" i="20"/>
  <c r="BE38" i="20"/>
  <c r="CO38" i="20"/>
  <c r="CN38" i="20"/>
  <c r="CP38" i="20"/>
  <c r="CQ38" i="20"/>
  <c r="CM38" i="20"/>
  <c r="CJ38" i="20"/>
  <c r="CI38" i="20"/>
  <c r="BH38" i="20"/>
  <c r="CF38" i="20"/>
  <c r="CE38" i="20"/>
  <c r="CG38" i="20"/>
  <c r="CH38" i="20"/>
  <c r="CD38" i="20"/>
  <c r="AY38" i="20"/>
  <c r="BC38" i="20"/>
  <c r="CA38" i="20"/>
  <c r="CB38" i="20"/>
  <c r="CC38" i="20"/>
  <c r="BL38" i="20"/>
  <c r="BJ38" i="20"/>
  <c r="BI38" i="20"/>
  <c r="AX38" i="20"/>
  <c r="BA38" i="20"/>
  <c r="BD38" i="20"/>
  <c r="BF38" i="20"/>
  <c r="AT38" i="20"/>
  <c r="AS38" i="20"/>
  <c r="AR38" i="20"/>
  <c r="AQ38" i="20"/>
  <c r="AO38" i="20"/>
  <c r="AC38" i="20"/>
  <c r="AA38" i="20"/>
  <c r="Z38" i="20"/>
  <c r="U38" i="20"/>
  <c r="P38" i="20"/>
  <c r="M38" i="20"/>
  <c r="J38" i="20"/>
  <c r="I38" i="20"/>
  <c r="H38" i="20"/>
  <c r="F38" i="20"/>
  <c r="EG37" i="20"/>
  <c r="EF37" i="20"/>
  <c r="EC37" i="20"/>
  <c r="EB37" i="20"/>
  <c r="EA37" i="20"/>
  <c r="DZ37" i="20"/>
  <c r="DS37" i="20"/>
  <c r="DC37" i="20"/>
  <c r="DD37" i="20"/>
  <c r="DE37" i="20"/>
  <c r="DF37" i="20"/>
  <c r="DG37" i="20"/>
  <c r="DH37" i="20"/>
  <c r="DI37" i="20"/>
  <c r="DJ37" i="20"/>
  <c r="DK37" i="20"/>
  <c r="DL37" i="20"/>
  <c r="DM37" i="20"/>
  <c r="DA37" i="20"/>
  <c r="CZ37" i="20"/>
  <c r="X37" i="20"/>
  <c r="V37" i="20"/>
  <c r="W37" i="20"/>
  <c r="Y37" i="20"/>
  <c r="AZ37" i="20"/>
  <c r="BE37" i="20"/>
  <c r="CO37" i="20"/>
  <c r="CN37" i="20"/>
  <c r="CP37" i="20"/>
  <c r="CQ37" i="20"/>
  <c r="CM37" i="20"/>
  <c r="CJ37" i="20"/>
  <c r="CI37" i="20"/>
  <c r="BH37" i="20"/>
  <c r="CF37" i="20"/>
  <c r="CE37" i="20"/>
  <c r="CG37" i="20"/>
  <c r="CH37" i="20"/>
  <c r="CD37" i="20"/>
  <c r="AY37" i="20"/>
  <c r="BC37" i="20"/>
  <c r="CA37" i="20"/>
  <c r="CB37" i="20"/>
  <c r="CC37" i="20"/>
  <c r="BL37" i="20"/>
  <c r="BJ37" i="20"/>
  <c r="BI37" i="20"/>
  <c r="AX37" i="20"/>
  <c r="BA37" i="20"/>
  <c r="BD37" i="20"/>
  <c r="BF37" i="20"/>
  <c r="AT37" i="20"/>
  <c r="AS37" i="20"/>
  <c r="AR37" i="20"/>
  <c r="AQ37" i="20"/>
  <c r="AO37" i="20"/>
  <c r="AC37" i="20"/>
  <c r="AA37" i="20"/>
  <c r="Z37" i="20"/>
  <c r="U37" i="20"/>
  <c r="P37" i="20"/>
  <c r="M37" i="20"/>
  <c r="J37" i="20"/>
  <c r="I37" i="20"/>
  <c r="H37" i="20"/>
  <c r="F37" i="20"/>
  <c r="EG36" i="20"/>
  <c r="EF36" i="20"/>
  <c r="EC36" i="20"/>
  <c r="EB36" i="20"/>
  <c r="EA36" i="20"/>
  <c r="DZ36" i="20"/>
  <c r="DS36" i="20"/>
  <c r="DC36" i="20"/>
  <c r="DD36" i="20"/>
  <c r="DE36" i="20"/>
  <c r="DF36" i="20"/>
  <c r="DG36" i="20"/>
  <c r="DH36" i="20"/>
  <c r="DI36" i="20"/>
  <c r="DJ36" i="20"/>
  <c r="DK36" i="20"/>
  <c r="DL36" i="20"/>
  <c r="DM36" i="20"/>
  <c r="DA36" i="20"/>
  <c r="CZ36" i="20"/>
  <c r="X36" i="20"/>
  <c r="V36" i="20"/>
  <c r="W36" i="20"/>
  <c r="Y36" i="20"/>
  <c r="AZ36" i="20"/>
  <c r="BE36" i="20"/>
  <c r="CO36" i="20"/>
  <c r="CN36" i="20"/>
  <c r="CP36" i="20"/>
  <c r="CQ36" i="20"/>
  <c r="CM36" i="20"/>
  <c r="CJ36" i="20"/>
  <c r="CI36" i="20"/>
  <c r="BH36" i="20"/>
  <c r="CF36" i="20"/>
  <c r="CE36" i="20"/>
  <c r="CG36" i="20"/>
  <c r="CH36" i="20"/>
  <c r="CD36" i="20"/>
  <c r="AY36" i="20"/>
  <c r="BC36" i="20"/>
  <c r="CA36" i="20"/>
  <c r="CB36" i="20"/>
  <c r="CC36" i="20"/>
  <c r="BL36" i="20"/>
  <c r="BI36" i="20"/>
  <c r="AX36" i="20"/>
  <c r="BA36" i="20"/>
  <c r="BD36" i="20"/>
  <c r="BF36" i="20"/>
  <c r="AT36" i="20"/>
  <c r="AS36" i="20"/>
  <c r="AR36" i="20"/>
  <c r="AQ36" i="20"/>
  <c r="AO36" i="20"/>
  <c r="AC36" i="20"/>
  <c r="AA36" i="20"/>
  <c r="Z36" i="20"/>
  <c r="U36" i="20"/>
  <c r="P36" i="20"/>
  <c r="M36" i="20"/>
  <c r="J36" i="20"/>
  <c r="I36" i="20"/>
  <c r="H36" i="20"/>
  <c r="F36" i="20"/>
  <c r="EG35" i="20"/>
  <c r="EF35" i="20"/>
  <c r="EC35" i="20"/>
  <c r="EB35" i="20"/>
  <c r="EA35" i="20"/>
  <c r="DZ35" i="20"/>
  <c r="DS35" i="20"/>
  <c r="DC35" i="20"/>
  <c r="DD35" i="20"/>
  <c r="DE35" i="20"/>
  <c r="DF35" i="20"/>
  <c r="DG35" i="20"/>
  <c r="DH35" i="20"/>
  <c r="DI35" i="20"/>
  <c r="DJ35" i="20"/>
  <c r="DK35" i="20"/>
  <c r="DL35" i="20"/>
  <c r="DM35" i="20"/>
  <c r="DA35" i="20"/>
  <c r="CZ35" i="20"/>
  <c r="X35" i="20"/>
  <c r="V35" i="20"/>
  <c r="W35" i="20"/>
  <c r="Y35" i="20"/>
  <c r="AZ35" i="20"/>
  <c r="BE35" i="20"/>
  <c r="CO35" i="20"/>
  <c r="CN35" i="20"/>
  <c r="CP35" i="20"/>
  <c r="CQ35" i="20"/>
  <c r="CM35" i="20"/>
  <c r="CJ35" i="20"/>
  <c r="CI35" i="20"/>
  <c r="BH35" i="20"/>
  <c r="CF35" i="20"/>
  <c r="CE35" i="20"/>
  <c r="CG35" i="20"/>
  <c r="CH35" i="20"/>
  <c r="CD35" i="20"/>
  <c r="AY35" i="20"/>
  <c r="BC35" i="20"/>
  <c r="CA35" i="20"/>
  <c r="CB35" i="20"/>
  <c r="CC35" i="20"/>
  <c r="BL35" i="20"/>
  <c r="BI35" i="20"/>
  <c r="AX35" i="20"/>
  <c r="BA35" i="20"/>
  <c r="BD35" i="20"/>
  <c r="BF35" i="20"/>
  <c r="AT35" i="20"/>
  <c r="AS35" i="20"/>
  <c r="AR35" i="20"/>
  <c r="AQ35" i="20"/>
  <c r="AO35" i="20"/>
  <c r="AC35" i="20"/>
  <c r="AA35" i="20"/>
  <c r="Z35" i="20"/>
  <c r="U35" i="20"/>
  <c r="P35" i="20"/>
  <c r="M35" i="20"/>
  <c r="J35" i="20"/>
  <c r="I35" i="20"/>
  <c r="H35" i="20"/>
  <c r="F35" i="20"/>
  <c r="EG34" i="20"/>
  <c r="EF34" i="20"/>
  <c r="EC34" i="20"/>
  <c r="EB34" i="20"/>
  <c r="EA34" i="20"/>
  <c r="DZ34" i="20"/>
  <c r="DS34" i="20"/>
  <c r="DC34" i="20"/>
  <c r="DD34" i="20"/>
  <c r="DE34" i="20"/>
  <c r="DF34" i="20"/>
  <c r="DG34" i="20"/>
  <c r="DH34" i="20"/>
  <c r="DI34" i="20"/>
  <c r="DJ34" i="20"/>
  <c r="DK34" i="20"/>
  <c r="DL34" i="20"/>
  <c r="DM34" i="20"/>
  <c r="DA34" i="20"/>
  <c r="CZ34" i="20"/>
  <c r="X34" i="20"/>
  <c r="V34" i="20"/>
  <c r="W34" i="20"/>
  <c r="Y34" i="20"/>
  <c r="AZ34" i="20"/>
  <c r="BE34" i="20"/>
  <c r="CO34" i="20"/>
  <c r="CN34" i="20"/>
  <c r="CP34" i="20"/>
  <c r="CQ34" i="20"/>
  <c r="CM34" i="20"/>
  <c r="CJ34" i="20"/>
  <c r="CI34" i="20"/>
  <c r="BH34" i="20"/>
  <c r="CF34" i="20"/>
  <c r="CE34" i="20"/>
  <c r="CG34" i="20"/>
  <c r="CH34" i="20"/>
  <c r="CD34" i="20"/>
  <c r="AY34" i="20"/>
  <c r="BC34" i="20"/>
  <c r="CA34" i="20"/>
  <c r="CB34" i="20"/>
  <c r="CC34" i="20"/>
  <c r="BL34" i="20"/>
  <c r="BI34" i="20"/>
  <c r="AX34" i="20"/>
  <c r="BA34" i="20"/>
  <c r="BD34" i="20"/>
  <c r="BF34" i="20"/>
  <c r="AT34" i="20"/>
  <c r="AS34" i="20"/>
  <c r="AR34" i="20"/>
  <c r="AQ34" i="20"/>
  <c r="AO34" i="20"/>
  <c r="AC34" i="20"/>
  <c r="AA34" i="20"/>
  <c r="Z34" i="20"/>
  <c r="U34" i="20"/>
  <c r="P34" i="20"/>
  <c r="M34" i="20"/>
  <c r="J34" i="20"/>
  <c r="I34" i="20"/>
  <c r="H34" i="20"/>
  <c r="F34" i="20"/>
  <c r="EG33" i="20"/>
  <c r="EF33" i="20"/>
  <c r="EC33" i="20"/>
  <c r="EB33" i="20"/>
  <c r="EA33" i="20"/>
  <c r="DZ33" i="20"/>
  <c r="DS33" i="20"/>
  <c r="DC33" i="20"/>
  <c r="DD33" i="20"/>
  <c r="DE33" i="20"/>
  <c r="DF33" i="20"/>
  <c r="DG33" i="20"/>
  <c r="DH33" i="20"/>
  <c r="DI33" i="20"/>
  <c r="DJ33" i="20"/>
  <c r="DK33" i="20"/>
  <c r="DL33" i="20"/>
  <c r="DM33" i="20"/>
  <c r="DA33" i="20"/>
  <c r="CZ33" i="20"/>
  <c r="X33" i="20"/>
  <c r="V33" i="20"/>
  <c r="W33" i="20"/>
  <c r="Y33" i="20"/>
  <c r="AZ33" i="20"/>
  <c r="BE33" i="20"/>
  <c r="CO33" i="20"/>
  <c r="CN33" i="20"/>
  <c r="CP33" i="20"/>
  <c r="CQ33" i="20"/>
  <c r="CM33" i="20"/>
  <c r="CJ33" i="20"/>
  <c r="CI33" i="20"/>
  <c r="BH33" i="20"/>
  <c r="CF33" i="20"/>
  <c r="CE33" i="20"/>
  <c r="CG33" i="20"/>
  <c r="CH33" i="20"/>
  <c r="CD33" i="20"/>
  <c r="AY33" i="20"/>
  <c r="BC33" i="20"/>
  <c r="CA33" i="20"/>
  <c r="CB33" i="20"/>
  <c r="CC33" i="20"/>
  <c r="BL33" i="20"/>
  <c r="BI33" i="20"/>
  <c r="AX33" i="20"/>
  <c r="BA33" i="20"/>
  <c r="BD33" i="20"/>
  <c r="BF33" i="20"/>
  <c r="AT33" i="20"/>
  <c r="AS33" i="20"/>
  <c r="AR33" i="20"/>
  <c r="AQ33" i="20"/>
  <c r="AO33" i="20"/>
  <c r="AC33" i="20"/>
  <c r="AA33" i="20"/>
  <c r="Z33" i="20"/>
  <c r="U33" i="20"/>
  <c r="P33" i="20"/>
  <c r="M33" i="20"/>
  <c r="J33" i="20"/>
  <c r="I33" i="20"/>
  <c r="H33" i="20"/>
  <c r="F33" i="20"/>
  <c r="EG32" i="20"/>
  <c r="EF32" i="20"/>
  <c r="EC32" i="20"/>
  <c r="EB32" i="20"/>
  <c r="EA32" i="20"/>
  <c r="DZ32" i="20"/>
  <c r="DS32" i="20"/>
  <c r="DC32" i="20"/>
  <c r="DD32" i="20"/>
  <c r="DE32" i="20"/>
  <c r="DF32" i="20"/>
  <c r="DG32" i="20"/>
  <c r="DH32" i="20"/>
  <c r="DI32" i="20"/>
  <c r="DJ32" i="20"/>
  <c r="DK32" i="20"/>
  <c r="DL32" i="20"/>
  <c r="DM32" i="20"/>
  <c r="DA32" i="20"/>
  <c r="CZ32" i="20"/>
  <c r="X32" i="20"/>
  <c r="V32" i="20"/>
  <c r="W32" i="20"/>
  <c r="Y32" i="20"/>
  <c r="AZ32" i="20"/>
  <c r="BE32" i="20"/>
  <c r="CO32" i="20"/>
  <c r="CN32" i="20"/>
  <c r="CP32" i="20"/>
  <c r="CQ32" i="20"/>
  <c r="CM32" i="20"/>
  <c r="CJ32" i="20"/>
  <c r="CI32" i="20"/>
  <c r="BH32" i="20"/>
  <c r="CF32" i="20"/>
  <c r="CE32" i="20"/>
  <c r="CG32" i="20"/>
  <c r="CH32" i="20"/>
  <c r="CD32" i="20"/>
  <c r="AY32" i="20"/>
  <c r="BC32" i="20"/>
  <c r="CA32" i="20"/>
  <c r="CB32" i="20"/>
  <c r="CC32" i="20"/>
  <c r="BL32" i="20"/>
  <c r="BI32" i="20"/>
  <c r="AX32" i="20"/>
  <c r="BA32" i="20"/>
  <c r="BD32" i="20"/>
  <c r="BF32" i="20"/>
  <c r="AT32" i="20"/>
  <c r="AS32" i="20"/>
  <c r="AR32" i="20"/>
  <c r="AQ32" i="20"/>
  <c r="AO32" i="20"/>
  <c r="AC32" i="20"/>
  <c r="AA32" i="20"/>
  <c r="Z32" i="20"/>
  <c r="U32" i="20"/>
  <c r="P32" i="20"/>
  <c r="M32" i="20"/>
  <c r="J32" i="20"/>
  <c r="I32" i="20"/>
  <c r="H32" i="20"/>
  <c r="F32" i="20"/>
  <c r="EG31" i="20"/>
  <c r="EF31" i="20"/>
  <c r="EC31" i="20"/>
  <c r="EB31" i="20"/>
  <c r="EA31" i="20"/>
  <c r="DZ31" i="20"/>
  <c r="DS31" i="20"/>
  <c r="DC31" i="20"/>
  <c r="DD31" i="20"/>
  <c r="DE31" i="20"/>
  <c r="DF31" i="20"/>
  <c r="DG31" i="20"/>
  <c r="DH31" i="20"/>
  <c r="DI31" i="20"/>
  <c r="DJ31" i="20"/>
  <c r="DK31" i="20"/>
  <c r="DL31" i="20"/>
  <c r="DM31" i="20"/>
  <c r="DA31" i="20"/>
  <c r="CZ31" i="20"/>
  <c r="X31" i="20"/>
  <c r="V31" i="20"/>
  <c r="W31" i="20"/>
  <c r="Y31" i="20"/>
  <c r="AZ31" i="20"/>
  <c r="BE31" i="20"/>
  <c r="CO31" i="20"/>
  <c r="CN31" i="20"/>
  <c r="CP31" i="20"/>
  <c r="CQ31" i="20"/>
  <c r="CM31" i="20"/>
  <c r="CJ31" i="20"/>
  <c r="CI31" i="20"/>
  <c r="BH31" i="20"/>
  <c r="CF31" i="20"/>
  <c r="CE31" i="20"/>
  <c r="CG31" i="20"/>
  <c r="CH31" i="20"/>
  <c r="CD31" i="20"/>
  <c r="AY31" i="20"/>
  <c r="BC31" i="20"/>
  <c r="CA31" i="20"/>
  <c r="CB31" i="20"/>
  <c r="CC31" i="20"/>
  <c r="BL31" i="20"/>
  <c r="BI31" i="20"/>
  <c r="AX31" i="20"/>
  <c r="BA31" i="20"/>
  <c r="BD31" i="20"/>
  <c r="BF31" i="20"/>
  <c r="AT31" i="20"/>
  <c r="AS31" i="20"/>
  <c r="AR31" i="20"/>
  <c r="AQ31" i="20"/>
  <c r="AO31" i="20"/>
  <c r="AC31" i="20"/>
  <c r="AA31" i="20"/>
  <c r="Z31" i="20"/>
  <c r="U31" i="20"/>
  <c r="P31" i="20"/>
  <c r="M31" i="20"/>
  <c r="J31" i="20"/>
  <c r="I31" i="20"/>
  <c r="H31" i="20"/>
  <c r="F31" i="20"/>
  <c r="EG30" i="20"/>
  <c r="EF30" i="20"/>
  <c r="EC30" i="20"/>
  <c r="EB30" i="20"/>
  <c r="EA30" i="20"/>
  <c r="DZ30" i="20"/>
  <c r="DS30" i="20"/>
  <c r="DC30" i="20"/>
  <c r="DD30" i="20"/>
  <c r="DE30" i="20"/>
  <c r="DF30" i="20"/>
  <c r="DG30" i="20"/>
  <c r="DH30" i="20"/>
  <c r="DI30" i="20"/>
  <c r="DJ30" i="20"/>
  <c r="DK30" i="20"/>
  <c r="DL30" i="20"/>
  <c r="DM30" i="20"/>
  <c r="DA30" i="20"/>
  <c r="CZ30" i="20"/>
  <c r="X30" i="20"/>
  <c r="V30" i="20"/>
  <c r="W30" i="20"/>
  <c r="Y30" i="20"/>
  <c r="AZ30" i="20"/>
  <c r="BE30" i="20"/>
  <c r="CO30" i="20"/>
  <c r="CN30" i="20"/>
  <c r="CP30" i="20"/>
  <c r="CQ30" i="20"/>
  <c r="CM30" i="20"/>
  <c r="CJ30" i="20"/>
  <c r="CI30" i="20"/>
  <c r="BH30" i="20"/>
  <c r="CF30" i="20"/>
  <c r="CE30" i="20"/>
  <c r="CG30" i="20"/>
  <c r="CH30" i="20"/>
  <c r="CD30" i="20"/>
  <c r="AY30" i="20"/>
  <c r="BC30" i="20"/>
  <c r="CA30" i="20"/>
  <c r="CB30" i="20"/>
  <c r="CC30" i="20"/>
  <c r="BL30" i="20"/>
  <c r="BI30" i="20"/>
  <c r="AX30" i="20"/>
  <c r="BA30" i="20"/>
  <c r="BD30" i="20"/>
  <c r="BF30" i="20"/>
  <c r="AT30" i="20"/>
  <c r="AS30" i="20"/>
  <c r="AR30" i="20"/>
  <c r="AQ30" i="20"/>
  <c r="AO30" i="20"/>
  <c r="AC30" i="20"/>
  <c r="AA30" i="20"/>
  <c r="Z30" i="20"/>
  <c r="U30" i="20"/>
  <c r="P30" i="20"/>
  <c r="M30" i="20"/>
  <c r="J30" i="20"/>
  <c r="I30" i="20"/>
  <c r="H30" i="20"/>
  <c r="F30" i="20"/>
  <c r="EG29" i="20"/>
  <c r="EF29" i="20"/>
  <c r="EC29" i="20"/>
  <c r="EB29" i="20"/>
  <c r="EA29" i="20"/>
  <c r="DZ29" i="20"/>
  <c r="DS29" i="20"/>
  <c r="DC29" i="20"/>
  <c r="DD29" i="20"/>
  <c r="DE29" i="20"/>
  <c r="DF29" i="20"/>
  <c r="DG29" i="20"/>
  <c r="DH29" i="20"/>
  <c r="DI29" i="20"/>
  <c r="DJ29" i="20"/>
  <c r="DK29" i="20"/>
  <c r="DL29" i="20"/>
  <c r="DM29" i="20"/>
  <c r="DA29" i="20"/>
  <c r="CZ29" i="20"/>
  <c r="X29" i="20"/>
  <c r="V29" i="20"/>
  <c r="W29" i="20"/>
  <c r="Y29" i="20"/>
  <c r="AZ29" i="20"/>
  <c r="BE29" i="20"/>
  <c r="CO29" i="20"/>
  <c r="CN29" i="20"/>
  <c r="CP29" i="20"/>
  <c r="CQ29" i="20"/>
  <c r="CM29" i="20"/>
  <c r="CJ29" i="20"/>
  <c r="CI29" i="20"/>
  <c r="BH29" i="20"/>
  <c r="CF29" i="20"/>
  <c r="CE29" i="20"/>
  <c r="CG29" i="20"/>
  <c r="CH29" i="20"/>
  <c r="CD29" i="20"/>
  <c r="AY29" i="20"/>
  <c r="BC29" i="20"/>
  <c r="CA29" i="20"/>
  <c r="CB29" i="20"/>
  <c r="CC29" i="20"/>
  <c r="BL29" i="20"/>
  <c r="BI29" i="20"/>
  <c r="AX29" i="20"/>
  <c r="BA29" i="20"/>
  <c r="BD29" i="20"/>
  <c r="BF29" i="20"/>
  <c r="AT29" i="20"/>
  <c r="AS29" i="20"/>
  <c r="AR29" i="20"/>
  <c r="AQ29" i="20"/>
  <c r="AO29" i="20"/>
  <c r="AC29" i="20"/>
  <c r="AA29" i="20"/>
  <c r="Z29" i="20"/>
  <c r="U29" i="20"/>
  <c r="P29" i="20"/>
  <c r="M29" i="20"/>
  <c r="J29" i="20"/>
  <c r="I29" i="20"/>
  <c r="H29" i="20"/>
  <c r="F29" i="20"/>
  <c r="EG28" i="20"/>
  <c r="EF28" i="20"/>
  <c r="EC28" i="20"/>
  <c r="EB28" i="20"/>
  <c r="EA28" i="20"/>
  <c r="DZ28" i="20"/>
  <c r="DS28" i="20"/>
  <c r="DC28" i="20"/>
  <c r="DD28" i="20"/>
  <c r="DE28" i="20"/>
  <c r="DF28" i="20"/>
  <c r="DG28" i="20"/>
  <c r="DH28" i="20"/>
  <c r="DI28" i="20"/>
  <c r="DJ28" i="20"/>
  <c r="DK28" i="20"/>
  <c r="DL28" i="20"/>
  <c r="DM28" i="20"/>
  <c r="DA28" i="20"/>
  <c r="CZ28" i="20"/>
  <c r="X28" i="20"/>
  <c r="V28" i="20"/>
  <c r="W28" i="20"/>
  <c r="Y28" i="20"/>
  <c r="AZ28" i="20"/>
  <c r="BE28" i="20"/>
  <c r="CO28" i="20"/>
  <c r="CN28" i="20"/>
  <c r="CP28" i="20"/>
  <c r="CQ28" i="20"/>
  <c r="CM28" i="20"/>
  <c r="CJ28" i="20"/>
  <c r="CI28" i="20"/>
  <c r="BH28" i="20"/>
  <c r="CF28" i="20"/>
  <c r="CE28" i="20"/>
  <c r="CG28" i="20"/>
  <c r="CH28" i="20"/>
  <c r="CD28" i="20"/>
  <c r="AY28" i="20"/>
  <c r="BC28" i="20"/>
  <c r="CA28" i="20"/>
  <c r="CB28" i="20"/>
  <c r="CC28" i="20"/>
  <c r="BL28" i="20"/>
  <c r="BI28" i="20"/>
  <c r="AX28" i="20"/>
  <c r="BA28" i="20"/>
  <c r="BD28" i="20"/>
  <c r="BF28" i="20"/>
  <c r="AT28" i="20"/>
  <c r="AS28" i="20"/>
  <c r="AR28" i="20"/>
  <c r="AQ28" i="20"/>
  <c r="AO28" i="20"/>
  <c r="AC28" i="20"/>
  <c r="AA28" i="20"/>
  <c r="Z28" i="20"/>
  <c r="U28" i="20"/>
  <c r="P28" i="20"/>
  <c r="M28" i="20"/>
  <c r="J28" i="20"/>
  <c r="I28" i="20"/>
  <c r="H28" i="20"/>
  <c r="F28" i="20"/>
  <c r="EG27" i="20"/>
  <c r="EF27" i="20"/>
  <c r="EC27" i="20"/>
  <c r="EB27" i="20"/>
  <c r="EA27" i="20"/>
  <c r="DZ27" i="20"/>
  <c r="DS27" i="20"/>
  <c r="DC27" i="20"/>
  <c r="DD27" i="20"/>
  <c r="DE27" i="20"/>
  <c r="DF27" i="20"/>
  <c r="DG27" i="20"/>
  <c r="DH27" i="20"/>
  <c r="DI27" i="20"/>
  <c r="DJ27" i="20"/>
  <c r="DK27" i="20"/>
  <c r="DL27" i="20"/>
  <c r="DM27" i="20"/>
  <c r="DA27" i="20"/>
  <c r="CZ27" i="20"/>
  <c r="X27" i="20"/>
  <c r="V27" i="20"/>
  <c r="W27" i="20"/>
  <c r="Y27" i="20"/>
  <c r="AZ27" i="20"/>
  <c r="BE27" i="20"/>
  <c r="CO27" i="20"/>
  <c r="CN27" i="20"/>
  <c r="CP27" i="20"/>
  <c r="CQ27" i="20"/>
  <c r="CM27" i="20"/>
  <c r="CJ27" i="20"/>
  <c r="CI27" i="20"/>
  <c r="BH27" i="20"/>
  <c r="CF27" i="20"/>
  <c r="CE27" i="20"/>
  <c r="CG27" i="20"/>
  <c r="CH27" i="20"/>
  <c r="CD27" i="20"/>
  <c r="AY27" i="20"/>
  <c r="BC27" i="20"/>
  <c r="CA27" i="20"/>
  <c r="CB27" i="20"/>
  <c r="CC27" i="20"/>
  <c r="BL27" i="20"/>
  <c r="BI27" i="20"/>
  <c r="AX27" i="20"/>
  <c r="BA27" i="20"/>
  <c r="BD27" i="20"/>
  <c r="BF27" i="20"/>
  <c r="AT27" i="20"/>
  <c r="AS27" i="20"/>
  <c r="AR27" i="20"/>
  <c r="AQ27" i="20"/>
  <c r="AO27" i="20"/>
  <c r="AC27" i="20"/>
  <c r="AA27" i="20"/>
  <c r="Z27" i="20"/>
  <c r="U27" i="20"/>
  <c r="P27" i="20"/>
  <c r="M27" i="20"/>
  <c r="J27" i="20"/>
  <c r="I27" i="20"/>
  <c r="H27" i="20"/>
  <c r="F27" i="20"/>
  <c r="EG26" i="20"/>
  <c r="EF26" i="20"/>
  <c r="EC26" i="20"/>
  <c r="EB26" i="20"/>
  <c r="EA26" i="20"/>
  <c r="DZ26" i="20"/>
  <c r="DS26" i="20"/>
  <c r="DA26" i="20"/>
  <c r="CZ26" i="20"/>
  <c r="AZ26" i="20"/>
  <c r="BE26" i="20"/>
  <c r="CO26" i="20"/>
  <c r="CN26" i="20"/>
  <c r="CP26" i="20"/>
  <c r="CQ26" i="20"/>
  <c r="CM26" i="20"/>
  <c r="CJ26" i="20"/>
  <c r="CI26" i="20"/>
  <c r="BH26" i="20"/>
  <c r="CF26" i="20"/>
  <c r="CE26" i="20"/>
  <c r="CG26" i="20"/>
  <c r="CH26" i="20"/>
  <c r="CD26" i="20"/>
  <c r="CA26" i="20"/>
  <c r="CB26" i="20"/>
  <c r="CC26" i="20"/>
  <c r="BL26" i="20"/>
  <c r="BI26" i="20"/>
  <c r="BD26" i="20"/>
  <c r="BF26" i="20"/>
  <c r="AT26" i="20"/>
  <c r="AS26" i="20"/>
  <c r="AR26" i="20"/>
  <c r="AQ26" i="20"/>
  <c r="AO26" i="20"/>
  <c r="AC26" i="20"/>
  <c r="AA26" i="20"/>
  <c r="Z26" i="20"/>
  <c r="P26" i="20"/>
  <c r="J26" i="20"/>
  <c r="I26" i="20"/>
  <c r="H26" i="20"/>
  <c r="F26" i="20"/>
  <c r="EG25" i="20"/>
  <c r="EF25" i="20"/>
  <c r="EC25" i="20"/>
  <c r="EB25" i="20"/>
  <c r="EA25" i="20"/>
  <c r="DZ25" i="20"/>
  <c r="DS25" i="20"/>
  <c r="DA25" i="20"/>
  <c r="CZ25" i="20"/>
  <c r="AZ25" i="20"/>
  <c r="BE25" i="20"/>
  <c r="CO25" i="20"/>
  <c r="CN25" i="20"/>
  <c r="CP25" i="20"/>
  <c r="CQ25" i="20"/>
  <c r="CM25" i="20"/>
  <c r="CJ25" i="20"/>
  <c r="CI25" i="20"/>
  <c r="BH25" i="20"/>
  <c r="CF25" i="20"/>
  <c r="CE25" i="20"/>
  <c r="CG25" i="20"/>
  <c r="CH25" i="20"/>
  <c r="CD25" i="20"/>
  <c r="CA25" i="20"/>
  <c r="CB25" i="20"/>
  <c r="CC25" i="20"/>
  <c r="BL25" i="20"/>
  <c r="BI25" i="20"/>
  <c r="BD25" i="20"/>
  <c r="BF25" i="20"/>
  <c r="AT25" i="20"/>
  <c r="AS25" i="20"/>
  <c r="AR25" i="20"/>
  <c r="AQ25" i="20"/>
  <c r="AO25" i="20"/>
  <c r="AC25" i="20"/>
  <c r="AA25" i="20"/>
  <c r="Z25" i="20"/>
  <c r="P25" i="20"/>
  <c r="J25" i="20"/>
  <c r="I25" i="20"/>
  <c r="H25" i="20"/>
  <c r="F25" i="20"/>
  <c r="EG24" i="20"/>
  <c r="EF24" i="20"/>
  <c r="EC24" i="20"/>
  <c r="EB24" i="20"/>
  <c r="EA24" i="20"/>
  <c r="DZ24" i="20"/>
  <c r="DS24" i="20"/>
  <c r="DA24" i="20"/>
  <c r="CZ24" i="20"/>
  <c r="AZ24" i="20"/>
  <c r="BE24" i="20"/>
  <c r="CO24" i="20"/>
  <c r="CN24" i="20"/>
  <c r="CP24" i="20"/>
  <c r="CQ24" i="20"/>
  <c r="CM24" i="20"/>
  <c r="CJ24" i="20"/>
  <c r="CI24" i="20"/>
  <c r="BH24" i="20"/>
  <c r="CF24" i="20"/>
  <c r="CE24" i="20"/>
  <c r="CG24" i="20"/>
  <c r="CH24" i="20"/>
  <c r="CD24" i="20"/>
  <c r="CA24" i="20"/>
  <c r="CB24" i="20"/>
  <c r="CC24" i="20"/>
  <c r="BL24" i="20"/>
  <c r="BI24" i="20"/>
  <c r="BD24" i="20"/>
  <c r="BF24" i="20"/>
  <c r="AT24" i="20"/>
  <c r="AS24" i="20"/>
  <c r="AR24" i="20"/>
  <c r="AQ24" i="20"/>
  <c r="AO24" i="20"/>
  <c r="AC24" i="20"/>
  <c r="AA24" i="20"/>
  <c r="Z24" i="20"/>
  <c r="P24" i="20"/>
  <c r="J24" i="20"/>
  <c r="I24" i="20"/>
  <c r="H24" i="20"/>
  <c r="F24" i="20"/>
  <c r="EG23" i="20"/>
  <c r="EF23" i="20"/>
  <c r="EC23" i="20"/>
  <c r="EB23" i="20"/>
  <c r="EA23" i="20"/>
  <c r="DZ23" i="20"/>
  <c r="DS23" i="20"/>
  <c r="DA23" i="20"/>
  <c r="CZ23" i="20"/>
  <c r="AZ23" i="20"/>
  <c r="BE23" i="20"/>
  <c r="CO23" i="20"/>
  <c r="CN23" i="20"/>
  <c r="CP23" i="20"/>
  <c r="CQ23" i="20"/>
  <c r="CM23" i="20"/>
  <c r="CJ23" i="20"/>
  <c r="CI23" i="20"/>
  <c r="BH23" i="20"/>
  <c r="CF23" i="20"/>
  <c r="CE23" i="20"/>
  <c r="CG23" i="20"/>
  <c r="CH23" i="20"/>
  <c r="CD23" i="20"/>
  <c r="CA23" i="20"/>
  <c r="CB23" i="20"/>
  <c r="CC23" i="20"/>
  <c r="BL23" i="20"/>
  <c r="BI23" i="20"/>
  <c r="BD23" i="20"/>
  <c r="BF23" i="20"/>
  <c r="AT23" i="20"/>
  <c r="AS23" i="20"/>
  <c r="AR23" i="20"/>
  <c r="AQ23" i="20"/>
  <c r="AO23" i="20"/>
  <c r="AC23" i="20"/>
  <c r="AA23" i="20"/>
  <c r="Z23" i="20"/>
  <c r="P23" i="20"/>
  <c r="J23" i="20"/>
  <c r="I23" i="20"/>
  <c r="H23" i="20"/>
  <c r="F23" i="20"/>
  <c r="EG22" i="20"/>
  <c r="EF22" i="20"/>
  <c r="EC22" i="20"/>
  <c r="EB22" i="20"/>
  <c r="EA22" i="20"/>
  <c r="DZ22" i="20"/>
  <c r="DS22" i="20"/>
  <c r="DA22" i="20"/>
  <c r="CZ22" i="20"/>
  <c r="AZ22" i="20"/>
  <c r="BE22" i="20"/>
  <c r="CO22" i="20"/>
  <c r="CN22" i="20"/>
  <c r="CP22" i="20"/>
  <c r="CQ22" i="20"/>
  <c r="CM22" i="20"/>
  <c r="CJ22" i="20"/>
  <c r="CI22" i="20"/>
  <c r="BH22" i="20"/>
  <c r="CF22" i="20"/>
  <c r="CE22" i="20"/>
  <c r="CG22" i="20"/>
  <c r="CH22" i="20"/>
  <c r="CD22" i="20"/>
  <c r="CA22" i="20"/>
  <c r="CB22" i="20"/>
  <c r="CC22" i="20"/>
  <c r="BL22" i="20"/>
  <c r="BI22" i="20"/>
  <c r="BD22" i="20"/>
  <c r="BF22" i="20"/>
  <c r="AT22" i="20"/>
  <c r="AS22" i="20"/>
  <c r="AR22" i="20"/>
  <c r="AQ22" i="20"/>
  <c r="AO22" i="20"/>
  <c r="AC22" i="20"/>
  <c r="AA22" i="20"/>
  <c r="Z22" i="20"/>
  <c r="P22" i="20"/>
  <c r="J22" i="20"/>
  <c r="I22" i="20"/>
  <c r="H22" i="20"/>
  <c r="F22" i="20"/>
  <c r="EG21" i="20"/>
  <c r="EF21" i="20"/>
  <c r="EC21" i="20"/>
  <c r="EB21" i="20"/>
  <c r="EA21" i="20"/>
  <c r="DZ21" i="20"/>
  <c r="DS21" i="20"/>
  <c r="DA21" i="20"/>
  <c r="CZ21" i="20"/>
  <c r="AZ21" i="20"/>
  <c r="BE21" i="20"/>
  <c r="CO21" i="20"/>
  <c r="CN21" i="20"/>
  <c r="CP21" i="20"/>
  <c r="CQ21" i="20"/>
  <c r="CM21" i="20"/>
  <c r="CJ21" i="20"/>
  <c r="CI21" i="20"/>
  <c r="BH21" i="20"/>
  <c r="CF21" i="20"/>
  <c r="CE21" i="20"/>
  <c r="CG21" i="20"/>
  <c r="CH21" i="20"/>
  <c r="CD21" i="20"/>
  <c r="AY21" i="20"/>
  <c r="BC21" i="20"/>
  <c r="CA21" i="20"/>
  <c r="CB21" i="20"/>
  <c r="CC21" i="20"/>
  <c r="BL21" i="20"/>
  <c r="BI21" i="20"/>
  <c r="BD21" i="20"/>
  <c r="BF21" i="20"/>
  <c r="AT21" i="20"/>
  <c r="AS21" i="20"/>
  <c r="AR21" i="20"/>
  <c r="AQ21" i="20"/>
  <c r="AO21" i="20"/>
  <c r="AC21" i="20"/>
  <c r="AA21" i="20"/>
  <c r="Z21" i="20"/>
  <c r="U21" i="20"/>
  <c r="P21" i="20"/>
  <c r="J21" i="20"/>
  <c r="I21" i="20"/>
  <c r="H21" i="20"/>
  <c r="F21" i="20"/>
  <c r="EG20" i="20"/>
  <c r="EF20" i="20"/>
  <c r="EC20" i="20"/>
  <c r="EB20" i="20"/>
  <c r="EA20" i="20"/>
  <c r="DZ20" i="20"/>
  <c r="DS20" i="20"/>
  <c r="DA20" i="20"/>
  <c r="CZ20" i="20"/>
  <c r="AZ20" i="20"/>
  <c r="BE20" i="20"/>
  <c r="CO20" i="20"/>
  <c r="CN20" i="20"/>
  <c r="CP20" i="20"/>
  <c r="CQ20" i="20"/>
  <c r="CM20" i="20"/>
  <c r="CJ20" i="20"/>
  <c r="CI20" i="20"/>
  <c r="BH20" i="20"/>
  <c r="CF20" i="20"/>
  <c r="CE20" i="20"/>
  <c r="CG20" i="20"/>
  <c r="CH20" i="20"/>
  <c r="CD20" i="20"/>
  <c r="CA20" i="20"/>
  <c r="CB20" i="20"/>
  <c r="CC20" i="20"/>
  <c r="BL20" i="20"/>
  <c r="BI20" i="20"/>
  <c r="BD20" i="20"/>
  <c r="BF20" i="20"/>
  <c r="AT20" i="20"/>
  <c r="AS20" i="20"/>
  <c r="AR20" i="20"/>
  <c r="AQ20" i="20"/>
  <c r="AO20" i="20"/>
  <c r="AC20" i="20"/>
  <c r="AA20" i="20"/>
  <c r="Z20" i="20"/>
  <c r="P20" i="20"/>
  <c r="J20" i="20"/>
  <c r="I20" i="20"/>
  <c r="H20" i="20"/>
  <c r="F20" i="20"/>
  <c r="EG19" i="20"/>
  <c r="EF19" i="20"/>
  <c r="EC19" i="20"/>
  <c r="EB19" i="20"/>
  <c r="EA19" i="20"/>
  <c r="DZ19" i="20"/>
  <c r="DS19" i="20"/>
  <c r="DA19" i="20"/>
  <c r="CZ19" i="20"/>
  <c r="AZ19" i="20"/>
  <c r="BE19" i="20"/>
  <c r="CO19" i="20"/>
  <c r="CN19" i="20"/>
  <c r="CP19" i="20"/>
  <c r="CQ19" i="20"/>
  <c r="CM19" i="20"/>
  <c r="CJ19" i="20"/>
  <c r="CI19" i="20"/>
  <c r="BH19" i="20"/>
  <c r="CF19" i="20"/>
  <c r="CE19" i="20"/>
  <c r="CG19" i="20"/>
  <c r="CH19" i="20"/>
  <c r="CD19" i="20"/>
  <c r="AY19" i="20"/>
  <c r="BC19" i="20"/>
  <c r="CA19" i="20"/>
  <c r="CB19" i="20"/>
  <c r="CC19" i="20"/>
  <c r="BL19" i="20"/>
  <c r="BI19" i="20"/>
  <c r="BD19" i="20"/>
  <c r="BF19" i="20"/>
  <c r="AT19" i="20"/>
  <c r="AS19" i="20"/>
  <c r="AR19" i="20"/>
  <c r="AQ19" i="20"/>
  <c r="AO19" i="20"/>
  <c r="AC19" i="20"/>
  <c r="AA19" i="20"/>
  <c r="Z19" i="20"/>
  <c r="U19" i="20"/>
  <c r="P19" i="20"/>
  <c r="J19" i="20"/>
  <c r="I19" i="20"/>
  <c r="H19" i="20"/>
  <c r="F19" i="20"/>
  <c r="EG18" i="20"/>
  <c r="EF18" i="20"/>
  <c r="EC18" i="20"/>
  <c r="EB18" i="20"/>
  <c r="EA18" i="20"/>
  <c r="DZ18" i="20"/>
  <c r="DS18" i="20"/>
  <c r="DA18" i="20"/>
  <c r="CZ18" i="20"/>
  <c r="AZ18" i="20"/>
  <c r="BE18" i="20"/>
  <c r="CO18" i="20"/>
  <c r="CN18" i="20"/>
  <c r="CP18" i="20"/>
  <c r="CQ18" i="20"/>
  <c r="CM18" i="20"/>
  <c r="CJ18" i="20"/>
  <c r="CI18" i="20"/>
  <c r="BH18" i="20"/>
  <c r="CF18" i="20"/>
  <c r="CE18" i="20"/>
  <c r="CG18" i="20"/>
  <c r="CH18" i="20"/>
  <c r="CD18" i="20"/>
  <c r="AY18" i="20"/>
  <c r="BC18" i="20"/>
  <c r="CA18" i="20"/>
  <c r="CB18" i="20"/>
  <c r="CC18" i="20"/>
  <c r="BL18" i="20"/>
  <c r="BI18" i="20"/>
  <c r="BD18" i="20"/>
  <c r="BF18" i="20"/>
  <c r="AT18" i="20"/>
  <c r="AS18" i="20"/>
  <c r="AR18" i="20"/>
  <c r="AQ18" i="20"/>
  <c r="AO18" i="20"/>
  <c r="AC18" i="20"/>
  <c r="AA18" i="20"/>
  <c r="Z18" i="20"/>
  <c r="U18" i="20"/>
  <c r="P18" i="20"/>
  <c r="J18" i="20"/>
  <c r="I18" i="20"/>
  <c r="H18" i="20"/>
  <c r="F18" i="20"/>
  <c r="EG17" i="20"/>
  <c r="EF17" i="20"/>
  <c r="EC17" i="20"/>
  <c r="EB17" i="20"/>
  <c r="EA17" i="20"/>
  <c r="DZ17" i="20"/>
  <c r="DS17" i="20"/>
  <c r="DA17" i="20"/>
  <c r="CZ17" i="20"/>
  <c r="AZ17" i="20"/>
  <c r="BE17" i="20"/>
  <c r="CO17" i="20"/>
  <c r="CN17" i="20"/>
  <c r="CP17" i="20"/>
  <c r="CQ17" i="20"/>
  <c r="CM17" i="20"/>
  <c r="CJ17" i="20"/>
  <c r="CI17" i="20"/>
  <c r="BH17" i="20"/>
  <c r="CF17" i="20"/>
  <c r="CE17" i="20"/>
  <c r="CG17" i="20"/>
  <c r="CH17" i="20"/>
  <c r="CD17" i="20"/>
  <c r="CA17" i="20"/>
  <c r="CB17" i="20"/>
  <c r="CC17" i="20"/>
  <c r="BL17" i="20"/>
  <c r="BI17" i="20"/>
  <c r="BD17" i="20"/>
  <c r="BF17" i="20"/>
  <c r="AT17" i="20"/>
  <c r="AS17" i="20"/>
  <c r="AR17" i="20"/>
  <c r="AQ17" i="20"/>
  <c r="AO17" i="20"/>
  <c r="AC17" i="20"/>
  <c r="AA17" i="20"/>
  <c r="Z17" i="20"/>
  <c r="P17" i="20"/>
  <c r="J17" i="20"/>
  <c r="I17" i="20"/>
  <c r="H17" i="20"/>
  <c r="F17" i="20"/>
  <c r="EG16" i="20"/>
  <c r="EF16" i="20"/>
  <c r="EC16" i="20"/>
  <c r="EB16" i="20"/>
  <c r="EA16" i="20"/>
  <c r="DZ16" i="20"/>
  <c r="DS16" i="20"/>
  <c r="DA16" i="20"/>
  <c r="CZ16" i="20"/>
  <c r="AZ16" i="20"/>
  <c r="BE16" i="20"/>
  <c r="CO16" i="20"/>
  <c r="CN16" i="20"/>
  <c r="CP16" i="20"/>
  <c r="CQ16" i="20"/>
  <c r="CM16" i="20"/>
  <c r="CJ16" i="20"/>
  <c r="CI16" i="20"/>
  <c r="BH16" i="20"/>
  <c r="CF16" i="20"/>
  <c r="CE16" i="20"/>
  <c r="CG16" i="20"/>
  <c r="CH16" i="20"/>
  <c r="CD16" i="20"/>
  <c r="AY16" i="20"/>
  <c r="BC16" i="20"/>
  <c r="CA16" i="20"/>
  <c r="CB16" i="20"/>
  <c r="CC16" i="20"/>
  <c r="BL16" i="20"/>
  <c r="BI16" i="20"/>
  <c r="BD16" i="20"/>
  <c r="BF16" i="20"/>
  <c r="AT16" i="20"/>
  <c r="AS16" i="20"/>
  <c r="AR16" i="20"/>
  <c r="AQ16" i="20"/>
  <c r="AO16" i="20"/>
  <c r="AC16" i="20"/>
  <c r="AA16" i="20"/>
  <c r="Z16" i="20"/>
  <c r="U16" i="20"/>
  <c r="P16" i="20"/>
  <c r="J16" i="20"/>
  <c r="I16" i="20"/>
  <c r="H16" i="20"/>
  <c r="F16" i="20"/>
  <c r="EG15" i="20"/>
  <c r="EF15" i="20"/>
  <c r="EC15" i="20"/>
  <c r="EB15" i="20"/>
  <c r="EA15" i="20"/>
  <c r="DZ15" i="20"/>
  <c r="DS15" i="20"/>
  <c r="DA15" i="20"/>
  <c r="CZ15" i="20"/>
  <c r="AZ15" i="20"/>
  <c r="BE15" i="20"/>
  <c r="CO15" i="20"/>
  <c r="CN15" i="20"/>
  <c r="CP15" i="20"/>
  <c r="CQ15" i="20"/>
  <c r="CM15" i="20"/>
  <c r="CJ15" i="20"/>
  <c r="CI15" i="20"/>
  <c r="BH15" i="20"/>
  <c r="CF15" i="20"/>
  <c r="CE15" i="20"/>
  <c r="CG15" i="20"/>
  <c r="CH15" i="20"/>
  <c r="CD15" i="20"/>
  <c r="CA15" i="20"/>
  <c r="CB15" i="20"/>
  <c r="CC15" i="20"/>
  <c r="BL15" i="20"/>
  <c r="BI15" i="20"/>
  <c r="BD15" i="20"/>
  <c r="BF15" i="20"/>
  <c r="AT15" i="20"/>
  <c r="AS15" i="20"/>
  <c r="AR15" i="20"/>
  <c r="AQ15" i="20"/>
  <c r="AO15" i="20"/>
  <c r="AC15" i="20"/>
  <c r="AA15" i="20"/>
  <c r="Z15" i="20"/>
  <c r="P15" i="20"/>
  <c r="J15" i="20"/>
  <c r="I15" i="20"/>
  <c r="H15" i="20"/>
  <c r="F15" i="20"/>
  <c r="EG14" i="20"/>
  <c r="EF14" i="20"/>
  <c r="EC14" i="20"/>
  <c r="EB14" i="20"/>
  <c r="EA14" i="20"/>
  <c r="DZ14" i="20"/>
  <c r="DS14" i="20"/>
  <c r="DA14" i="20"/>
  <c r="CZ14" i="20"/>
  <c r="AZ14" i="20"/>
  <c r="BE14" i="20"/>
  <c r="CO14" i="20"/>
  <c r="CN14" i="20"/>
  <c r="CP14" i="20"/>
  <c r="CQ14" i="20"/>
  <c r="CM14" i="20"/>
  <c r="CJ14" i="20"/>
  <c r="CI14" i="20"/>
  <c r="BH14" i="20"/>
  <c r="CF14" i="20"/>
  <c r="CE14" i="20"/>
  <c r="CG14" i="20"/>
  <c r="CH14" i="20"/>
  <c r="CD14" i="20"/>
  <c r="CA14" i="20"/>
  <c r="CB14" i="20"/>
  <c r="CC14" i="20"/>
  <c r="BL14" i="20"/>
  <c r="BI14" i="20"/>
  <c r="BD14" i="20"/>
  <c r="BF14" i="20"/>
  <c r="AT14" i="20"/>
  <c r="AS14" i="20"/>
  <c r="AR14" i="20"/>
  <c r="AQ14" i="20"/>
  <c r="AO14" i="20"/>
  <c r="AC14" i="20"/>
  <c r="AA14" i="20"/>
  <c r="Z14" i="20"/>
  <c r="P14" i="20"/>
  <c r="J14" i="20"/>
  <c r="I14" i="20"/>
  <c r="H14" i="20"/>
  <c r="F14" i="20"/>
  <c r="EG13" i="20"/>
  <c r="EF13" i="20"/>
  <c r="EC13" i="20"/>
  <c r="EB13" i="20"/>
  <c r="EA13" i="20"/>
  <c r="DZ13" i="20"/>
  <c r="DS13" i="20"/>
  <c r="DA13" i="20"/>
  <c r="CZ13" i="20"/>
  <c r="AZ13" i="20"/>
  <c r="BE13" i="20"/>
  <c r="CO13" i="20"/>
  <c r="CN13" i="20"/>
  <c r="CP13" i="20"/>
  <c r="CQ13" i="20"/>
  <c r="CM13" i="20"/>
  <c r="CJ13" i="20"/>
  <c r="CI13" i="20"/>
  <c r="BH13" i="20"/>
  <c r="CF13" i="20"/>
  <c r="CE13" i="20"/>
  <c r="CG13" i="20"/>
  <c r="CH13" i="20"/>
  <c r="CD13" i="20"/>
  <c r="CA13" i="20"/>
  <c r="CB13" i="20"/>
  <c r="CC13" i="20"/>
  <c r="BL13" i="20"/>
  <c r="BI13" i="20"/>
  <c r="BD13" i="20"/>
  <c r="BF13" i="20"/>
  <c r="AT13" i="20"/>
  <c r="AS13" i="20"/>
  <c r="AR13" i="20"/>
  <c r="AQ13" i="20"/>
  <c r="AO13" i="20"/>
  <c r="AC13" i="20"/>
  <c r="AA13" i="20"/>
  <c r="Z13" i="20"/>
  <c r="P13" i="20"/>
  <c r="J13" i="20"/>
  <c r="I13" i="20"/>
  <c r="H13" i="20"/>
  <c r="F13" i="20"/>
  <c r="EG12" i="20"/>
  <c r="EF12" i="20"/>
  <c r="EC12" i="20"/>
  <c r="EB12" i="20"/>
  <c r="EA12" i="20"/>
  <c r="DZ12" i="20"/>
  <c r="DS12" i="20"/>
  <c r="DA12" i="20"/>
  <c r="CZ12" i="20"/>
  <c r="AZ12" i="20"/>
  <c r="BE12" i="20"/>
  <c r="CO12" i="20"/>
  <c r="CN12" i="20"/>
  <c r="CP12" i="20"/>
  <c r="CQ12" i="20"/>
  <c r="CM12" i="20"/>
  <c r="CJ12" i="20"/>
  <c r="CI12" i="20"/>
  <c r="BH12" i="20"/>
  <c r="CF12" i="20"/>
  <c r="CE12" i="20"/>
  <c r="CG12" i="20"/>
  <c r="CH12" i="20"/>
  <c r="CD12" i="20"/>
  <c r="CA12" i="20"/>
  <c r="CB12" i="20"/>
  <c r="CC12" i="20"/>
  <c r="BL12" i="20"/>
  <c r="BI12" i="20"/>
  <c r="BD12" i="20"/>
  <c r="BF12" i="20"/>
  <c r="AT12" i="20"/>
  <c r="AS12" i="20"/>
  <c r="AR12" i="20"/>
  <c r="AQ12" i="20"/>
  <c r="AO12" i="20"/>
  <c r="AC12" i="20"/>
  <c r="AA12" i="20"/>
  <c r="Z12" i="20"/>
  <c r="P12" i="20"/>
  <c r="J12" i="20"/>
  <c r="I12" i="20"/>
  <c r="H12" i="20"/>
  <c r="F12" i="20"/>
  <c r="EG11" i="20"/>
  <c r="EF11" i="20"/>
  <c r="EC11" i="20"/>
  <c r="EB11" i="20"/>
  <c r="EA11" i="20"/>
  <c r="DZ11" i="20"/>
  <c r="DS11" i="20"/>
  <c r="DA11" i="20"/>
  <c r="CZ11" i="20"/>
  <c r="AZ11" i="20"/>
  <c r="BE11" i="20"/>
  <c r="CO11" i="20"/>
  <c r="CN11" i="20"/>
  <c r="CP11" i="20"/>
  <c r="CQ11" i="20"/>
  <c r="CM11" i="20"/>
  <c r="CJ11" i="20"/>
  <c r="CI11" i="20"/>
  <c r="BH11" i="20"/>
  <c r="CF11" i="20"/>
  <c r="CE11" i="20"/>
  <c r="CG11" i="20"/>
  <c r="CH11" i="20"/>
  <c r="CD11" i="20"/>
  <c r="AY11" i="20"/>
  <c r="BC11" i="20"/>
  <c r="CA11" i="20"/>
  <c r="CB11" i="20"/>
  <c r="CC11" i="20"/>
  <c r="BL11" i="20"/>
  <c r="BI11" i="20"/>
  <c r="BD11" i="20"/>
  <c r="BF11" i="20"/>
  <c r="AT11" i="20"/>
  <c r="AS11" i="20"/>
  <c r="AR11" i="20"/>
  <c r="AQ11" i="20"/>
  <c r="AO11" i="20"/>
  <c r="AC11" i="20"/>
  <c r="AA11" i="20"/>
  <c r="Z11" i="20"/>
  <c r="U11" i="20"/>
  <c r="P11" i="20"/>
  <c r="J11" i="20"/>
  <c r="I11" i="20"/>
  <c r="H11" i="20"/>
  <c r="F11" i="20"/>
  <c r="EG10" i="20"/>
  <c r="EF10" i="20"/>
  <c r="EC10" i="20"/>
  <c r="EB10" i="20"/>
  <c r="EA10" i="20"/>
  <c r="DZ10" i="20"/>
  <c r="DS10" i="20"/>
  <c r="DA10" i="20"/>
  <c r="CZ10" i="20"/>
  <c r="AZ10" i="20"/>
  <c r="BE10" i="20"/>
  <c r="CO10" i="20"/>
  <c r="CN10" i="20"/>
  <c r="CP10" i="20"/>
  <c r="CQ10" i="20"/>
  <c r="CM10" i="20"/>
  <c r="CJ10" i="20"/>
  <c r="CI10" i="20"/>
  <c r="BH10" i="20"/>
  <c r="CF10" i="20"/>
  <c r="CE10" i="20"/>
  <c r="CG10" i="20"/>
  <c r="CH10" i="20"/>
  <c r="CD10" i="20"/>
  <c r="AY10" i="20"/>
  <c r="BC10" i="20"/>
  <c r="CA10" i="20"/>
  <c r="CB10" i="20"/>
  <c r="CC10" i="20"/>
  <c r="BL10" i="20"/>
  <c r="BI10" i="20"/>
  <c r="BD10" i="20"/>
  <c r="BF10" i="20"/>
  <c r="AT10" i="20"/>
  <c r="AS10" i="20"/>
  <c r="AR10" i="20"/>
  <c r="AQ10" i="20"/>
  <c r="AO10" i="20"/>
  <c r="AC10" i="20"/>
  <c r="AA10" i="20"/>
  <c r="Z10" i="20"/>
  <c r="U10" i="20"/>
  <c r="P10" i="20"/>
  <c r="J10" i="20"/>
  <c r="I10" i="20"/>
  <c r="H10" i="20"/>
  <c r="F10" i="20"/>
  <c r="EG9" i="20"/>
  <c r="EF9" i="20"/>
  <c r="EC9" i="20"/>
  <c r="EB9" i="20"/>
  <c r="EA9" i="20"/>
  <c r="DZ9" i="20"/>
  <c r="DS9" i="20"/>
  <c r="DA9" i="20"/>
  <c r="CZ9" i="20"/>
  <c r="AZ9" i="20"/>
  <c r="BE9" i="20"/>
  <c r="CO9" i="20"/>
  <c r="CN9" i="20"/>
  <c r="CP9" i="20"/>
  <c r="CQ9" i="20"/>
  <c r="CM9" i="20"/>
  <c r="CJ9" i="20"/>
  <c r="CI9" i="20"/>
  <c r="BH9" i="20"/>
  <c r="CF9" i="20"/>
  <c r="CE9" i="20"/>
  <c r="CG9" i="20"/>
  <c r="CH9" i="20"/>
  <c r="CD9" i="20"/>
  <c r="CA9" i="20"/>
  <c r="CB9" i="20"/>
  <c r="CC9" i="20"/>
  <c r="BL9" i="20"/>
  <c r="BI9" i="20"/>
  <c r="BD9" i="20"/>
  <c r="BF9" i="20"/>
  <c r="AT9" i="20"/>
  <c r="AS9" i="20"/>
  <c r="AR9" i="20"/>
  <c r="AQ9" i="20"/>
  <c r="AO9" i="20"/>
  <c r="AC9" i="20"/>
  <c r="AA9" i="20"/>
  <c r="Z9" i="20"/>
  <c r="P9" i="20"/>
  <c r="J9" i="20"/>
  <c r="I9" i="20"/>
  <c r="H9" i="20"/>
  <c r="F9" i="20"/>
  <c r="CN6" i="20"/>
  <c r="CM6" i="20"/>
  <c r="CL6" i="20"/>
  <c r="CK6" i="20"/>
  <c r="CJ6" i="20"/>
  <c r="CG6" i="20"/>
  <c r="CF6" i="20"/>
  <c r="CE6" i="20"/>
  <c r="CD6" i="20"/>
  <c r="CC6" i="20"/>
  <c r="BZ6" i="20"/>
  <c r="BT6" i="20"/>
  <c r="BM6" i="20"/>
  <c r="BL6" i="20"/>
  <c r="BK6" i="20"/>
  <c r="BJ6" i="20"/>
  <c r="BG6" i="20"/>
  <c r="BE6" i="20"/>
  <c r="BD6" i="20"/>
  <c r="BC6" i="20"/>
  <c r="BB6" i="20"/>
  <c r="BA6" i="20"/>
  <c r="AZ6" i="20"/>
  <c r="AY6" i="20"/>
  <c r="AX6" i="20"/>
  <c r="AW6" i="20"/>
  <c r="AV6" i="20"/>
  <c r="AU6" i="20"/>
  <c r="AI6" i="20"/>
  <c r="AH6" i="20"/>
  <c r="AG6" i="20"/>
  <c r="AF6" i="20"/>
  <c r="AE6" i="20"/>
  <c r="AD6" i="20"/>
  <c r="AC6" i="20"/>
  <c r="AA6" i="20"/>
  <c r="X6" i="20"/>
  <c r="CH3" i="20"/>
  <c r="CE3" i="20"/>
  <c r="BZ3" i="20"/>
  <c r="BY3" i="20"/>
  <c r="BW3" i="20"/>
  <c r="BV3" i="20"/>
  <c r="BZ2" i="20"/>
  <c r="BY2" i="20"/>
  <c r="BW2" i="20"/>
  <c r="BV2" i="20"/>
  <c r="AI1" i="20"/>
  <c r="AF2" i="20"/>
  <c r="BC1" i="20"/>
  <c r="BC2" i="20"/>
  <c r="CH1" i="20"/>
  <c r="CE1" i="20"/>
  <c r="BX1" i="20"/>
  <c r="AF1" i="20"/>
  <c r="AD1" i="20"/>
  <c r="F62" i="25"/>
  <c r="F61" i="25"/>
  <c r="F60" i="25"/>
  <c r="F59" i="25"/>
  <c r="F58" i="25"/>
  <c r="F57" i="25"/>
  <c r="F56" i="25"/>
  <c r="F55" i="25"/>
  <c r="F54" i="25"/>
  <c r="F53" i="25"/>
  <c r="F52" i="25"/>
  <c r="F51" i="25"/>
  <c r="F50" i="25"/>
  <c r="F49" i="25"/>
  <c r="F48" i="25"/>
  <c r="F47" i="25"/>
  <c r="F46" i="25"/>
  <c r="B6" i="25"/>
  <c r="B45" i="25"/>
  <c r="B46" i="25"/>
  <c r="F45" i="25"/>
  <c r="F44" i="25"/>
  <c r="B43" i="25"/>
  <c r="B44" i="25"/>
  <c r="F43" i="25"/>
  <c r="F42" i="25"/>
  <c r="K30" i="25"/>
  <c r="B7" i="25"/>
  <c r="J25" i="25"/>
  <c r="J26" i="25"/>
  <c r="J28" i="25"/>
  <c r="J29" i="25"/>
  <c r="G21" i="25"/>
  <c r="B26" i="25"/>
  <c r="E25" i="25"/>
  <c r="B25" i="25"/>
  <c r="G17" i="25"/>
  <c r="B17" i="25"/>
  <c r="I13" i="25"/>
  <c r="E13" i="25"/>
  <c r="E14" i="25"/>
  <c r="E15" i="25"/>
  <c r="N13" i="25"/>
  <c r="H13" i="25"/>
  <c r="N12" i="25"/>
  <c r="L12" i="25"/>
  <c r="H12" i="25"/>
  <c r="E3" i="25"/>
  <c r="H11" i="25"/>
  <c r="E11" i="25"/>
  <c r="D11" i="25"/>
  <c r="B11" i="25"/>
  <c r="E10" i="25"/>
  <c r="E9" i="25"/>
  <c r="F8" i="25"/>
  <c r="B8" i="25"/>
  <c r="M6" i="25"/>
  <c r="E5" i="25"/>
  <c r="L2" i="25"/>
  <c r="E2" i="25"/>
  <c r="L1" i="25"/>
  <c r="F1" i="25"/>
  <c r="N53" i="79"/>
  <c r="M53" i="79"/>
  <c r="I53" i="79"/>
  <c r="H53" i="79"/>
  <c r="F53" i="79"/>
  <c r="E53" i="79"/>
  <c r="D53" i="79"/>
  <c r="C53" i="79"/>
  <c r="A53" i="79"/>
  <c r="N52" i="79"/>
  <c r="M52" i="79"/>
  <c r="I52" i="79"/>
  <c r="H52" i="79"/>
  <c r="F52" i="79"/>
  <c r="G52" i="79"/>
  <c r="E52" i="79"/>
  <c r="D52" i="79"/>
  <c r="C52" i="79"/>
  <c r="A52" i="79"/>
  <c r="N51" i="79"/>
  <c r="M51" i="79"/>
  <c r="I51" i="79"/>
  <c r="H51" i="79"/>
  <c r="A51" i="79"/>
  <c r="N50" i="79"/>
  <c r="M50" i="79"/>
  <c r="I50" i="79"/>
  <c r="H50" i="79"/>
  <c r="A50" i="79"/>
  <c r="N49" i="79"/>
  <c r="M49" i="79"/>
  <c r="I49" i="79"/>
  <c r="H49" i="79"/>
  <c r="A49" i="79"/>
  <c r="N48" i="79"/>
  <c r="M48" i="79"/>
  <c r="I48" i="79"/>
  <c r="H48" i="79"/>
  <c r="A48" i="79"/>
  <c r="N47" i="79"/>
  <c r="M47" i="79"/>
  <c r="I47" i="79"/>
  <c r="H47" i="79"/>
  <c r="A47" i="79"/>
  <c r="N46" i="79"/>
  <c r="M46" i="79"/>
  <c r="I46" i="79"/>
  <c r="H46" i="79"/>
  <c r="A46" i="79"/>
  <c r="N45" i="79"/>
  <c r="M45" i="79"/>
  <c r="I45" i="79"/>
  <c r="H45" i="79"/>
  <c r="A45" i="79"/>
  <c r="N44" i="79"/>
  <c r="M44" i="79"/>
  <c r="I44" i="79"/>
  <c r="H44" i="79"/>
  <c r="A44" i="79"/>
  <c r="N43" i="79"/>
  <c r="M43" i="79"/>
  <c r="I43" i="79"/>
  <c r="H43" i="79"/>
  <c r="A43" i="79"/>
  <c r="N42" i="79"/>
  <c r="M42" i="79"/>
  <c r="I42" i="79"/>
  <c r="H42" i="79"/>
  <c r="A42" i="79"/>
  <c r="N41" i="79"/>
  <c r="M41" i="79"/>
  <c r="I41" i="79"/>
  <c r="H41" i="79"/>
  <c r="A41" i="79"/>
  <c r="N40" i="79"/>
  <c r="M40" i="79"/>
  <c r="I40" i="79"/>
  <c r="H40" i="79"/>
  <c r="A40" i="79"/>
  <c r="N39" i="79"/>
  <c r="M39" i="79"/>
  <c r="I39" i="79"/>
  <c r="H39" i="79"/>
  <c r="A39" i="79"/>
  <c r="N38" i="79"/>
  <c r="M38" i="79"/>
  <c r="I38" i="79"/>
  <c r="H38" i="79"/>
  <c r="A38" i="79"/>
  <c r="N37" i="79"/>
  <c r="M37" i="79"/>
  <c r="I37" i="79"/>
  <c r="H37" i="79"/>
  <c r="A37" i="79"/>
  <c r="N36" i="79"/>
  <c r="M36" i="79"/>
  <c r="I36" i="79"/>
  <c r="H36" i="79"/>
  <c r="A36" i="79"/>
  <c r="N35" i="79"/>
  <c r="M35" i="79"/>
  <c r="I35" i="79"/>
  <c r="H35" i="79"/>
  <c r="A35" i="79"/>
  <c r="N34" i="79"/>
  <c r="M34" i="79"/>
  <c r="I34" i="79"/>
  <c r="H34" i="79"/>
  <c r="A34" i="79"/>
  <c r="N33" i="79"/>
  <c r="M33" i="79"/>
  <c r="I33" i="79"/>
  <c r="H33" i="79"/>
  <c r="A33" i="79"/>
  <c r="N32" i="79"/>
  <c r="M32" i="79"/>
  <c r="I32" i="79"/>
  <c r="H32" i="79"/>
  <c r="A32" i="79"/>
  <c r="N31" i="79"/>
  <c r="M31" i="79"/>
  <c r="I31" i="79"/>
  <c r="H31" i="79"/>
  <c r="A31" i="79"/>
  <c r="N30" i="79"/>
  <c r="M30" i="79"/>
  <c r="I30" i="79"/>
  <c r="H30" i="79"/>
  <c r="A30" i="79"/>
  <c r="N29" i="79"/>
  <c r="M29" i="79"/>
  <c r="I29" i="79"/>
  <c r="H29" i="79"/>
  <c r="A29" i="79"/>
  <c r="N28" i="79"/>
  <c r="M28" i="79"/>
  <c r="I28" i="79"/>
  <c r="H28" i="79"/>
  <c r="A28" i="79"/>
  <c r="N27" i="79"/>
  <c r="M27" i="79"/>
  <c r="I27" i="79"/>
  <c r="H27" i="79"/>
  <c r="A27" i="79"/>
  <c r="N26" i="79"/>
  <c r="M26" i="79"/>
  <c r="I26" i="79"/>
  <c r="H26" i="79"/>
  <c r="A26" i="79"/>
  <c r="N25" i="79"/>
  <c r="M25" i="79"/>
  <c r="I25" i="79"/>
  <c r="H25" i="79"/>
  <c r="A25" i="79"/>
  <c r="N24" i="79"/>
  <c r="M24" i="79"/>
  <c r="I24" i="79"/>
  <c r="H24" i="79"/>
  <c r="A24" i="79"/>
  <c r="N23" i="79"/>
  <c r="M23" i="79"/>
  <c r="I23" i="79"/>
  <c r="H23" i="79"/>
  <c r="A23" i="79"/>
  <c r="N22" i="79"/>
  <c r="M22" i="79"/>
  <c r="I22" i="79"/>
  <c r="H22" i="79"/>
  <c r="A22" i="79"/>
  <c r="N21" i="79"/>
  <c r="M21" i="79"/>
  <c r="I21" i="79"/>
  <c r="H21" i="79"/>
  <c r="A21" i="79"/>
  <c r="N20" i="79"/>
  <c r="M20" i="79"/>
  <c r="I20" i="79"/>
  <c r="H20" i="79"/>
  <c r="A20" i="79"/>
  <c r="N19" i="79"/>
  <c r="M19" i="79"/>
  <c r="I19" i="79"/>
  <c r="H19" i="79"/>
  <c r="A19" i="79"/>
  <c r="N18" i="79"/>
  <c r="M18" i="79"/>
  <c r="I18" i="79"/>
  <c r="H18" i="79"/>
  <c r="A18" i="79"/>
  <c r="N17" i="79"/>
  <c r="M17" i="79"/>
  <c r="I17" i="79"/>
  <c r="H17" i="79"/>
  <c r="A17" i="79"/>
  <c r="N16" i="79"/>
  <c r="M16" i="79"/>
  <c r="I16" i="79"/>
  <c r="H16" i="79"/>
  <c r="A16" i="79"/>
  <c r="N15" i="79"/>
  <c r="M15" i="79"/>
  <c r="I15" i="79"/>
  <c r="H15" i="79"/>
  <c r="A15" i="79"/>
  <c r="N14" i="79"/>
  <c r="M14" i="79"/>
  <c r="I14" i="79"/>
  <c r="H14" i="79"/>
  <c r="A14" i="79"/>
  <c r="N13" i="79"/>
  <c r="M13" i="79"/>
  <c r="I13" i="79"/>
  <c r="H13" i="79"/>
  <c r="A13" i="79"/>
  <c r="N12" i="79"/>
  <c r="M12" i="79"/>
  <c r="I12" i="79"/>
  <c r="H12" i="79"/>
  <c r="A12" i="79"/>
  <c r="N11" i="79"/>
  <c r="M11" i="79"/>
  <c r="I11" i="79"/>
  <c r="H11" i="79"/>
  <c r="A11" i="79"/>
  <c r="N10" i="79"/>
  <c r="M10" i="79"/>
  <c r="I10" i="79"/>
  <c r="H10" i="79"/>
  <c r="A10" i="79"/>
  <c r="D7" i="79"/>
  <c r="D6" i="79"/>
  <c r="D5" i="79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P11" i="10"/>
</calcChain>
</file>

<file path=xl/comments1.xml><?xml version="1.0" encoding="utf-8"?>
<comments xmlns="http://schemas.openxmlformats.org/spreadsheetml/2006/main">
  <authors>
    <author>user</author>
    <author>מיכאל נוימן</author>
  </authors>
  <commentList>
    <comment ref="AX7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הפרמיה לחיסכון (חישוב ידני) כפול אחוז הרכיב חלקי סך אחוז ההפרשהההפרשה</t>
        </r>
      </text>
    </comment>
    <comment ref="Q8" authorId="1">
      <text>
        <r>
          <rPr>
            <b/>
            <sz val="8"/>
            <rFont val="Tahoma"/>
            <family val="2"/>
          </rPr>
          <t>ב: מביטחה תשואה.
ש: משתתף ברווחים.
נ: פוליסת קצבה עם מקדם נייד.</t>
        </r>
      </text>
    </comment>
    <comment ref="S8" authorId="1">
      <text>
        <r>
          <rPr>
            <b/>
            <sz val="8"/>
            <rFont val="Tahoma"/>
            <family val="2"/>
          </rPr>
          <t xml:space="preserve">יעל:
עד 1990 4%
1990-2000 3%
מ 2000  2.5%
קופ"ג 2.5%
ק.פנסיה 3%
</t>
        </r>
        <r>
          <rPr>
            <sz val="8"/>
            <rFont val="Tahoma"/>
            <family val="2"/>
          </rPr>
          <t xml:space="preserve">
</t>
        </r>
      </text>
    </comment>
    <comment ref="AC8" authorId="1">
      <text>
        <r>
          <rPr>
            <b/>
            <sz val="8"/>
            <rFont val="Tahoma"/>
            <family val="2"/>
          </rPr>
          <t xml:space="preserve">אין הפקדות
מסולקת
פרמיה חודשית המשולמת
</t>
        </r>
      </text>
    </comment>
    <comment ref="AD8" authorId="1">
      <text>
        <r>
          <rPr>
            <b/>
            <sz val="8"/>
            <rFont val="Tahoma"/>
            <family val="2"/>
          </rPr>
          <t>יעל:</t>
        </r>
        <r>
          <rPr>
            <sz val="8"/>
            <rFont val="Tahoma"/>
            <family val="2"/>
          </rPr>
          <t xml:space="preserve">
עלות כל הכיסויים, גורמי פוליסה.... כל מה שלא מיועד לחסכון.
</t>
        </r>
      </text>
    </comment>
    <comment ref="AF8" authorId="1">
      <text>
        <r>
          <rPr>
            <b/>
            <sz val="8"/>
            <rFont val="Tahoma"/>
            <family val="2"/>
          </rPr>
          <t>יעל:
כל החישובים העתידיים מבוססים על חסכון חודשי המופיע כאן.</t>
        </r>
        <r>
          <rPr>
            <sz val="8"/>
            <rFont val="Tahoma"/>
            <family val="2"/>
          </rPr>
          <t xml:space="preserve">
</t>
        </r>
      </text>
    </comment>
    <comment ref="AM8" authorId="1">
      <text>
        <r>
          <rPr>
            <b/>
            <sz val="8"/>
            <rFont val="Tahoma"/>
            <family val="2"/>
          </rPr>
          <t xml:space="preserve">בפוליסות במגדל והראל הסכום נתון.
</t>
        </r>
        <r>
          <rPr>
            <sz val="8"/>
            <rFont val="Tahoma"/>
            <family val="2"/>
          </rPr>
          <t xml:space="preserve">
</t>
        </r>
      </text>
    </comment>
    <comment ref="AT8" authorId="1">
      <text>
        <r>
          <rPr>
            <sz val="8"/>
            <rFont val="Tahoma"/>
            <family val="2"/>
          </rPr>
          <t xml:space="preserve">
יעל: חובה למלא אם יש א.כ.ע.
</t>
        </r>
      </text>
    </comment>
  </commentList>
</comments>
</file>

<file path=xl/sharedStrings.xml><?xml version="1.0" encoding="utf-8"?>
<sst xmlns="http://schemas.openxmlformats.org/spreadsheetml/2006/main" count="8172" uniqueCount="1591">
  <si>
    <t>סידורי</t>
  </si>
  <si>
    <t>ת"ז</t>
  </si>
  <si>
    <t>מספר פוליסה</t>
  </si>
  <si>
    <t>נכון לתאריך</t>
  </si>
  <si>
    <t>תאריך הצטרפות</t>
  </si>
  <si>
    <t>פנסיה ישנה או חדשה</t>
  </si>
  <si>
    <t>סוג קרן פנסיה</t>
  </si>
  <si>
    <t>סוג פוליסה</t>
  </si>
  <si>
    <t>סוג תוכנית</t>
  </si>
  <si>
    <t>סטוטס</t>
  </si>
  <si>
    <t>מספר מפיץ</t>
  </si>
  <si>
    <t>תאריך עדכון סטטוס</t>
  </si>
  <si>
    <t>שם התוכנית</t>
  </si>
  <si>
    <t>שם חברה</t>
  </si>
  <si>
    <t>שכבת ההפרשה</t>
  </si>
  <si>
    <t>תאריך נכונות</t>
  </si>
  <si>
    <t>פיצויים</t>
  </si>
  <si>
    <t>סעיף 47</t>
  </si>
  <si>
    <t>שונות עובד</t>
  </si>
  <si>
    <t>השתלמות מעביד</t>
  </si>
  <si>
    <t>השתלמות עובד</t>
  </si>
  <si>
    <t>פרט</t>
  </si>
  <si>
    <t>תג' מעביד</t>
  </si>
  <si>
    <t>תג' עובד</t>
  </si>
  <si>
    <t>קוד מסלול</t>
  </si>
  <si>
    <t>אחוז ההפרשה</t>
  </si>
  <si>
    <t>שם המסלול</t>
  </si>
  <si>
    <t>תגמולים</t>
  </si>
  <si>
    <t>שונות</t>
  </si>
  <si>
    <t>מספר מעסיק</t>
  </si>
  <si>
    <t>סטטוס מעסיק</t>
  </si>
  <si>
    <t>סוג ב.פוליסה שאינו המבוטח</t>
  </si>
  <si>
    <t>מספר ב.פוליסה שאינו המבוטח</t>
  </si>
  <si>
    <t>שם ב.פוליסה שאינו המבוטח</t>
  </si>
  <si>
    <t>אובדן כושר עבודה</t>
  </si>
  <si>
    <t>שונות מעסיד</t>
  </si>
  <si>
    <t>מונה</t>
  </si>
  <si>
    <t>קוד יצרן</t>
  </si>
  <si>
    <t>סוג רשומה</t>
  </si>
  <si>
    <t>תאריך הפקדה</t>
  </si>
  <si>
    <t>אופן משיכה</t>
  </si>
  <si>
    <t>סוג הפקדה</t>
  </si>
  <si>
    <t>סוג מפקיד</t>
  </si>
  <si>
    <t>סכום ההפקדה</t>
  </si>
  <si>
    <t>חודש ושנה</t>
  </si>
  <si>
    <t>זמן פרעון</t>
  </si>
  <si>
    <t>שם משפחה</t>
  </si>
  <si>
    <t>שם פרטי</t>
  </si>
  <si>
    <t>תאריך לידה</t>
  </si>
  <si>
    <t>מין</t>
  </si>
  <si>
    <t>כתובת</t>
  </si>
  <si>
    <t>עיר</t>
  </si>
  <si>
    <t>מיקוד</t>
  </si>
  <si>
    <t>ת.ד</t>
  </si>
  <si>
    <t>ערך הנחה</t>
  </si>
  <si>
    <t>פנימי (פרנצ'יזה)</t>
  </si>
  <si>
    <t>פנימי (עיסוק)</t>
  </si>
  <si>
    <t>פנימי (קוד כיסוי)</t>
  </si>
  <si>
    <t>פנימי (סוג כיסוי)</t>
  </si>
  <si>
    <t>סוג ביטוח</t>
  </si>
  <si>
    <t>סוג הנחה</t>
  </si>
  <si>
    <t>עיסוק</t>
  </si>
  <si>
    <t>קוד מוצר</t>
  </si>
  <si>
    <t>סכום ביטוח</t>
  </si>
  <si>
    <t>סוג מבוטח</t>
  </si>
  <si>
    <t>אופן התשלום</t>
  </si>
  <si>
    <t>משלם הכיסוי</t>
  </si>
  <si>
    <t>עישון</t>
  </si>
  <si>
    <t>חיתום</t>
  </si>
  <si>
    <t>החרגה</t>
  </si>
  <si>
    <t>סוג החרגה</t>
  </si>
  <si>
    <t>תאריך תחילת כיסוי</t>
  </si>
  <si>
    <t>תאריך סיום כיסוי</t>
  </si>
  <si>
    <t>תאריך הפסקת תשלום</t>
  </si>
  <si>
    <t>אחוז מסכום ביטוח יסודי</t>
  </si>
  <si>
    <t>אחוז משכר</t>
  </si>
  <si>
    <t>תאריך חיתום</t>
  </si>
  <si>
    <t>תקופת הכשרה</t>
  </si>
  <si>
    <t>תקופת הכשרה בחודשים</t>
  </si>
  <si>
    <t>תאריך עידכון הבא של דמי הביטוח</t>
  </si>
  <si>
    <t>הנחה</t>
  </si>
  <si>
    <t>התניה להנחה</t>
  </si>
  <si>
    <t>שם הכיסוי</t>
  </si>
  <si>
    <t>פנימי</t>
  </si>
  <si>
    <t>פנימי (סוג מבוטח)</t>
  </si>
  <si>
    <t>דמי ביטוח ת</t>
  </si>
  <si>
    <t>תדירות שינוי דמי הביטוח בשנים</t>
  </si>
  <si>
    <t>שיעור ההנחה</t>
  </si>
  <si>
    <t>פנימי (סוג הנחה)</t>
  </si>
  <si>
    <t>אכ"ע כולל פרנציזה</t>
  </si>
  <si>
    <t>גובה ד.ניהול נקבע ע"פ הוצאות בפועל</t>
  </si>
  <si>
    <t>סוג הוצאה</t>
  </si>
  <si>
    <t>קוד מסלול דמי ניהול</t>
  </si>
  <si>
    <t>מאפיניי מסלול דמי ניהול</t>
  </si>
  <si>
    <t>שיעור דמי ניהול</t>
  </si>
  <si>
    <t>תאריך נכונות שיעור דמי ניהול</t>
  </si>
  <si>
    <t>האם דמי ניהול אחידים לכל מסלולי ההשקעה</t>
  </si>
  <si>
    <t>קוד מסלול ההשקעה בעל דמי הניהול הייחודיים</t>
  </si>
  <si>
    <t>אופן הפרשה</t>
  </si>
  <si>
    <t>סכום מכסימלי של דמי ניהול מהפקדה</t>
  </si>
  <si>
    <t>סך דמי ניהול למסלול</t>
  </si>
  <si>
    <t>סך דמי ניהול אחרים</t>
  </si>
  <si>
    <t>קיימת הטבה בדמי </t>
  </si>
  <si>
    <t>תאריך הצטרפות ראשון</t>
  </si>
  <si>
    <t>PerutHafkadotMetchilatShana</t>
  </si>
  <si>
    <t>PerutMivneDmeiNihul</t>
  </si>
  <si>
    <t>PerutYitraLeTkufa</t>
  </si>
  <si>
    <t>PirteiKisuiBeMutzar</t>
  </si>
  <si>
    <t>PirteiOved</t>
  </si>
  <si>
    <t>ricusPolice</t>
  </si>
  <si>
    <t>ClientList</t>
  </si>
  <si>
    <t>PerutMasluleiHashkaa</t>
  </si>
  <si>
    <t>PerutHafrashotLePolisa</t>
  </si>
  <si>
    <t>שם הטווח</t>
  </si>
  <si>
    <t>שם הגליון</t>
  </si>
  <si>
    <t>הטווח</t>
  </si>
  <si>
    <t>dataForSimulator</t>
  </si>
  <si>
    <t>$C$6:$AG$107</t>
  </si>
  <si>
    <t>perutMasluleiHashkaa</t>
  </si>
  <si>
    <t>$C$6:$X$195</t>
  </si>
  <si>
    <t>perutHafrashotLePolisa</t>
  </si>
  <si>
    <t>$C$6:$AI$150</t>
  </si>
  <si>
    <t>perutYitraLeTkufa</t>
  </si>
  <si>
    <t>$C$6:$AF$217</t>
  </si>
  <si>
    <t>RicusPolice</t>
  </si>
  <si>
    <t>$C$6:$AG$1201</t>
  </si>
  <si>
    <t>perutHafkadotMetchilatShana</t>
  </si>
  <si>
    <t>$C$6:$BH$339</t>
  </si>
  <si>
    <t>pirteiKisuiBeMutzar</t>
  </si>
  <si>
    <t>perutMivneDmeiNihul</t>
  </si>
  <si>
    <t>$C$6:$AI$16</t>
  </si>
  <si>
    <t>pirteiOved</t>
  </si>
  <si>
    <t>clientList</t>
  </si>
  <si>
    <t>MyData</t>
  </si>
  <si>
    <t>myData</t>
  </si>
  <si>
    <t>$C$9:$E$39</t>
  </si>
  <si>
    <t>אופן תשלום</t>
  </si>
  <si>
    <t>חיסכון מצטבר</t>
  </si>
  <si>
    <t>סה"כ פידיון</t>
  </si>
  <si>
    <t>סוג הפרשה</t>
  </si>
  <si>
    <t>תאריך ערך</t>
  </si>
  <si>
    <t>PerutPirteiHafkadaAchrona</t>
  </si>
  <si>
    <t>perutPirteiHafkadaAchrona</t>
  </si>
  <si>
    <t>PerutYitrot</t>
  </si>
  <si>
    <t>perutYitrot</t>
  </si>
  <si>
    <t>חודש הפקדה</t>
  </si>
  <si>
    <t>סה"כ הפקדה</t>
  </si>
  <si>
    <t>סוג ההפקדה</t>
  </si>
  <si>
    <t>סוג התשלום</t>
  </si>
  <si>
    <t>זהות המשלם</t>
  </si>
  <si>
    <t>סכום התשלום</t>
  </si>
  <si>
    <t>הפקדה לחיסכון א</t>
  </si>
  <si>
    <t>הפקדה לחיסכון ב</t>
  </si>
  <si>
    <t>Kupa</t>
  </si>
  <si>
    <t>YitraLefiGilPrisha</t>
  </si>
  <si>
    <t>yitraLefiGilPrisha</t>
  </si>
  <si>
    <t>kupa</t>
  </si>
  <si>
    <t>$C$6:$AA$50</t>
  </si>
  <si>
    <t>$C$6:$AA$51</t>
  </si>
  <si>
    <t>$C$6:$AA$52</t>
  </si>
  <si>
    <t>$C$6:$AA$53</t>
  </si>
  <si>
    <t>$C$6:$AA$54</t>
  </si>
  <si>
    <t>ספר פוליסה</t>
  </si>
  <si>
    <t>גיל פרישה</t>
  </si>
  <si>
    <t>.זקנה ללא פרמיות</t>
  </si>
  <si>
    <t>אחוז התשואה בתחזית</t>
  </si>
  <si>
    <t>צבירה מחושבת להון כולל פרמיות</t>
  </si>
  <si>
    <t>צבירה מחושבת להון ללא פרמיות</t>
  </si>
  <si>
    <t>ח"פ צפוי לקצבה כולל פרמיות</t>
  </si>
  <si>
    <t>ח"פ צפוי לקצבה ללא פרמיות</t>
  </si>
  <si>
    <t>סוג קופה</t>
  </si>
  <si>
    <t>חיסכון צפוי כולל פרמיות</t>
  </si>
  <si>
    <t>חיסכון צפוי ללא פרמיות</t>
  </si>
  <si>
    <t>מומצע חודשי</t>
  </si>
  <si>
    <t>$C$6:$AA$55</t>
  </si>
  <si>
    <t>hafkadotMetchilatShanaAverages</t>
  </si>
  <si>
    <t>HafkadotMetchilatShanaAverages</t>
  </si>
  <si>
    <t>ריכוז פוליסות</t>
  </si>
  <si>
    <t>מסלול העסקה</t>
  </si>
  <si>
    <t>פרטי כיסוי במוצר</t>
  </si>
  <si>
    <t>פרוט יתרות</t>
  </si>
  <si>
    <t>יתרות לפי תקופה</t>
  </si>
  <si>
    <t>קופה</t>
  </si>
  <si>
    <t>יתרות לגיל פרישה</t>
  </si>
  <si>
    <t>פרטי הפקדה אחרונה</t>
  </si>
  <si>
    <t>פרוט הפקדה אחרונה</t>
  </si>
  <si>
    <t>הפקדה חודשית ממוצעת</t>
  </si>
  <si>
    <t>פרטי עובד</t>
  </si>
  <si>
    <t>עד חוק ההסדרים ( 1997 2000 )</t>
  </si>
  <si>
    <t>לאחר חוק ההסדרים ( 1997 2000 )</t>
  </si>
  <si>
    <t>עד 31.12.2004</t>
  </si>
  <si>
    <t>עד 31.12.2005</t>
  </si>
  <si>
    <t xml:space="preserve">מ-01.01.2005 עד 31.12.2007 </t>
  </si>
  <si>
    <t>מ-01.01.2006 עד 31.12.2007</t>
  </si>
  <si>
    <t xml:space="preserve">מ- 01.01.2008 </t>
  </si>
  <si>
    <t>עד 31.12.2002</t>
  </si>
  <si>
    <t>נדרש חישוב ידני</t>
  </si>
  <si>
    <t>קוד 10 הינו בכפוף להוראות חוזר "טיוב נתוני זכויות עמיתים בגופים מוסדיים" בעניין תאריך סיום הפרויקט.</t>
  </si>
  <si>
    <t>רכיב היתרה</t>
  </si>
  <si>
    <t>סכום יתרה</t>
  </si>
  <si>
    <t>סוג יתרה</t>
  </si>
  <si>
    <t>קוד שיכבה</t>
  </si>
  <si>
    <t>קוד רכיב יתרה</t>
  </si>
  <si>
    <t>קוד סוג יתרה</t>
  </si>
  <si>
    <t>תגמולי מעביד</t>
  </si>
  <si>
    <t>תגמולי עובד</t>
  </si>
  <si>
    <t>שונות מעביד</t>
  </si>
  <si>
    <t>ק.השתלמות מעביד</t>
  </si>
  <si>
    <t>ק.השתלמות עובד</t>
  </si>
  <si>
    <t>$C$6:$AA$56</t>
  </si>
  <si>
    <t>perutYitraLeTkufa_till2000</t>
  </si>
  <si>
    <t>PerutYitraLeTkufa_till2000</t>
  </si>
  <si>
    <t>$C$6:$AA$57</t>
  </si>
  <si>
    <t>perutYitraLeTkufa_after2000</t>
  </si>
  <si>
    <t>PerutYitraLeTkufa_after2000</t>
  </si>
  <si>
    <t>לגיל</t>
  </si>
  <si>
    <t>אחוזי הפרשה במנהלים</t>
  </si>
  <si>
    <t>ערכי פדיון</t>
  </si>
  <si>
    <t>אם נתון סה"כ למקרה מוות</t>
  </si>
  <si>
    <t>אם נתונים ריסקים נוספים</t>
  </si>
  <si>
    <t>יתרות עתידיות</t>
  </si>
  <si>
    <t>מכספי פיצויים נכון ליום פרישה</t>
  </si>
  <si>
    <t>מכספי תגמולים מעביד עד 31/12/1999 נכון ליום פרישה</t>
  </si>
  <si>
    <t>מכספי תגמולי מעביד אחרי 1/1/2000 נכון ליום פרישה</t>
  </si>
  <si>
    <t>מכספי תגמולי עובד עד 31/12/1999 נכון ליום פרישה</t>
  </si>
  <si>
    <t>מכספי תגמולי עובד אחרי 2000 נכון ליום פרישה</t>
  </si>
  <si>
    <t>מס '</t>
  </si>
  <si>
    <t>מס' התוכנית</t>
  </si>
  <si>
    <t>החברה המנהלת</t>
  </si>
  <si>
    <t>סוג ההשקעה</t>
  </si>
  <si>
    <t>תאריך תחילה</t>
  </si>
  <si>
    <t>ריבית</t>
  </si>
  <si>
    <t>מקדם קצבה 120</t>
  </si>
  <si>
    <t>מקדם הדדי 100%</t>
  </si>
  <si>
    <t xml:space="preserve">פיצויים </t>
  </si>
  <si>
    <t>סה"כ</t>
  </si>
  <si>
    <t>שכר לפוליסה ע"פ חברת הביטוח</t>
  </si>
  <si>
    <t>שכר לפוליסה ע"פ ההפרשות</t>
  </si>
  <si>
    <t>עלות ביטוח וגורמים</t>
  </si>
  <si>
    <t>אחוז חסכון מוערך</t>
  </si>
  <si>
    <t>חסכון בפועל חישוב ידני R-S</t>
  </si>
  <si>
    <t>ת' מעביד עד 01/2000</t>
  </si>
  <si>
    <t>ת' מעביד מ 01/2000</t>
  </si>
  <si>
    <t>ת' עובד עד 01/2000</t>
  </si>
  <si>
    <t>ת' עובד מ 01/2000</t>
  </si>
  <si>
    <t>ערך נוכחי</t>
  </si>
  <si>
    <t xml:space="preserve">סה"כ  למקרה מוות הנתון מחברה </t>
  </si>
  <si>
    <t xml:space="preserve">סה"כ ריסק </t>
  </si>
  <si>
    <t xml:space="preserve">ריסק נוסף </t>
  </si>
  <si>
    <t xml:space="preserve">סה"כ </t>
  </si>
  <si>
    <t>כיסוי לנכות מתאונה</t>
  </si>
  <si>
    <t>כיסוי לנכות מקצועית</t>
  </si>
  <si>
    <t>פיצוי חודשי לא.כ.ע</t>
  </si>
  <si>
    <t>שחרור מפרמיה בא.כ.ע.</t>
  </si>
  <si>
    <t>מס' הערה</t>
  </si>
  <si>
    <t>הערות(מוות מתואנה, מחלות קשות, בריאות סיעוד...)</t>
  </si>
  <si>
    <t>פיצוי חודשי נטו א.כ.ע</t>
  </si>
  <si>
    <t>ת' מעביד עד</t>
  </si>
  <si>
    <t>ת' מעביד מ</t>
  </si>
  <si>
    <t>ת' עובד עד</t>
  </si>
  <si>
    <t>ת' עובד מ</t>
  </si>
  <si>
    <t>בקרת סיכום</t>
  </si>
  <si>
    <t>פוליסות הון/קופ"ג</t>
  </si>
  <si>
    <t>פוליסות קצבה</t>
  </si>
  <si>
    <t>חודשי</t>
  </si>
  <si>
    <t>חודשי הדדי</t>
  </si>
  <si>
    <t>קצבה מפיצויים</t>
  </si>
  <si>
    <t>פיצויים בפוליסות קצבה</t>
  </si>
  <si>
    <t>הוני</t>
  </si>
  <si>
    <t>סה"כ פיצויים</t>
  </si>
  <si>
    <t>בקרה</t>
  </si>
  <si>
    <t>קצבה מת' מע עד</t>
  </si>
  <si>
    <t>ת' בקצבה מע עד</t>
  </si>
  <si>
    <t>ת' מע עד הוני</t>
  </si>
  <si>
    <t>סה"כ תג מע עד</t>
  </si>
  <si>
    <t>קצבה מת' מע 2000</t>
  </si>
  <si>
    <t>ת' בקצבה מע 2000</t>
  </si>
  <si>
    <t>ת' הוני מע 2000</t>
  </si>
  <si>
    <t>סה"כ תג מע 2000</t>
  </si>
  <si>
    <t>קצבה מת' עובד עד</t>
  </si>
  <si>
    <t>ת' בקצבה עובד עד</t>
  </si>
  <si>
    <t>ת' עובד עד הוני</t>
  </si>
  <si>
    <t xml:space="preserve">סה"כ תג עובד עד </t>
  </si>
  <si>
    <t>קצבה מת' עובד מ 2000</t>
  </si>
  <si>
    <t>ת' בקצבה עובד מ 2000</t>
  </si>
  <si>
    <t>ת' הוני עובד מ 2000</t>
  </si>
  <si>
    <t>סה"כ תג עובד מ 2000</t>
  </si>
  <si>
    <t>שכר</t>
  </si>
  <si>
    <t>סוג הצמדה</t>
  </si>
  <si>
    <t>תאריך משכורת</t>
  </si>
  <si>
    <t>זכאות ללא תנאי</t>
  </si>
  <si>
    <t>סעיף 14</t>
  </si>
  <si>
    <t>תאריך תחילת תשלום</t>
  </si>
  <si>
    <t>פרטי העסקה</t>
  </si>
  <si>
    <t>פרוט הפקדות מתחילת שנה</t>
  </si>
  <si>
    <t>מבנה דמי ניהול</t>
  </si>
  <si>
    <t>ממוצע הפרשות חודשיות  פר"ח</t>
  </si>
  <si>
    <t>סה"כ מעביד</t>
  </si>
  <si>
    <t>סה"כ עובד</t>
  </si>
  <si>
    <t>פרוט סוג ההשקעה</t>
  </si>
  <si>
    <t>סכום של סכום ביטוח</t>
  </si>
  <si>
    <t>תוויות שורה</t>
  </si>
  <si>
    <t>(ריק)</t>
  </si>
  <si>
    <t>סכום כולל</t>
  </si>
  <si>
    <t>תוויות עמודה</t>
  </si>
  <si>
    <t xml:space="preserve">כיסוי למקרה מוות </t>
  </si>
  <si>
    <t>נכות מקצועית</t>
  </si>
  <si>
    <t>מוות מתאונה</t>
  </si>
  <si>
    <t>נכות מתאונה</t>
  </si>
  <si>
    <t>אבדן כושר עבודה</t>
  </si>
  <si>
    <t>שחרור</t>
  </si>
  <si>
    <t>מחלות קשות</t>
  </si>
  <si>
    <t>תוכנית משולבת חיסכון</t>
  </si>
  <si>
    <t>מוות + אכ"ע</t>
  </si>
  <si>
    <t>אחר</t>
  </si>
  <si>
    <t>ערך 9 מיועד לפנסיה ותיקה בלבד</t>
  </si>
  <si>
    <t>ביטוח חיים</t>
  </si>
  <si>
    <t>אי כושר</t>
  </si>
  <si>
    <t>שיחרור</t>
  </si>
  <si>
    <t>חיסכון</t>
  </si>
  <si>
    <t>מסלול ביטוח</t>
  </si>
  <si>
    <t>האם סכום הביטוח כולל חיסכון</t>
  </si>
  <si>
    <t>מספר משכורות</t>
  </si>
  <si>
    <t>אחוז הקצאה לחיסכון</t>
  </si>
  <si>
    <t>תקרת חיתום למוות</t>
  </si>
  <si>
    <t>תקרת חיתום לא.כ.ע</t>
  </si>
  <si>
    <t>סכום ביטוח למוות</t>
  </si>
  <si>
    <t>שם כיסוי</t>
  </si>
  <si>
    <t>ביטוח יסודי</t>
  </si>
  <si>
    <t>SchumeiBituahYesodi</t>
  </si>
  <si>
    <t>schumeiBituahYesodi</t>
  </si>
  <si>
    <t>PirteiKisuiBeMutzar_procerur</t>
  </si>
  <si>
    <t>pirteiKisuiBeMutzar_procerur</t>
  </si>
  <si>
    <t>PirteiHaasaka</t>
  </si>
  <si>
    <t>pirteiHaasaka</t>
  </si>
  <si>
    <t>$C$6:$AA$58</t>
  </si>
  <si>
    <t>$C$6:$AA$59</t>
  </si>
  <si>
    <t>$C$6:$AA$60</t>
  </si>
  <si>
    <t>PerutYitraLeTkufa_crosTab</t>
  </si>
  <si>
    <t>perutYitraLeTkufa_crosTab</t>
  </si>
  <si>
    <t>$C$6:$AA$61</t>
  </si>
  <si>
    <t>סכומי ביטוח</t>
  </si>
  <si>
    <t>עלות  ביטוח</t>
  </si>
  <si>
    <t>PirteiKisuiBeMutzarPrmia</t>
  </si>
  <si>
    <t>pirteiKisuiBeMutzarPrmia</t>
  </si>
  <si>
    <t>$C$6:$AA$62</t>
  </si>
  <si>
    <t>מדד בסיס</t>
  </si>
  <si>
    <t>קוד אחיד</t>
  </si>
  <si>
    <t>הצמדה לתנאי ההלוואה</t>
  </si>
  <si>
    <t>תאריך בו נקבע מוטב</t>
  </si>
  <si>
    <t>כולל זכאות אג"ח</t>
  </si>
  <si>
    <t>שיעור אג"ח מיועדות</t>
  </si>
  <si>
    <t>הבטחת תשואה</t>
  </si>
  <si>
    <t>תאריך סיום הבטחת תשואה</t>
  </si>
  <si>
    <t>מספר גמלאות</t>
  </si>
  <si>
    <t>קיום כיסוי ביטוחי אצל מבטח חיצוני</t>
  </si>
  <si>
    <t>כיסוי אישי/קבוצתי</t>
  </si>
  <si>
    <t>תאריך תחילת ריסק זמני</t>
  </si>
  <si>
    <t>פנימי (פנסיה חדשה או ותיקה)</t>
  </si>
  <si>
    <t>פנימי (סוג קרן פנסיה)</t>
  </si>
  <si>
    <t>מספר אסמכתא</t>
  </si>
  <si>
    <t>שם המבוטח</t>
  </si>
  <si>
    <t>תאריך נוכחי</t>
  </si>
  <si>
    <t>שווי נקודת זיכוי</t>
  </si>
  <si>
    <t>שווי שנתי של נקודות הזיכוי</t>
  </si>
  <si>
    <t>גיל פרישה מותנה גבר</t>
  </si>
  <si>
    <t>גיל פרישה מותנה אשה</t>
  </si>
  <si>
    <t>גיל פרישה מוחלט אשה</t>
  </si>
  <si>
    <t>מין המבוטח</t>
  </si>
  <si>
    <t xml:space="preserve">מדד נוכחי </t>
  </si>
  <si>
    <t>קצבה מזכה</t>
  </si>
  <si>
    <t>שווי חודשי של נקודות הזיכוי</t>
  </si>
  <si>
    <t xml:space="preserve">    -</t>
  </si>
  <si>
    <t>-</t>
  </si>
  <si>
    <t xml:space="preserve">  -</t>
  </si>
  <si>
    <t>גיל התחלה בהדסה</t>
  </si>
  <si>
    <t>הכנסה מזכה</t>
  </si>
  <si>
    <t>&lt;01/08/1939</t>
  </si>
  <si>
    <t>65 ו–4 חודשים</t>
  </si>
  <si>
    <t>60 ו–4 חודשים</t>
  </si>
  <si>
    <t>תאירך תחילה בקרן ותיקה</t>
  </si>
  <si>
    <t xml:space="preserve">גיל נוכחי </t>
  </si>
  <si>
    <t>קצבה פטורה</t>
  </si>
  <si>
    <t>65 ו–8 חודשים</t>
  </si>
  <si>
    <t>60 ו–8 חודשים</t>
  </si>
  <si>
    <t xml:space="preserve">גיל נוכחי מעוגל </t>
  </si>
  <si>
    <t>פיצויים פטורים לשנת עבודה</t>
  </si>
  <si>
    <t>תאריך פרישה</t>
  </si>
  <si>
    <t>פרישה לפני ספטמבר רשום 1</t>
  </si>
  <si>
    <t>מקסימום פטור על פיצויים:</t>
  </si>
  <si>
    <t>66 ו–4 חודשים</t>
  </si>
  <si>
    <t>61 ו–4 חודשים</t>
  </si>
  <si>
    <t>שנות ותק בפרישה</t>
  </si>
  <si>
    <t>66 ו–8 חודשים</t>
  </si>
  <si>
    <t>61 ו–8 חודשים</t>
  </si>
  <si>
    <t>חודשי ותק צפויים בפרישה</t>
  </si>
  <si>
    <t>ואילך</t>
  </si>
  <si>
    <t>שנים בחל"ת ושבתונים</t>
  </si>
  <si>
    <t>62 ו–4 חודשים</t>
  </si>
  <si>
    <t>67 ו–4 חודשים</t>
  </si>
  <si>
    <t xml:space="preserve">מקום עבודה </t>
  </si>
  <si>
    <t>62 ו–8 חודשים</t>
  </si>
  <si>
    <t>67 ו–8 חודשים</t>
  </si>
  <si>
    <t xml:space="preserve">תאריך פרישה ע"פ ביטוח לאומי </t>
  </si>
  <si>
    <t>ותק נוכחי בשנים</t>
  </si>
  <si>
    <t>בקרת ותק</t>
  </si>
  <si>
    <t>ולא יותר מ</t>
  </si>
  <si>
    <t>גיל פרישה מותנה של גבר מביטוח לאומי</t>
  </si>
  <si>
    <t>גיל פרישה מותנה של אשה מביטוח לאומי</t>
  </si>
  <si>
    <t>63 ו–4 חודשים</t>
  </si>
  <si>
    <t>68 ו–4 חודשים</t>
  </si>
  <si>
    <t>בקביעת תאריך פרישה</t>
  </si>
  <si>
    <t>סך הכל חודשים במלל עד היום</t>
  </si>
  <si>
    <r>
      <t xml:space="preserve">חודשים צפויים </t>
    </r>
    <r>
      <rPr>
        <sz val="10"/>
        <color indexed="10"/>
        <rFont val="Arial"/>
        <family val="2"/>
        <charset val="177"/>
      </rPr>
      <t>מינימום</t>
    </r>
    <r>
      <rPr>
        <sz val="10"/>
        <rFont val="Arial"/>
        <family val="2"/>
      </rPr>
      <t xml:space="preserve"> במלל</t>
    </r>
  </si>
  <si>
    <t>גיל פרישה מוחלט של גבר מביטוח לאומי</t>
  </si>
  <si>
    <t>גיל פרישה מוחלט של אשה מביטוח לאומי</t>
  </si>
  <si>
    <t>63 ו–8 חודשים</t>
  </si>
  <si>
    <t>68 ו–8 חודשים</t>
  </si>
  <si>
    <t>גיל פרישה בעקבות תאריך</t>
  </si>
  <si>
    <t>חודשים עד לפרישה</t>
  </si>
  <si>
    <t>סך שנים במלל בפרישה</t>
  </si>
  <si>
    <t>שנים עד לפרישה לפי גיל</t>
  </si>
  <si>
    <t>שנים למל"ל</t>
  </si>
  <si>
    <t>69 ו–4 חודשים</t>
  </si>
  <si>
    <t>שנים עד לפרישה לפי תאריכים</t>
  </si>
  <si>
    <t>חודשים נובעים</t>
  </si>
  <si>
    <t>69 ו–8 חודשים</t>
  </si>
  <si>
    <t>שם קרן הפנסיה ותיקה</t>
  </si>
  <si>
    <t>ק.פנסיה וותיקה</t>
  </si>
  <si>
    <t>פנסיה מקיפה</t>
  </si>
  <si>
    <t>נקודות זיכוי</t>
  </si>
  <si>
    <t>שכר לפנסיה ותיקה בהסדר</t>
  </si>
  <si>
    <t>אחוז הפנסיה בפרישה</t>
  </si>
  <si>
    <t>גיל תוחלת חיים</t>
  </si>
  <si>
    <t>ריבית לחישוב ע"נ</t>
  </si>
  <si>
    <t xml:space="preserve">השלמות פיצויים </t>
  </si>
  <si>
    <t>טבלאות מעסיק</t>
  </si>
  <si>
    <t>פידיון ימי מחלה</t>
  </si>
  <si>
    <t>ע"פ הערכה ממוחשבת</t>
  </si>
  <si>
    <t xml:space="preserve">שווי יום </t>
  </si>
  <si>
    <t>פנסיית שארים מקרן ותיקה</t>
  </si>
  <si>
    <t>סכום מוערך לפידיון ימי מחלה</t>
  </si>
  <si>
    <t>הערכת חישוב מניב</t>
  </si>
  <si>
    <t>חודשים בפרישה</t>
  </si>
  <si>
    <t>פנסית נכות וזקנה ברוטו מקרן ותיקה</t>
  </si>
  <si>
    <t>סה"כ פיצויים מחישובי מקורות</t>
  </si>
  <si>
    <t>ימי מחלה התאוריה</t>
  </si>
  <si>
    <t>פנסיה ברוטו מתגמולי קצבה לאחר 2000</t>
  </si>
  <si>
    <t>פיצויים נוספים</t>
  </si>
  <si>
    <t>ימים שנוצלו</t>
  </si>
  <si>
    <t>פנסיה אחרת / קצבה אחרת ממוסה</t>
  </si>
  <si>
    <t>ימים לפדיון</t>
  </si>
  <si>
    <t>פנסיה / קצבה פטורה</t>
  </si>
  <si>
    <t>סכום לפידיון</t>
  </si>
  <si>
    <t xml:space="preserve">כמה </t>
  </si>
  <si>
    <t>הכנסה חודשית מעבודה אחרי פרישה ממקום נוכחי</t>
  </si>
  <si>
    <t>מתוך כמה</t>
  </si>
  <si>
    <t>קצבת זקנה בגיל פרישה אם לא עובד</t>
  </si>
  <si>
    <t>קצבת זקנה אם עובדים עד 70</t>
  </si>
  <si>
    <t>סך הכל פיצויים</t>
  </si>
  <si>
    <t>פיצויים בפוליסות מנהלים הוניות</t>
  </si>
  <si>
    <t>פיצויים בפוליסות מנהלים לקצבה</t>
  </si>
  <si>
    <t>הקצבה הנובעת מפיצויים אילו בפוליסות קצבה</t>
  </si>
  <si>
    <t>כספים ממקורות הפטורים במשיכה ח"פ בפרישה</t>
  </si>
  <si>
    <t>שם בת בן הזוג</t>
  </si>
  <si>
    <t>מין בן בת הזוג</t>
  </si>
  <si>
    <t>שם הילד</t>
  </si>
  <si>
    <t>ת.ל.</t>
  </si>
  <si>
    <t>גיל</t>
  </si>
  <si>
    <t xml:space="preserve">מין </t>
  </si>
  <si>
    <t>זכר</t>
  </si>
  <si>
    <t>תאריך לידה של בן בת הזוג</t>
  </si>
  <si>
    <t>נקבה</t>
  </si>
  <si>
    <t>גיל נוכחי</t>
  </si>
  <si>
    <t>גיל בן הזוג בעת פרישת המבוטח</t>
  </si>
  <si>
    <t>חישוב כנ"ל לפי תאריכים</t>
  </si>
  <si>
    <t>גיל מעוגל לחישובים</t>
  </si>
  <si>
    <t>bjkljk</t>
  </si>
  <si>
    <t>???</t>
  </si>
  <si>
    <t>?</t>
  </si>
  <si>
    <t>אשה</t>
  </si>
  <si>
    <t>לא לגעת</t>
  </si>
  <si>
    <t>גבר</t>
  </si>
  <si>
    <t>ע"פ טבלה מקארו</t>
  </si>
  <si>
    <t>ע"פ הערכה של מיכאל</t>
  </si>
  <si>
    <t>ע"פ הערכה במניב</t>
  </si>
  <si>
    <t>ע"פ הערכה אחרת</t>
  </si>
  <si>
    <t>ע"פ הערכת הלקוח</t>
  </si>
  <si>
    <t>לכבוד</t>
  </si>
  <si>
    <t>טל"ח</t>
  </si>
  <si>
    <t xml:space="preserve">להלן פרוט מצב ביטוחי החיים אשר יש לך באמצעותינו ושלא באמצעותנו, הנתונים נכונים לחודש </t>
  </si>
  <si>
    <t xml:space="preserve"> המדד לחישובים הינו :</t>
  </si>
  <si>
    <t>הסכומים בטבלה הינם הסכומים שחושבו על ידינו, והם לקוחים מהפוליסות ומהמידעים שבידינו, הסכומים הקובעים הם הסכומים ע"פ הפוליסות בלבד.</t>
  </si>
  <si>
    <t xml:space="preserve">מס' </t>
  </si>
  <si>
    <t>מספר התכנית</t>
  </si>
  <si>
    <t>שם התכנית</t>
  </si>
  <si>
    <t>ייעוד התכנית</t>
  </si>
  <si>
    <t xml:space="preserve">תאריך תחילה </t>
  </si>
  <si>
    <t xml:space="preserve">סכום ביטוח </t>
  </si>
  <si>
    <t xml:space="preserve">פיצוי חודשי בא.כ.ע </t>
  </si>
  <si>
    <t xml:space="preserve">חודשי שחרור בא.כ.ע </t>
  </si>
  <si>
    <t>פרמיה חודשית</t>
  </si>
  <si>
    <t>הערות</t>
  </si>
  <si>
    <t>סה"כ פרמיות</t>
  </si>
  <si>
    <t>סה"כ פדיון פיצויים ותגמולים</t>
  </si>
  <si>
    <t>סה"כ פדיון תגמולים</t>
  </si>
  <si>
    <t>יתרות לפני שנת 2000 555</t>
  </si>
  <si>
    <t>יתרות אחרי שנת 2000  6666</t>
  </si>
  <si>
    <t>שכיר</t>
  </si>
  <si>
    <t>עצמאי</t>
  </si>
  <si>
    <t>בעל שליטה</t>
  </si>
  <si>
    <t>ת</t>
  </si>
  <si>
    <t>מ</t>
  </si>
  <si>
    <t>סוג המוצר</t>
  </si>
  <si>
    <t>סוג הפרשה - קיצור</t>
  </si>
  <si>
    <t>טבלת קה"ש</t>
  </si>
  <si>
    <t>מס' הקופה</t>
  </si>
  <si>
    <t>שם החברה המנהלת</t>
  </si>
  <si>
    <t>תאריך וותק</t>
  </si>
  <si>
    <t>תאריך נזילות</t>
  </si>
  <si>
    <t>יתרה</t>
  </si>
  <si>
    <t>הערה</t>
  </si>
  <si>
    <t xml:space="preserve">מספר </t>
  </si>
  <si>
    <t xml:space="preserve">פנסיית נכות </t>
  </si>
  <si>
    <t xml:space="preserve">פנסיית שארים </t>
  </si>
  <si>
    <t>ש</t>
  </si>
  <si>
    <t>משתתפת ברווחים.</t>
  </si>
  <si>
    <t>ב</t>
  </si>
  <si>
    <t>מבטיחה תשואה.</t>
  </si>
  <si>
    <t>נ</t>
  </si>
  <si>
    <t>עם מקדם נייד.</t>
  </si>
  <si>
    <t>תוכנית מנהלים.</t>
  </si>
  <si>
    <t>פ</t>
  </si>
  <si>
    <t>תוכנית פרטית.</t>
  </si>
  <si>
    <t>תוכנית תגמולים לעצמאים.</t>
  </si>
  <si>
    <t>*</t>
  </si>
  <si>
    <t>משולם דרך המשכורת .</t>
  </si>
  <si>
    <t>0   (0)</t>
  </si>
  <si>
    <t>תאריך תם ריסק זמני</t>
  </si>
  <si>
    <r>
      <t xml:space="preserve">To copy the worksheet click right button on it, choose "Move or Copy" option and then choose your simulator and </t>
    </r>
    <r>
      <rPr>
        <b/>
        <u/>
        <sz val="11"/>
        <rFont val="Arial"/>
        <family val="2"/>
      </rPr>
      <t>mark "Create a copy" checkbox</t>
    </r>
    <r>
      <rPr>
        <b/>
        <sz val="11"/>
        <rFont val="Arial"/>
        <family val="2"/>
      </rPr>
      <t>.</t>
    </r>
  </si>
  <si>
    <t>קצבה מצטברת</t>
  </si>
  <si>
    <t>קצבה לשלב</t>
  </si>
  <si>
    <t>שעור המס</t>
  </si>
  <si>
    <t>קצבה רגילה לשלב</t>
  </si>
  <si>
    <t>קצבה הדדית לשלב</t>
  </si>
  <si>
    <t>קצבה מזכה:</t>
  </si>
  <si>
    <t>פנסיה פטורה:</t>
  </si>
  <si>
    <t>נקודות זיכוי:</t>
  </si>
  <si>
    <t>שווי הנקודה:</t>
  </si>
  <si>
    <t>פנסיה רגילה לחישוב:</t>
  </si>
  <si>
    <t>פנסיה הדדית לחישוב:</t>
  </si>
  <si>
    <t>סה"כ מס לתשלום:</t>
  </si>
  <si>
    <t>סף המס להכנסה:</t>
  </si>
  <si>
    <t>פנסיה נטו לאחר קצבה מזכה:</t>
  </si>
  <si>
    <t>סך זיכוי:</t>
  </si>
  <si>
    <t>שנת פרישה:</t>
  </si>
  <si>
    <t>מין:</t>
  </si>
  <si>
    <r>
      <t xml:space="preserve">Please </t>
    </r>
    <r>
      <rPr>
        <b/>
        <u/>
        <sz val="11"/>
        <rFont val="Arial"/>
        <family val="2"/>
      </rPr>
      <t>update</t>
    </r>
    <r>
      <rPr>
        <b/>
        <sz val="11"/>
        <rFont val="Arial"/>
        <family val="2"/>
      </rPr>
      <t xml:space="preserve"> stained cells after attaching this worksheet to an existing simulator!</t>
    </r>
  </si>
  <si>
    <t>פיצויים בפוליסות מנהלים קצבה</t>
  </si>
  <si>
    <t>קצבה נובעת מפיצויים בפוליסות קצבה</t>
  </si>
  <si>
    <t>תגמולי מעביד עד 31/12/1999</t>
  </si>
  <si>
    <t>תגמולי מעביד עד 31/12/1999 בהוני</t>
  </si>
  <si>
    <t>תגמולי מעביד עד 31/12/1999 בקצבה</t>
  </si>
  <si>
    <t>קצבה נובעת מתגמולים עד 31/12/1999</t>
  </si>
  <si>
    <t>תגמולי עובד עד 31/12/1999</t>
  </si>
  <si>
    <t>תגמולי עובד עד 31/12/1999 בהוני</t>
  </si>
  <si>
    <t>תגמולי עובד עד 31/12/1999 בקצבה</t>
  </si>
  <si>
    <t>תגמולי מעביד מ 1/1/2000</t>
  </si>
  <si>
    <t>תגמולי מעביד מ 1/1/2000 בהוני</t>
  </si>
  <si>
    <t>תגמולי מעביד מ 1/1/2000 בקצבה</t>
  </si>
  <si>
    <t>קצבה נובעת מתגמולים עד 1/1/2000</t>
  </si>
  <si>
    <t>תגמולי עובד מ 1/1/2000</t>
  </si>
  <si>
    <t>תגמולי עובד מ 1/1/2000 בהוני</t>
  </si>
  <si>
    <t>תגמולי עובד מ 1/1/2000 בקצבה</t>
  </si>
  <si>
    <t>קצבה נובעת מתגמולים מ 1/1/2000</t>
  </si>
  <si>
    <t>סה"כ פיצויים הוניים</t>
  </si>
  <si>
    <t>פיצויים פטורים</t>
  </si>
  <si>
    <t>פיצויים לחיוב במס</t>
  </si>
  <si>
    <t>מס בפריסה</t>
  </si>
  <si>
    <t>פיצויים חייבים נטו לאחר חיוב במס בפריסה</t>
  </si>
  <si>
    <t>סה"כ פיצויים נטו</t>
  </si>
  <si>
    <t>פנסיה ברוטו מקרן הפנסיה של הדסה</t>
  </si>
  <si>
    <t>פנסיה ברוטו מתגמולי קצבה עד 2000</t>
  </si>
  <si>
    <t>הכנסה חודשית מעבודה אחרי פרישה מהדסה</t>
  </si>
  <si>
    <t>הקצבה הנובעת מפיצויים בפוליסות קצבה</t>
  </si>
  <si>
    <t>סה"כ פנסיה ברוטו</t>
  </si>
  <si>
    <t>פנסיה נטו</t>
  </si>
  <si>
    <t>תג' הוניים נטו</t>
  </si>
  <si>
    <t>כל התגמולים נטו</t>
  </si>
  <si>
    <t>סה"כ סכומים פטורים במשיכה ח"פ</t>
  </si>
  <si>
    <t>מזעור חבויות מס למינימום בכל אופציה ואופציה בנפרד</t>
  </si>
  <si>
    <t>מקסימום פנסיה</t>
  </si>
  <si>
    <t>מקסימום הון</t>
  </si>
  <si>
    <t>פיצויים פטורים והוני</t>
  </si>
  <si>
    <t>פיצויים פטורים וקצבה</t>
  </si>
  <si>
    <t>קצבה פטורה והוני</t>
  </si>
  <si>
    <t>קצבה פטורה וקצבה</t>
  </si>
  <si>
    <t>ריבית לטבלה</t>
  </si>
  <si>
    <t>תוחלת חיים</t>
  </si>
  <si>
    <t>ריביות</t>
  </si>
  <si>
    <t>סוגי הצמדה</t>
  </si>
  <si>
    <t>סוגי פוליסות</t>
  </si>
  <si>
    <t>(פ)</t>
  </si>
  <si>
    <t>כספים פטורים במשיכה ח"פ בפרישה</t>
  </si>
  <si>
    <r>
      <t xml:space="preserve">סה"כ קצבה מתגמולים </t>
    </r>
    <r>
      <rPr>
        <sz val="10"/>
        <color indexed="10"/>
        <rFont val="David"/>
        <family val="2"/>
        <charset val="177"/>
      </rPr>
      <t>אחרי</t>
    </r>
    <r>
      <rPr>
        <sz val="10"/>
        <rFont val="David"/>
        <family val="2"/>
        <charset val="177"/>
      </rPr>
      <t xml:space="preserve"> 2000</t>
    </r>
  </si>
  <si>
    <t>סה"כ תג' הוניים מע+עו</t>
  </si>
  <si>
    <t>שנים לפרישה</t>
  </si>
  <si>
    <t>קצבה</t>
  </si>
  <si>
    <t>(ת)</t>
  </si>
  <si>
    <t>תחזית חסכון לגיל פנסיה</t>
  </si>
  <si>
    <t>קרן פנסיה</t>
  </si>
  <si>
    <t>(מ)</t>
  </si>
  <si>
    <r>
      <t xml:space="preserve">סה"כ קצבה מתגמולים </t>
    </r>
    <r>
      <rPr>
        <sz val="10"/>
        <color indexed="10"/>
        <rFont val="David"/>
        <family val="2"/>
        <charset val="177"/>
      </rPr>
      <t>לפני</t>
    </r>
    <r>
      <rPr>
        <sz val="10"/>
        <rFont val="David"/>
        <family val="2"/>
        <charset val="177"/>
      </rPr>
      <t xml:space="preserve"> 2000</t>
    </r>
  </si>
  <si>
    <t>סה"כ תג' אחרי 2000</t>
  </si>
  <si>
    <t>קופ"ג</t>
  </si>
  <si>
    <t>(מב)</t>
  </si>
  <si>
    <t>עובד + מעביד</t>
  </si>
  <si>
    <t>סיעוד</t>
  </si>
  <si>
    <t>תחזית לפנסיה לגיל</t>
  </si>
  <si>
    <t>חד פעמי</t>
  </si>
  <si>
    <t>או</t>
  </si>
  <si>
    <t xml:space="preserve">פר"ח </t>
  </si>
  <si>
    <t xml:space="preserve">סה"כ עם מקסימום קצבה </t>
  </si>
  <si>
    <t>סה"כ עם מקסימום הון</t>
  </si>
  <si>
    <t>סה"כ קצבה לאחר חישוב מס</t>
  </si>
  <si>
    <t>פיצויים נטו</t>
  </si>
  <si>
    <t>עובד</t>
  </si>
  <si>
    <t>הדסה</t>
  </si>
  <si>
    <t>=</t>
  </si>
  <si>
    <t>שנים</t>
  </si>
  <si>
    <t>חישוב שנתי</t>
  </si>
  <si>
    <t>שכר מצטבר</t>
  </si>
  <si>
    <t>שכר לשלב</t>
  </si>
  <si>
    <t>המס במדרגה</t>
  </si>
  <si>
    <t>מס מצטבר</t>
  </si>
  <si>
    <t>מס לתשלום</t>
  </si>
  <si>
    <t>סך הכל פנסיה</t>
  </si>
  <si>
    <t>פנסיה פטורה</t>
  </si>
  <si>
    <t>פנסיה לחישוב</t>
  </si>
  <si>
    <t>סך הכל פנסיה שנתית</t>
  </si>
  <si>
    <t>פנסיה שנתית פטורה</t>
  </si>
  <si>
    <t>פנסיה שנתית לחישוב</t>
  </si>
  <si>
    <t>תאריך תחילה בהדסה</t>
  </si>
  <si>
    <t>.</t>
  </si>
  <si>
    <t>תאריך פרישה מהדסה</t>
  </si>
  <si>
    <t>בפרישה לפני ספטמבר רשום בעמודה משמאל "1"</t>
  </si>
  <si>
    <t>שנות עבודה אצל בהדסה</t>
  </si>
  <si>
    <t>חודשי כולל הפריסה</t>
  </si>
  <si>
    <t>חישוב שנתי כולל הפריסה</t>
  </si>
  <si>
    <t>סך הכל פנסיה ללא פנסיה מפיצויים</t>
  </si>
  <si>
    <t>הכנסה חודשית נוספת בפריסה</t>
  </si>
  <si>
    <t>הכנסה שנתית נוספת בפריסה</t>
  </si>
  <si>
    <t>פנסיה חודשית  לחישוב כולל פנסיה מפיצויים:</t>
  </si>
  <si>
    <t xml:space="preserve">סך הכל פיצויים: </t>
  </si>
  <si>
    <t>פיצויי בפוליסות קצבה</t>
  </si>
  <si>
    <t>שנות עבודה אצל המעסיק:</t>
  </si>
  <si>
    <t>שנים לפריסה:</t>
  </si>
  <si>
    <t>פיצויים לפריסה</t>
  </si>
  <si>
    <t>ערך נוכחי של הפנסיה</t>
  </si>
  <si>
    <t>שנות פריסה "בפועל"</t>
  </si>
  <si>
    <t>ערך נוכחי של החלק הפטור</t>
  </si>
  <si>
    <t>פטור</t>
  </si>
  <si>
    <t>פיצויים בפליסות קצבה</t>
  </si>
  <si>
    <t>סכום לפריסה</t>
  </si>
  <si>
    <t>מס על הפיצויים הפרוסים</t>
  </si>
  <si>
    <t>חודשי שוטף ללא הפריסה</t>
  </si>
  <si>
    <t>חישוב שנתי רגיל ללא הפריסה</t>
  </si>
  <si>
    <t>ללא תוספת הפריסה</t>
  </si>
  <si>
    <t>פנסיה חודשית נטו</t>
  </si>
  <si>
    <t>פנסיות</t>
  </si>
  <si>
    <t>תג' לאחר 2000</t>
  </si>
  <si>
    <t>קצבה ממוסה</t>
  </si>
  <si>
    <t>הכנסת עבודה</t>
  </si>
  <si>
    <t>פנסיה חודשית  לחישוב:</t>
  </si>
  <si>
    <t>סך הכל פיצויים:</t>
  </si>
  <si>
    <t>סכום חייב לאחר פריסה</t>
  </si>
  <si>
    <t>קצבה אחרת ממוסה</t>
  </si>
  <si>
    <t>פנסיה מתג לאחר 2000</t>
  </si>
  <si>
    <t>פנסיה מהדסה</t>
  </si>
  <si>
    <t>קצבה /פנסיה פטורה</t>
  </si>
  <si>
    <t>הכנסה חודשית לאחר פרישה</t>
  </si>
  <si>
    <t>נטו אחרי פריסה</t>
  </si>
  <si>
    <t>חישוב מס לעניין פנסיה כולל הפנסיה מהפיצויים</t>
  </si>
  <si>
    <t>פריסת מס בפרישה לקיחת פיצויים פטורים והשאר הוני נוסחת פידיון תג' אחרי 2000</t>
  </si>
  <si>
    <t>סך הפיצויים לחישוב</t>
  </si>
  <si>
    <t>תג לאחר 2000</t>
  </si>
  <si>
    <t>אחוז מס</t>
  </si>
  <si>
    <t>תג' לאחר 2000 נטו</t>
  </si>
  <si>
    <t>חישוב תוצאה בפדיון תג' אחרי 2000</t>
  </si>
  <si>
    <t>ח"פ</t>
  </si>
  <si>
    <t>כספים הפטורים בח"פ</t>
  </si>
  <si>
    <t>פדיון תגי לאחר 2000</t>
  </si>
  <si>
    <t>סך הכל ח"פ ביד</t>
  </si>
  <si>
    <t>פריסת מס בפרישה לקיחת קצבה פטורה והשאר הוני</t>
  </si>
  <si>
    <r>
      <t xml:space="preserve">פנסיה חודשית  לחישוב </t>
    </r>
    <r>
      <rPr>
        <sz val="10"/>
        <color indexed="10"/>
        <rFont val="Arial"/>
        <family val="2"/>
        <charset val="177"/>
      </rPr>
      <t>ללא</t>
    </r>
    <r>
      <rPr>
        <sz val="10"/>
        <rFont val="Arial"/>
        <family val="2"/>
      </rPr>
      <t xml:space="preserve"> פנסיה מפיצויים:</t>
    </r>
  </si>
  <si>
    <t>סך הכל פיצויים לחישוב: ללא ניכוי פיצויים מפוליסות הקצבה</t>
  </si>
  <si>
    <t>פנסיה עם קצבה פטורה ללא פיצויים ופריסה</t>
  </si>
  <si>
    <t>חודשי שוטף ללא פיצויים והפריסה</t>
  </si>
  <si>
    <t>חישוב שנתי רגיל ללא הפיצויים וללא הפריסה</t>
  </si>
  <si>
    <t>פנסיה לחישוב פחות מס</t>
  </si>
  <si>
    <t>בתוספת פנסיה פטורה</t>
  </si>
  <si>
    <t>תיתן נטו</t>
  </si>
  <si>
    <t>קצבה מפיצויים בפוליסות קצבה</t>
  </si>
  <si>
    <t>אחרת</t>
  </si>
  <si>
    <t>הקצבה הנובעת מיתרת פיצויים בפוליסות הקצבה</t>
  </si>
  <si>
    <t>מקדם ממוצע</t>
  </si>
  <si>
    <t>יתרת פיצויים בפוליסות קצבה לאחר הפטור</t>
  </si>
  <si>
    <t>פנסיה משארית הפיצויים בקצבה</t>
  </si>
  <si>
    <t>בפרישה לקיחת מקסימום פיצויים פטורים מהפיצויים וקצבה אם נותר</t>
  </si>
  <si>
    <t>סך הכל פיצויים לחישוב: בניכוי פיצויים פטורים</t>
  </si>
  <si>
    <t>פיצויים לא מפוליסות קצבה</t>
  </si>
  <si>
    <t>שווי נקודות זיכוי</t>
  </si>
  <si>
    <t>יתרה בשלב</t>
  </si>
  <si>
    <t>השוואת ערך נוכחי של פנסיות לח"פ</t>
  </si>
  <si>
    <t>מס שולי</t>
  </si>
  <si>
    <t>גיל תוחלת</t>
  </si>
  <si>
    <t>מקורות קצבתיים</t>
  </si>
  <si>
    <t>מס' פוליסה</t>
  </si>
  <si>
    <t>חב' ביטוח</t>
  </si>
  <si>
    <t>מס'</t>
  </si>
  <si>
    <t>מקדם</t>
  </si>
  <si>
    <t>מפיצויים</t>
  </si>
  <si>
    <t>מת' עד 31.12.99</t>
  </si>
  <si>
    <t>מתג' מ 2000</t>
  </si>
  <si>
    <t>עד  31.12.99</t>
  </si>
  <si>
    <t>מ 1.1.2000</t>
  </si>
  <si>
    <t>מעביד</t>
  </si>
  <si>
    <t>קצבאות הנובעות מ</t>
  </si>
  <si>
    <t xml:space="preserve">ערך תגמולים </t>
  </si>
  <si>
    <t>עד 31.12.1999</t>
  </si>
  <si>
    <t>סה"כ תג' מעביד</t>
  </si>
  <si>
    <t>עד 31.12.99</t>
  </si>
  <si>
    <t>סה"כ תג' עובד</t>
  </si>
  <si>
    <t>סה"כ מתג'</t>
  </si>
  <si>
    <t>סה"כ מת'</t>
  </si>
  <si>
    <t>טבלת מקדמים לצורך חישוב פנסיה הדדית לשני בני זוג</t>
  </si>
  <si>
    <t>בת הזוג</t>
  </si>
  <si>
    <t>גילה בעת פרישתו</t>
  </si>
  <si>
    <t>גיל מעוגל</t>
  </si>
  <si>
    <t>מבוטח גבר</t>
  </si>
  <si>
    <t>בת זוג אשה</t>
  </si>
  <si>
    <t>גיל פנסיה מבוטח</t>
  </si>
  <si>
    <t>גיל בת זוג במועד</t>
  </si>
  <si>
    <t>שם הרכיב</t>
  </si>
  <si>
    <t>מס' רכיב</t>
  </si>
  <si>
    <t>לחישוב מחלה</t>
  </si>
  <si>
    <t>לחישוב מחלה בלי תוספת תפקיד</t>
  </si>
  <si>
    <t>שכר משולב</t>
  </si>
  <si>
    <t>תוס' אקדמית</t>
  </si>
  <si>
    <t>ביגוד</t>
  </si>
  <si>
    <t>שחיקה 16.2</t>
  </si>
  <si>
    <t>ותק אקדמי</t>
  </si>
  <si>
    <t>טלפון</t>
  </si>
  <si>
    <t>ניידות</t>
  </si>
  <si>
    <t>תפקיד מניידות</t>
  </si>
  <si>
    <t>תפקיד</t>
  </si>
  <si>
    <t>כוננויות על</t>
  </si>
  <si>
    <t>תפוקות</t>
  </si>
  <si>
    <t>הסכם 7/2000</t>
  </si>
  <si>
    <t>סכום ביניים</t>
  </si>
  <si>
    <t>הבראה  1/12</t>
  </si>
  <si>
    <t>חודשי עבודה</t>
  </si>
  <si>
    <t>יום חישוב</t>
  </si>
  <si>
    <t>בשנים</t>
  </si>
  <si>
    <t>שנות עבודה בימים</t>
  </si>
  <si>
    <t>ימי מחלה לתשלום</t>
  </si>
  <si>
    <t>חופשות ללא תשלום ושבתונים</t>
  </si>
  <si>
    <t>התחלה - חישוב</t>
  </si>
  <si>
    <t>בחודשים</t>
  </si>
  <si>
    <t>ימי עבודה לצרכי פיצויים</t>
  </si>
  <si>
    <t>חל"ת - שבתון</t>
  </si>
  <si>
    <t>שנים לצרכי פיצויים</t>
  </si>
  <si>
    <t>יתרה בחודשים</t>
  </si>
  <si>
    <t>שיעור פיצויים</t>
  </si>
  <si>
    <t>יתרה לתשלום</t>
  </si>
  <si>
    <t>מחלה</t>
  </si>
  <si>
    <t>מחלה בלי תוס' תפקיד</t>
  </si>
  <si>
    <t>סה"כ פיצויי פרישה ומחלה</t>
  </si>
  <si>
    <t>מענק מקופת הפנסיה</t>
  </si>
  <si>
    <t>תחזית לפנסיה הדדית (100% קצבה לבת הזוג) לגיל</t>
  </si>
  <si>
    <t>לנותר</t>
  </si>
  <si>
    <t>ע"פ נתוני יסוד</t>
  </si>
  <si>
    <t>כספים הפטורים במשיכה ח"פ בפרישה</t>
  </si>
  <si>
    <t>סה" ח"פ נטו</t>
  </si>
  <si>
    <t>קצבה נטו</t>
  </si>
  <si>
    <t>ע"נ של הקצבה</t>
  </si>
  <si>
    <t xml:space="preserve">סה"כ ע"נ </t>
  </si>
  <si>
    <t>תוצאה כדאית הינה</t>
  </si>
  <si>
    <t>מקסימום קצבה</t>
  </si>
  <si>
    <t>השוואה בחירתית</t>
  </si>
  <si>
    <t xml:space="preserve"> </t>
  </si>
  <si>
    <t xml:space="preserve">התוצאה הכדאית הינה: </t>
  </si>
  <si>
    <t>השווי הינו:</t>
  </si>
  <si>
    <t>בסיסי</t>
  </si>
  <si>
    <t>סה"כ סכומים ח"פ נטו</t>
  </si>
  <si>
    <t>ע"נ 1.5</t>
  </si>
  <si>
    <t>ע"נ קצבה 2.5</t>
  </si>
  <si>
    <t>ע"נ 3.0</t>
  </si>
  <si>
    <t>ע"נ 3.5</t>
  </si>
  <si>
    <t>ע"נ 4.0</t>
  </si>
  <si>
    <t>ע"נ 4.5</t>
  </si>
  <si>
    <t>ע"נ 5.5</t>
  </si>
  <si>
    <t>ע"נ 6.5</t>
  </si>
  <si>
    <t>מקרא צבעים:</t>
  </si>
  <si>
    <t>גיל תוחלת חיים לטבלה</t>
  </si>
  <si>
    <t>סה"כ ע"נ 1.5</t>
  </si>
  <si>
    <t>סה"כ ע"נ 2.5</t>
  </si>
  <si>
    <t>סה"כ ע"נ 3.0</t>
  </si>
  <si>
    <t>סה"כ ע"נ 4.0</t>
  </si>
  <si>
    <t>סה"כ ע"נ 3.5</t>
  </si>
  <si>
    <t>סה"כ ע"נ 4.5</t>
  </si>
  <si>
    <t>סה"כ ע"נ 5.5</t>
  </si>
  <si>
    <t>סה"כ ע"נ 6.5</t>
  </si>
  <si>
    <t>מקס פטור וקצבה</t>
  </si>
  <si>
    <t>קצבה מוכרת וקצבה</t>
  </si>
  <si>
    <t>שם מבוטח</t>
  </si>
  <si>
    <t>מצב לפני שינויים</t>
  </si>
  <si>
    <t>זקופה</t>
  </si>
  <si>
    <t>לפני שינויים</t>
  </si>
  <si>
    <t>מעסיק</t>
  </si>
  <si>
    <t>סמל</t>
  </si>
  <si>
    <t>שם הנתון</t>
  </si>
  <si>
    <t>הוני / קצבה / קרן פנסיה</t>
  </si>
  <si>
    <t>אחוז מעסיק</t>
  </si>
  <si>
    <t>סכום מעסיק</t>
  </si>
  <si>
    <t>5% מעביד</t>
  </si>
  <si>
    <t>אחוז עובד</t>
  </si>
  <si>
    <t>סכום עובד</t>
  </si>
  <si>
    <t>אחוז פיצויים</t>
  </si>
  <si>
    <t>סכום פיצויים</t>
  </si>
  <si>
    <t>שכר מפיצויים</t>
  </si>
  <si>
    <t>תג' קצבה</t>
  </si>
  <si>
    <t>תג' הון</t>
  </si>
  <si>
    <t>שכר מתג'</t>
  </si>
  <si>
    <t>מס פוליסה</t>
  </si>
  <si>
    <t>גורם</t>
  </si>
  <si>
    <t>תמר 7.5% הרי</t>
  </si>
  <si>
    <t>&amp;</t>
  </si>
  <si>
    <t>תמר מניידות</t>
  </si>
  <si>
    <t>שיאון (עדיף) (ש))</t>
  </si>
  <si>
    <t>מיטב  בי"ח</t>
  </si>
  <si>
    <t>עדיף ע. שחיקה</t>
  </si>
  <si>
    <t>ז</t>
  </si>
  <si>
    <t>עדיף ע. 2.5%</t>
  </si>
  <si>
    <t>עדיף ע. מעוז</t>
  </si>
  <si>
    <t>עדיף ע. חדש</t>
  </si>
  <si>
    <t>גמל רעיוני</t>
  </si>
  <si>
    <t>עצמאי שניה</t>
  </si>
  <si>
    <t>קופת הפנסיה</t>
  </si>
  <si>
    <t>מעוז חדש</t>
  </si>
  <si>
    <t>עדיף משמרת ב'</t>
  </si>
  <si>
    <t>קופת פנסיה הדסה</t>
  </si>
  <si>
    <t>מעוז רעיוני</t>
  </si>
  <si>
    <t>תשורה</t>
  </si>
  <si>
    <t>מעוז</t>
  </si>
  <si>
    <t>מיטב ניידות</t>
  </si>
  <si>
    <t xml:space="preserve">מיטב </t>
  </si>
  <si>
    <t>עדיף</t>
  </si>
  <si>
    <t>עדיף כונ/תור</t>
  </si>
  <si>
    <t>? ז ?</t>
  </si>
  <si>
    <t>תעוז כונ/תור</t>
  </si>
  <si>
    <t>עדיף (ש)</t>
  </si>
  <si>
    <t>עדיף עצמאי</t>
  </si>
  <si>
    <t>ע"פ התקנות</t>
  </si>
  <si>
    <t>ע"פ הדסה</t>
  </si>
  <si>
    <t>הפרשה של</t>
  </si>
  <si>
    <t>שכר ב:</t>
  </si>
  <si>
    <t>תקרת קצבה</t>
  </si>
  <si>
    <t>תקרה לקצבה</t>
  </si>
  <si>
    <t>מופרש</t>
  </si>
  <si>
    <t>הון</t>
  </si>
  <si>
    <t>הפרש</t>
  </si>
  <si>
    <t>לזקיפה</t>
  </si>
  <si>
    <t>זקוף</t>
  </si>
  <si>
    <t>תקרת הון</t>
  </si>
  <si>
    <t>תקרה להון</t>
  </si>
  <si>
    <t>שכר לתנאים סוציאליים</t>
  </si>
  <si>
    <t>תג מעסיק</t>
  </si>
  <si>
    <t>+</t>
  </si>
  <si>
    <t>מה הדסה</t>
  </si>
  <si>
    <t>עושה</t>
  </si>
  <si>
    <t>כמה כבר</t>
  </si>
  <si>
    <t>יש לפני</t>
  </si>
  <si>
    <t>נזקף:</t>
  </si>
  <si>
    <t>הפרשות אחרי</t>
  </si>
  <si>
    <t>יזקף</t>
  </si>
  <si>
    <t>כולל 2.5</t>
  </si>
  <si>
    <t>הפרש ???</t>
  </si>
  <si>
    <t>אחרי שינויים</t>
  </si>
  <si>
    <t>794/1</t>
  </si>
  <si>
    <t>795/1</t>
  </si>
  <si>
    <t>מבנה הפרשות ושכר</t>
  </si>
  <si>
    <t>תוכנית</t>
  </si>
  <si>
    <t>שכר מבוטח</t>
  </si>
  <si>
    <t>% פיצויים</t>
  </si>
  <si>
    <t>תשלום</t>
  </si>
  <si>
    <t>תג' מעביד %</t>
  </si>
  <si>
    <t>תג' עובד %</t>
  </si>
  <si>
    <t>יעוד</t>
  </si>
  <si>
    <t>ללא זקיפה</t>
  </si>
  <si>
    <t>שכר בקצבה</t>
  </si>
  <si>
    <t>שכר בהון</t>
  </si>
  <si>
    <t>מגדל קצבה</t>
  </si>
  <si>
    <t>כלל קצבה</t>
  </si>
  <si>
    <t>מגדל הון</t>
  </si>
  <si>
    <t>כמגדל הון</t>
  </si>
  <si>
    <t>ע"פ הערה</t>
  </si>
  <si>
    <t>תמר</t>
  </si>
  <si>
    <t xml:space="preserve">מגדל שר"פ </t>
  </si>
  <si>
    <t>קופות ופוליסות ע"פ מידע</t>
  </si>
  <si>
    <t>מספר קופה</t>
  </si>
  <si>
    <t>כלל</t>
  </si>
  <si>
    <t>מגדל</t>
  </si>
  <si>
    <t>חישובים פתוחים</t>
  </si>
  <si>
    <t>א'</t>
  </si>
  <si>
    <t>ב'</t>
  </si>
  <si>
    <t>ג'</t>
  </si>
  <si>
    <t>ד'</t>
  </si>
  <si>
    <t>חיבור</t>
  </si>
  <si>
    <t>כפל</t>
  </si>
  <si>
    <t>חילוק</t>
  </si>
  <si>
    <t>חיסור:</t>
  </si>
  <si>
    <t>-----------------</t>
  </si>
  <si>
    <t>מכנה</t>
  </si>
  <si>
    <t>------------------</t>
  </si>
  <si>
    <t>שווה =</t>
  </si>
  <si>
    <t>ערך עתידי</t>
  </si>
  <si>
    <t>שווי נוכחי</t>
  </si>
  <si>
    <t>יתרה לאחר ביצוע התשלומים</t>
  </si>
  <si>
    <t>תשלום חודשי</t>
  </si>
  <si>
    <t>סכום עתידי</t>
  </si>
  <si>
    <t>PV</t>
  </si>
  <si>
    <t>מה הריבית?</t>
  </si>
  <si>
    <t>הלוואה</t>
  </si>
  <si>
    <t>שווי עתידי</t>
  </si>
  <si>
    <t>עתידי</t>
  </si>
  <si>
    <t>החזר חודשי</t>
  </si>
  <si>
    <t>חישובי מיסוי פנסיה פתוחים</t>
  </si>
  <si>
    <t>פנסיה ברוטו מהדסה</t>
  </si>
  <si>
    <t>פנסיה ברוטו מתגמולי מעביד</t>
  </si>
  <si>
    <t>פריסת מס בפרישה לקיחת קצבה מוכרת והשאר קצבה</t>
  </si>
  <si>
    <t>סך הכל פיצויים לחישוב: בניכוי פיצויים מפוליסות הקצבה</t>
  </si>
  <si>
    <t>קצבה מוכרת פטורה ממס</t>
  </si>
  <si>
    <t>עד 2000</t>
  </si>
  <si>
    <t>מ 2000</t>
  </si>
  <si>
    <t>תג' עובד הון</t>
  </si>
  <si>
    <t>תג' מעביד הון</t>
  </si>
  <si>
    <t>פנסיה עם קצבה מוכרת</t>
  </si>
  <si>
    <t>מס</t>
  </si>
  <si>
    <t>נותר</t>
  </si>
  <si>
    <t>נוסיף הפנסיה הפטורה</t>
  </si>
  <si>
    <t>סה"כ תהיה</t>
  </si>
  <si>
    <t>מקסימום פנסיה עם קצבה פטורה</t>
  </si>
  <si>
    <t>סה"כ פנסיה חייבת</t>
  </si>
  <si>
    <t>תגמולים הוניים נטו</t>
  </si>
  <si>
    <t>ביטוחים הוניים נטו</t>
  </si>
  <si>
    <t>סה"כ נטו הוני בפרישה</t>
  </si>
  <si>
    <t xml:space="preserve">סכומים עתידיים </t>
  </si>
  <si>
    <t>פיצויים הוניים</t>
  </si>
  <si>
    <t>סך הכל הכנסה</t>
  </si>
  <si>
    <t>פנסיה / הכנסה נטו</t>
  </si>
  <si>
    <t>סכומים הוניים</t>
  </si>
  <si>
    <t xml:space="preserve">סה"כ תגמולים הוניים </t>
  </si>
  <si>
    <t>סה"כ פיצויים הוניים  לפריסה (הכל)</t>
  </si>
  <si>
    <t>מס על פיצויים בפריסה</t>
  </si>
  <si>
    <t>פיצוים נטו לאחר מס עקב פריסה</t>
  </si>
  <si>
    <t>שנים לפריסה</t>
  </si>
  <si>
    <t>חישוב מס לעניין הפריסה - חישוב מס תיאורטי חודשי</t>
  </si>
  <si>
    <t>חישוב מס לעניין הפריסה - חישוב תיאורטי שנתי</t>
  </si>
  <si>
    <t>פנסיה שנתית לחישוב הפריסה</t>
  </si>
  <si>
    <t>ללא פריסה - מס שנתי</t>
  </si>
  <si>
    <t>עם פריסה מס שנתי</t>
  </si>
  <si>
    <t>הפרש המיסים לשנה</t>
  </si>
  <si>
    <t>מקסימום הון עם פיצויים פטורים</t>
  </si>
  <si>
    <t>סה"כ פנסיה</t>
  </si>
  <si>
    <t>תגמולים מקצבה נטו</t>
  </si>
  <si>
    <t>תוספת פיצויים תאורטית</t>
  </si>
  <si>
    <t>פיצוים פטורים</t>
  </si>
  <si>
    <t>פיצויים חייבים</t>
  </si>
  <si>
    <t>כדאיות פריסה</t>
  </si>
  <si>
    <t>חישוב מס שנתי</t>
  </si>
  <si>
    <t>סה"כ פיצויים  לפריסה (הכל)</t>
  </si>
  <si>
    <t>מיסוי תגמולי קצבה במשיכה ח"פ</t>
  </si>
  <si>
    <t xml:space="preserve">מעביד </t>
  </si>
  <si>
    <t xml:space="preserve">עובד </t>
  </si>
  <si>
    <t xml:space="preserve">מס </t>
  </si>
  <si>
    <t>נטו</t>
  </si>
  <si>
    <t>תגמולי קצבה עד 31/12/1999</t>
  </si>
  <si>
    <t>תגמולי קצבה ברוטו מ 2000</t>
  </si>
  <si>
    <t>סך הכל</t>
  </si>
  <si>
    <t>לידיעה בלבד:</t>
  </si>
  <si>
    <t>סך הפיצויים ההוניים כולל הדסה -</t>
  </si>
  <si>
    <t>פריסת מס בפרישה לקיחת פיצויים פטורים והשאר הוני</t>
  </si>
  <si>
    <t>חודשי כולל פריסה</t>
  </si>
  <si>
    <t>חישוב שנתי כולל פריסה</t>
  </si>
  <si>
    <t>סך הפיצויים למיסוי</t>
  </si>
  <si>
    <t>חודשי ללא הפריסה</t>
  </si>
  <si>
    <t>בקרה: סה"כ פיצויים</t>
  </si>
  <si>
    <t>הקצבה הנובעת מפיצויים בפוליסות הקצבה</t>
  </si>
  <si>
    <t xml:space="preserve">בפרישה לקיחת פיצויים פטורים מהפיצויים ההוניים וקצבה מהפיצויים לקצבה </t>
  </si>
  <si>
    <t>פיצויים בפוליסות הוניות</t>
  </si>
  <si>
    <t>פנימי (סוג קופה)</t>
  </si>
  <si>
    <t>ק.זקנה כולל פרמיות) לפי מקדם בסיס</t>
  </si>
  <si>
    <t>גליון חסר</t>
  </si>
  <si>
    <t>$C$6:$AA$63</t>
  </si>
  <si>
    <t>PerutYitraLeTkufa_groupby</t>
  </si>
  <si>
    <t>perutYitraLeTkufa_groupby</t>
  </si>
  <si>
    <t>ספירה של סכום יתרה</t>
  </si>
  <si>
    <t>CrossTabYitraLeTkufa_till_2000</t>
  </si>
  <si>
    <t>crossTabYitraLeTkufa_till_1999</t>
  </si>
  <si>
    <t>CrossTabYitraLeTkufa_after_2000</t>
  </si>
  <si>
    <t>crossTabYitraLeTkufa_after_1999</t>
  </si>
  <si>
    <t>RicusKrenHishtalmut</t>
  </si>
  <si>
    <t>$C$6:$AI$151</t>
  </si>
  <si>
    <t>סוג המוצר מעובד</t>
  </si>
  <si>
    <t>(אחר)</t>
  </si>
  <si>
    <t>סטטוס</t>
  </si>
  <si>
    <t>KisuiBKerenPensiaDBWithParams</t>
  </si>
  <si>
    <t>ricusKrenHishtalmut</t>
  </si>
  <si>
    <t>סה"כ חיסכון</t>
  </si>
  <si>
    <t>קצבת נכות</t>
  </si>
  <si>
    <t>סכום ביטוח למקרה מוות</t>
  </si>
  <si>
    <t>פרמיה חודשית  מנהלים</t>
  </si>
  <si>
    <t>פרמיה חודשית  פרט</t>
  </si>
  <si>
    <t xml:space="preserve">עלות כיסוי נכות בש"ח </t>
  </si>
  <si>
    <t>עלות כיסוי פנסיית שארים של נכה בש"ח</t>
  </si>
  <si>
    <t>שיעור כיסוי נכות במסלול ביטוח</t>
  </si>
  <si>
    <t>שכר קובע לכיסוי נכות ושאירים</t>
  </si>
  <si>
    <t>תאריך נכונות שכר קובע לכיסוי נכות ושאירים</t>
  </si>
  <si>
    <t>סוג ויתור שארים</t>
  </si>
  <si>
    <t>סך פנסיית נכות בש"ח</t>
  </si>
  <si>
    <t xml:space="preserve">עלות כיסוי שארים בש"ח </t>
  </si>
  <si>
    <t>שיעור כיסוי ביטוחי ליתום של עמית פעיל במסלול ביטוח</t>
  </si>
  <si>
    <t xml:space="preserve">קצבת שארים לאלמן/ת עמית פעיל לפי מסלול ביטוח </t>
  </si>
  <si>
    <t xml:space="preserve"> קצבת שארים ליתום של עמית פעיל לפי מסלול ביטוח</t>
  </si>
  <si>
    <t xml:space="preserve">קצבת שארים להורה נתמך של עמית פעיל לפי מסלול ביטוח </t>
  </si>
  <si>
    <t>תאריך חתימה על ויתור שארים</t>
  </si>
  <si>
    <t>תאריך סיום ויתור שארים</t>
  </si>
  <si>
    <t>שיעור כיסוי ביטוחי לאלמן/ת עמית פעיל במסלול ביטוח</t>
  </si>
  <si>
    <t>שיעור כיסוי ביטוחי להורה נתמך של עמית פעיל</t>
  </si>
  <si>
    <t>גיל פרישה לפנסיית זקנה לפי מסלול ביטוח</t>
  </si>
  <si>
    <t>סך פנסיית אלמנן/ת עמית לא פעיל בש"ח</t>
  </si>
  <si>
    <t>מספר חודשי חברות רצופים בקרן הפנסיה</t>
  </si>
  <si>
    <t>מספר חודשי חברות מצטברבקרן פנסיה ותיקה</t>
  </si>
  <si>
    <t>מנת פנסיה צבורה</t>
  </si>
  <si>
    <t xml:space="preserve">אחוז פנסיה צבורה </t>
  </si>
  <si>
    <t xml:space="preserve">תאריך תחילת חברות </t>
  </si>
  <si>
    <t>תאריך ערך לנתונים</t>
  </si>
  <si>
    <t>האם קיימת הטבה ביטוחית</t>
  </si>
  <si>
    <t>מספר סוג מוצר</t>
  </si>
  <si>
    <t>שם סוג מוצר</t>
  </si>
  <si>
    <t>סו מוצר</t>
  </si>
  <si>
    <t xml:space="preserve">שם התכנית </t>
  </si>
  <si>
    <t>גיל  סיום תוכנית</t>
  </si>
  <si>
    <t>אג"ח מיועד</t>
  </si>
  <si>
    <t>מבטיח תשואה</t>
  </si>
  <si>
    <t>קצבת נכות / א.כ.ע</t>
  </si>
  <si>
    <t>קצבת זקנה כולל פרמיות עתידיות</t>
  </si>
  <si>
    <t>קצבת זקנה לאא פרמיות</t>
  </si>
  <si>
    <t>קצבת שארים בן זוג</t>
  </si>
  <si>
    <t>קצבת שארים ילד</t>
  </si>
  <si>
    <t>שכר קובע לפנסיה נכות ושארים</t>
  </si>
  <si>
    <t>קצבת נכות או אי כושר עבודה</t>
  </si>
  <si>
    <t>קצבת שארים לבן זוג</t>
  </si>
  <si>
    <t>קצבת שארים לילד</t>
  </si>
  <si>
    <t>קצבת זקנה ללא פרמיות</t>
  </si>
  <si>
    <t>קצבת זקנה כולל פרמיות</t>
  </si>
  <si>
    <t>כיסוי למוות מתאונה</t>
  </si>
  <si>
    <t xml:space="preserve">מספר סוג תוכנית </t>
  </si>
  <si>
    <t>מספר סוג הפרשה</t>
  </si>
  <si>
    <t>הבטחת תשואה (מספר)</t>
  </si>
  <si>
    <t>פרמיות מנהלים</t>
  </si>
  <si>
    <t>פרמיות פרט</t>
  </si>
  <si>
    <t>תמהיל</t>
  </si>
  <si>
    <t>סוג הפוליסה</t>
  </si>
  <si>
    <t>ד.ניהול מפרמיה</t>
  </si>
  <si>
    <t>ד.ניהול מצבירה</t>
  </si>
  <si>
    <t>דמי ניהול</t>
  </si>
  <si>
    <t>מפרמיה</t>
  </si>
  <si>
    <t>מצבירה</t>
  </si>
  <si>
    <t>HotzaotBafoalLehodeshDivoach</t>
  </si>
  <si>
    <t>hotzaotBafoalLehodeshDivoach</t>
  </si>
  <si>
    <t>ד.ניהול מהפקדה</t>
  </si>
  <si>
    <t>שיעור ד.ניהול</t>
  </si>
  <si>
    <t>סכום ד.ניהול</t>
  </si>
  <si>
    <t>ד.ניהול אחרים</t>
  </si>
  <si>
    <t>סך סכום ד.ניהול</t>
  </si>
  <si>
    <t>סך סכום ד.ביטוח</t>
  </si>
  <si>
    <t>הוצאות ניהול השקעות</t>
  </si>
  <si>
    <t>דמי העברות מסלול</t>
  </si>
  <si>
    <t>ד.נימול מנהל השקעות</t>
  </si>
  <si>
    <t>אופן גבית ד.ביטוח</t>
  </si>
  <si>
    <t>תז</t>
  </si>
  <si>
    <t>הוצאות דמי ניהול לחודש הדיווח</t>
  </si>
  <si>
    <t>מספר תכנית</t>
  </si>
  <si>
    <t>$C$6:$AG$1202</t>
  </si>
  <si>
    <t>PerutHafkadotMetchilatShanaAvgM</t>
  </si>
  <si>
    <t>perutHafkadotMetchilatShanaAvgM</t>
  </si>
  <si>
    <t>פרמיה שנתית</t>
  </si>
  <si>
    <t>פרמיה ממוצעת</t>
  </si>
  <si>
    <t>פרמיה מרבית</t>
  </si>
  <si>
    <t>פרמיות ממוצעות מנהלים</t>
  </si>
  <si>
    <t>פרמיות ממוצעות פרט</t>
  </si>
  <si>
    <t>פרמיה מירבית</t>
  </si>
  <si>
    <t>רשימת לקוחות</t>
  </si>
  <si>
    <t>יתרות לפי תקופה - אחרי 2000</t>
  </si>
  <si>
    <t>יתרות לפי תקופה - עד 2000</t>
  </si>
  <si>
    <t>הוצאות בפועל חלודש דיווח</t>
  </si>
  <si>
    <t>כיסויים בקרן פנסיה</t>
  </si>
  <si>
    <t>קופות</t>
  </si>
  <si>
    <t>פרוט הפקדות מתחילת שנה - ממוצע ופרמיה מרבית</t>
  </si>
  <si>
    <t>פרוט מסלול העסקה</t>
  </si>
  <si>
    <t>פרוט מבנה דמי ניהול</t>
  </si>
  <si>
    <t>פרוט פרטי הפקדה אחרונה</t>
  </si>
  <si>
    <t>פרוט יתרה לתקופה</t>
  </si>
  <si>
    <t>פרוט יתרה לתקופה - אחרי 2000</t>
  </si>
  <si>
    <t>פרוט יתרה לתקופה- היפוך טבלה</t>
  </si>
  <si>
    <t>פרוט יתרה לתקופה - קיבוץ לפי תקופה</t>
  </si>
  <si>
    <t>פרוט יתרה לתקופה - עד 2000</t>
  </si>
  <si>
    <t>פרטי השקעה</t>
  </si>
  <si>
    <t>פרטי כיסוי במוצר - פרוצדורה</t>
  </si>
  <si>
    <t>פרטי כיסוי במוצר - פרמיות</t>
  </si>
  <si>
    <t>ריכוז קרנות השתלמות</t>
  </si>
  <si>
    <t>סכום ביטוח יסודי</t>
  </si>
  <si>
    <t>סוג המוצר קצבה - 1 הון 2</t>
  </si>
  <si>
    <t>קצבה משלמת</t>
  </si>
  <si>
    <t>קצבה לא משלמת</t>
  </si>
  <si>
    <t>ד.נ מפרמיה</t>
  </si>
  <si>
    <t>ד.נ מצבירה</t>
  </si>
  <si>
    <t>מקדם קצבה</t>
  </si>
  <si>
    <t>ערך מקדם קצבה</t>
  </si>
  <si>
    <t>האם יש מקדם מובטח</t>
  </si>
  <si>
    <t>האם המקדם תלוי מסלול</t>
  </si>
  <si>
    <t>האם המקדם יש הבטחת תשואה</t>
  </si>
  <si>
    <t>האם המקדם מוגבל בתקופה</t>
  </si>
  <si>
    <t>תקופת ההגבלה</t>
  </si>
  <si>
    <t xml:space="preserve">האם שינוי בתוחלת חיים משפיע על המקדם </t>
  </si>
  <si>
    <t>שיעור קצבת הזקנה (הפנסיה ותיקה)</t>
  </si>
  <si>
    <t xml:space="preserve">האם שינוי בתשואה משפיע על המקדם </t>
  </si>
  <si>
    <t>שם לקוח</t>
  </si>
  <si>
    <t>פרוט פרמיות</t>
  </si>
  <si>
    <t>סה"כ לביטוח</t>
  </si>
  <si>
    <t>פרוט הפרשות לפוליסה</t>
  </si>
  <si>
    <t>מקדם הדדי</t>
  </si>
  <si>
    <t>פרמיה חיסכון</t>
  </si>
  <si>
    <t>פרמיה לביטוח</t>
  </si>
  <si>
    <t>שנות עבודה עד פרישה</t>
  </si>
  <si>
    <t>פרמיה לחיסכון</t>
  </si>
  <si>
    <t>קצבאות</t>
  </si>
  <si>
    <t>יתרות  עתדיות לפי דיווח מסלקה</t>
  </si>
  <si>
    <t>תאריך הדוח</t>
  </si>
  <si>
    <t>PerutYitrot_group_by</t>
  </si>
  <si>
    <t>מעמד הלקוח</t>
  </si>
  <si>
    <t>תאריך הפקדה אחרונה</t>
  </si>
  <si>
    <t>סכום הפקדה אחרונה</t>
  </si>
  <si>
    <t xml:space="preserve">פרמיה אחרונה </t>
  </si>
  <si>
    <t>פרמיה לפי קובץ מסלקה</t>
  </si>
  <si>
    <t>פרמיה</t>
  </si>
  <si>
    <t>קצבה צפויה</t>
  </si>
  <si>
    <t>כולל פרמיות</t>
  </si>
  <si>
    <t>ללא פרמיות</t>
  </si>
  <si>
    <t>צבירה מחושבת להון</t>
  </si>
  <si>
    <t xml:space="preserve">ח"פ צפוי לקצבה </t>
  </si>
  <si>
    <t>מספר זהות</t>
  </si>
  <si>
    <t>אחרי 2000</t>
  </si>
  <si>
    <t xml:space="preserve"> מ-01.01.2005 עד 31.12.2007 </t>
  </si>
  <si>
    <t xml:space="preserve">מ - 01.01.2008 </t>
  </si>
  <si>
    <t>קהש עובד</t>
  </si>
  <si>
    <t>קהש מעביד</t>
  </si>
  <si>
    <t>CrosstabPerutYitrotDB</t>
  </si>
  <si>
    <t>key22</t>
  </si>
  <si>
    <t>570201002663</t>
  </si>
  <si>
    <t>יהב רופאים - חברה לניהול קופות גמל בע"מ</t>
  </si>
  <si>
    <t>31/10/2016</t>
  </si>
  <si>
    <t>30/11/2004</t>
  </si>
  <si>
    <t>מוקפא</t>
  </si>
  <si>
    <t>31/01/2015</t>
  </si>
  <si>
    <t>21/01/2016</t>
  </si>
  <si>
    <t>רופאים קרן השתלמות</t>
  </si>
  <si>
    <t>510930654000000000004190000000</t>
  </si>
  <si>
    <t>23/12/2004</t>
  </si>
  <si>
    <t>000000001</t>
  </si>
  <si>
    <t>510930654</t>
  </si>
  <si>
    <t>קרן השתלמות</t>
  </si>
  <si>
    <t>570475010221</t>
  </si>
  <si>
    <t>31/01/2016</t>
  </si>
  <si>
    <t>פעיל</t>
  </si>
  <si>
    <t>10/2016</t>
  </si>
  <si>
    <t>6165029</t>
  </si>
  <si>
    <t>מגדל מקפת פנסיה וגמל</t>
  </si>
  <si>
    <t>30/12/2014</t>
  </si>
  <si>
    <t>48019667</t>
  </si>
  <si>
    <t>01/01/2014</t>
  </si>
  <si>
    <t>20/06/2016</t>
  </si>
  <si>
    <t>מגדל קה"ל השתלמות</t>
  </si>
  <si>
    <t>512237744000000000005790579000</t>
  </si>
  <si>
    <t>512237744</t>
  </si>
  <si>
    <t>6083738</t>
  </si>
  <si>
    <t>הראל ניהול קרנות פנסיה בע"מ</t>
  </si>
  <si>
    <t>04/01/2015</t>
  </si>
  <si>
    <t>70748</t>
  </si>
  <si>
    <t xml:space="preserve">הראל קרן השתלמות              </t>
  </si>
  <si>
    <t>512205204000000000001540154000</t>
  </si>
  <si>
    <t>154006083738</t>
  </si>
  <si>
    <t>512267592</t>
  </si>
  <si>
    <t>1595222</t>
  </si>
  <si>
    <t>20140831</t>
  </si>
  <si>
    <t>19911101</t>
  </si>
  <si>
    <t>75274</t>
  </si>
  <si>
    <t/>
  </si>
  <si>
    <t>19940801</t>
  </si>
  <si>
    <t>5</t>
  </si>
  <si>
    <t>520024647</t>
  </si>
  <si>
    <t>משלמת</t>
  </si>
  <si>
    <t>1394362</t>
  </si>
  <si>
    <t>ארם גמולים - חברה לניהול קופות גמל בע"מ</t>
  </si>
  <si>
    <t>01/01/2005</t>
  </si>
  <si>
    <t>0</t>
  </si>
  <si>
    <t>01/01/1900</t>
  </si>
  <si>
    <t>ארם-קופת גמל לתגמולים של ארגון הרופאים עובדי מדינה</t>
  </si>
  <si>
    <t>510773922000000000002970000000</t>
  </si>
  <si>
    <t>510000139436220161123102822</t>
  </si>
  <si>
    <t>510773922</t>
  </si>
  <si>
    <t>לא משלמת</t>
  </si>
  <si>
    <t>קופת גמל</t>
  </si>
  <si>
    <t>1394370</t>
  </si>
  <si>
    <t>510000139437020161123102822</t>
  </si>
  <si>
    <t>630251455</t>
  </si>
  <si>
    <t>01/11/2011</t>
  </si>
  <si>
    <t>חדשה</t>
  </si>
  <si>
    <t>מקיפה</t>
  </si>
  <si>
    <t>99999999</t>
  </si>
  <si>
    <t>25/12/2015</t>
  </si>
  <si>
    <t>מקפת אישית</t>
  </si>
  <si>
    <t>512237744000000000001620000101</t>
  </si>
  <si>
    <t>000000000000000000000000000001</t>
  </si>
  <si>
    <t>09/2016</t>
  </si>
  <si>
    <t>20047373</t>
  </si>
  <si>
    <t>מנורה מבטחים פנסיה וגמל בעמ</t>
  </si>
  <si>
    <t>31/10/2007</t>
  </si>
  <si>
    <t>5617</t>
  </si>
  <si>
    <t>02/03/2008</t>
  </si>
  <si>
    <t>19/05/2011</t>
  </si>
  <si>
    <t>מנורה מבטחים אמיר כללי</t>
  </si>
  <si>
    <t>512245812000000000002600000000</t>
  </si>
  <si>
    <t>723</t>
  </si>
  <si>
    <t>512245812</t>
  </si>
  <si>
    <t>2296587</t>
  </si>
  <si>
    <t>01/03/2009</t>
  </si>
  <si>
    <t>260303</t>
  </si>
  <si>
    <t>31/03/2013</t>
  </si>
  <si>
    <t>מנורה מבטחים תגמולים</t>
  </si>
  <si>
    <t>512245812000000000008260000000</t>
  </si>
  <si>
    <t>474</t>
  </si>
  <si>
    <t>56078603</t>
  </si>
  <si>
    <t>01/02/2005</t>
  </si>
  <si>
    <t>כללית</t>
  </si>
  <si>
    <t>01/06/2006</t>
  </si>
  <si>
    <t>מבטחים החדשה פלוס</t>
  </si>
  <si>
    <t>512245812000000000006650000000</t>
  </si>
  <si>
    <t>212</t>
  </si>
  <si>
    <t>4355788</t>
  </si>
  <si>
    <t xml:space="preserve">אלטשולר שחם  גמל ופנסיה </t>
  </si>
  <si>
    <t>30/06/2008</t>
  </si>
  <si>
    <t>5290</t>
  </si>
  <si>
    <t>02/01/2005</t>
  </si>
  <si>
    <t>17/12/2015</t>
  </si>
  <si>
    <t>אלטשולר שחם גמל</t>
  </si>
  <si>
    <t>513173393000000000010929951000</t>
  </si>
  <si>
    <t>30/03/2008</t>
  </si>
  <si>
    <t>513173393</t>
  </si>
  <si>
    <t>69002</t>
  </si>
  <si>
    <t>פסגות קופות גמל ופנסיה בע"מ</t>
  </si>
  <si>
    <t>16/08/1994</t>
  </si>
  <si>
    <t>ותיקה</t>
  </si>
  <si>
    <t>100</t>
  </si>
  <si>
    <t>25/05/2000</t>
  </si>
  <si>
    <t>תשורה מקיפה</t>
  </si>
  <si>
    <t>513765347000000000002830000000</t>
  </si>
  <si>
    <t>513765347</t>
  </si>
  <si>
    <t>911245475</t>
  </si>
  <si>
    <t>הראל חברה לביטוח בע"מ</t>
  </si>
  <si>
    <t>01/01/2007</t>
  </si>
  <si>
    <t>פוליסות משנת  2004 ואילך</t>
  </si>
  <si>
    <t>38629</t>
  </si>
  <si>
    <t xml:space="preserve">הראל מגוון עסקי למנהלים                           </t>
  </si>
  <si>
    <t>520004078000000311002000088001</t>
  </si>
  <si>
    <t>520004078</t>
  </si>
  <si>
    <t>פוליסת ביטוח חיים משולב חיסכון</t>
  </si>
  <si>
    <t>922972106</t>
  </si>
  <si>
    <t>01/02/2015</t>
  </si>
  <si>
    <t xml:space="preserve">מגוון לשכירים קצבה לא משלמת                       </t>
  </si>
  <si>
    <t>520004078000000211330000088005</t>
  </si>
  <si>
    <t>411113798</t>
  </si>
  <si>
    <t>01/02/1999</t>
  </si>
  <si>
    <t>2033343</t>
  </si>
  <si>
    <t>17/10/2007</t>
  </si>
  <si>
    <t>יותר</t>
  </si>
  <si>
    <t>520004896443030821300000000000</t>
  </si>
  <si>
    <t>01/02/2000</t>
  </si>
  <si>
    <t>000000000000000000000000000004</t>
  </si>
  <si>
    <t>520004896</t>
  </si>
  <si>
    <t>08/2016</t>
  </si>
  <si>
    <t>411138484</t>
  </si>
  <si>
    <t>26/01/2015</t>
  </si>
  <si>
    <t>יותר הון</t>
  </si>
  <si>
    <t>520004896000000000000000000000</t>
  </si>
  <si>
    <t>23/04/2000</t>
  </si>
  <si>
    <t>000000000000000000000000000005</t>
  </si>
  <si>
    <t>323406232</t>
  </si>
  <si>
    <t>01/01/1999</t>
  </si>
  <si>
    <t>01/04/2009</t>
  </si>
  <si>
    <t>520004896330000305714000000000</t>
  </si>
  <si>
    <t>01/01/2000</t>
  </si>
  <si>
    <t>000000000000000000000000000003</t>
  </si>
  <si>
    <t>730141236</t>
  </si>
  <si>
    <t>01/07/1988</t>
  </si>
  <si>
    <t>01/11/2007</t>
  </si>
  <si>
    <t>520004896330000305601000000000</t>
  </si>
  <si>
    <t>08/08/1988</t>
  </si>
  <si>
    <t>000000000000000000000000000006</t>
  </si>
  <si>
    <t>323158955</t>
  </si>
  <si>
    <t>01/07/1994</t>
  </si>
  <si>
    <t>01/12/2009</t>
  </si>
  <si>
    <t>520004896330000305651000000000</t>
  </si>
  <si>
    <t>323405593</t>
  </si>
  <si>
    <t>01/12/1998</t>
  </si>
  <si>
    <t>02/04/2006</t>
  </si>
  <si>
    <t>18/01/1999</t>
  </si>
  <si>
    <t>000000000000000000000000000002</t>
  </si>
  <si>
    <t>056078603</t>
  </si>
  <si>
    <t>מבטחים מוסד לביטוח סוציאלי של העובדים</t>
  </si>
  <si>
    <t>21/11/2016</t>
  </si>
  <si>
    <t>01/12/2005</t>
  </si>
  <si>
    <t>לא קיים</t>
  </si>
  <si>
    <t>01/03/1984</t>
  </si>
  <si>
    <t>01/10/2016</t>
  </si>
  <si>
    <t>520019688000000000003160000000</t>
  </si>
  <si>
    <t>1</t>
  </si>
  <si>
    <t>520019688</t>
  </si>
  <si>
    <t>ארם 50 עד 60</t>
  </si>
  <si>
    <t>קרן ט</t>
  </si>
  <si>
    <t>מנורה מבטחים תגמולים ופיצויים שקלי טווח קצר</t>
  </si>
  <si>
    <t>קרן ו'</t>
  </si>
  <si>
    <t>קרן י'</t>
  </si>
  <si>
    <t>בני 50 עד 60</t>
  </si>
  <si>
    <t>פנסיה משלימה</t>
  </si>
  <si>
    <t xml:space="preserve">                          השתלמות רופאים כללי               </t>
  </si>
  <si>
    <t>הראל השתלמות מסלול כללי</t>
  </si>
  <si>
    <t>מגדל -  קרן השתלמות</t>
  </si>
  <si>
    <t>כללי</t>
  </si>
  <si>
    <t>7678444</t>
  </si>
  <si>
    <t>קרן י</t>
  </si>
  <si>
    <t>מסלול כללי</t>
  </si>
  <si>
    <t>520024647200000000002520000000</t>
  </si>
  <si>
    <t>סכום ח"פ</t>
  </si>
  <si>
    <t>מתוך ההפרשות</t>
  </si>
  <si>
    <t>כן</t>
  </si>
  <si>
    <t>לא ידוע</t>
  </si>
  <si>
    <t>לא משויר</t>
  </si>
  <si>
    <t>20000401</t>
  </si>
  <si>
    <t>20550401</t>
  </si>
  <si>
    <t>520024647210000000000390000000</t>
  </si>
  <si>
    <t>20140401</t>
  </si>
  <si>
    <t>20300401</t>
  </si>
  <si>
    <t>20150401</t>
  </si>
  <si>
    <t>520024647210000000000490000000</t>
  </si>
  <si>
    <t>20131101</t>
  </si>
  <si>
    <t>20291101</t>
  </si>
  <si>
    <t>20181101</t>
  </si>
  <si>
    <t>520024647200000000002490000000</t>
  </si>
  <si>
    <t>20241101</t>
  </si>
  <si>
    <t>510773922000000000002970297000</t>
  </si>
  <si>
    <t>ראשי</t>
  </si>
  <si>
    <t>מוות</t>
  </si>
  <si>
    <t>לא</t>
  </si>
  <si>
    <t>05/01/2027</t>
  </si>
  <si>
    <t>מסלול בסיס</t>
  </si>
  <si>
    <t>512267592000000000001540000000</t>
  </si>
  <si>
    <t>520004078000000311002000000000</t>
  </si>
  <si>
    <t>01/01/2030</t>
  </si>
  <si>
    <t>05/08/2015</t>
  </si>
  <si>
    <t>1002</t>
  </si>
  <si>
    <t>520004078000000211330000000000</t>
  </si>
  <si>
    <t>01/02/2050</t>
  </si>
  <si>
    <t>1330</t>
  </si>
  <si>
    <t>917248641</t>
  </si>
  <si>
    <t>520004078000000000000000000000</t>
  </si>
  <si>
    <t>תשלומים תקופתיים</t>
  </si>
  <si>
    <t>01/02/2011</t>
  </si>
  <si>
    <t>01/02/2030</t>
  </si>
  <si>
    <t xml:space="preserve">הראל לעתיד בטוח                         </t>
  </si>
  <si>
    <t>923832067</t>
  </si>
  <si>
    <t>01/08/2015</t>
  </si>
  <si>
    <t>01/08/2026</t>
  </si>
  <si>
    <t>01/02/2025</t>
  </si>
  <si>
    <t>01/02/2017</t>
  </si>
  <si>
    <t>74</t>
  </si>
  <si>
    <t>יותר - חסכון א'</t>
  </si>
  <si>
    <t>520004896443016400600000000000</t>
  </si>
  <si>
    <t>164</t>
  </si>
  <si>
    <t>עיסוק סביר אחר</t>
  </si>
  <si>
    <t>01/02/2055</t>
  </si>
  <si>
    <t>974</t>
  </si>
  <si>
    <t>01/01/2055</t>
  </si>
  <si>
    <t>01/01/2017</t>
  </si>
  <si>
    <t>174</t>
  </si>
  <si>
    <t>יותר-רווח</t>
  </si>
  <si>
    <t>01/07/2055</t>
  </si>
  <si>
    <t>01/07/2017</t>
  </si>
  <si>
    <t>01/12/2054</t>
  </si>
  <si>
    <t>01/12/2016</t>
  </si>
  <si>
    <t>מות + א.כ.ע</t>
  </si>
  <si>
    <t>תגמולים עובד</t>
  </si>
  <si>
    <t>תגמולים מעביד</t>
  </si>
  <si>
    <t>תגמולים 47</t>
  </si>
  <si>
    <t>קה"ש עובד</t>
  </si>
  <si>
    <t>קה"ש מעביד</t>
  </si>
  <si>
    <t>תגמולים פרט</t>
  </si>
  <si>
    <t>01/11/2016</t>
  </si>
  <si>
    <t>עד חוק ההסדרים ( 1997 2000</t>
  </si>
  <si>
    <t>נתון לבחירת לקוח</t>
  </si>
  <si>
    <t>לאחר חוק ההסדרים ( 1997 2000</t>
  </si>
  <si>
    <t xml:space="preserve">עד 31.12.2005
</t>
  </si>
  <si>
    <t>898199068</t>
  </si>
  <si>
    <t>15/12/2015</t>
  </si>
  <si>
    <t>מעסיק נוכחי</t>
  </si>
  <si>
    <t>10/2015</t>
  </si>
  <si>
    <t>12/2015</t>
  </si>
  <si>
    <t>15/11/2015</t>
  </si>
  <si>
    <t>11/2015</t>
  </si>
  <si>
    <t>15/01/2016</t>
  </si>
  <si>
    <t>01/2016</t>
  </si>
  <si>
    <t>15/02/2016</t>
  </si>
  <si>
    <t>02/2016</t>
  </si>
  <si>
    <t>15/03/2016</t>
  </si>
  <si>
    <t>03/2016</t>
  </si>
  <si>
    <t>15/04/2016</t>
  </si>
  <si>
    <t>04/2016</t>
  </si>
  <si>
    <t>15/05/2016</t>
  </si>
  <si>
    <t>05/2016</t>
  </si>
  <si>
    <t>15/06/2016</t>
  </si>
  <si>
    <t>06/2016</t>
  </si>
  <si>
    <t>15/07/2016</t>
  </si>
  <si>
    <t>07/2016</t>
  </si>
  <si>
    <t>15/08/2016</t>
  </si>
  <si>
    <t>15/09/2016</t>
  </si>
  <si>
    <t>16/10/2016</t>
  </si>
  <si>
    <t>15/11/2016</t>
  </si>
  <si>
    <t>11/2016</t>
  </si>
  <si>
    <t>05/09/2016</t>
  </si>
  <si>
    <t>05/04/2016</t>
  </si>
  <si>
    <t>07/03/2016</t>
  </si>
  <si>
    <t>01/01/2016</t>
  </si>
  <si>
    <t>03/02/2016</t>
  </si>
  <si>
    <t>06/06/2016</t>
  </si>
  <si>
    <t>06/10/2016</t>
  </si>
  <si>
    <t>02/05/2016</t>
  </si>
  <si>
    <t>מעסיק קודם</t>
  </si>
  <si>
    <t>03/08/2016</t>
  </si>
  <si>
    <t>06/07/2016</t>
  </si>
  <si>
    <t>10/07/2016</t>
  </si>
  <si>
    <t>תגמולי 47</t>
  </si>
  <si>
    <t>10/05/2016</t>
  </si>
  <si>
    <t>10/04/2016</t>
  </si>
  <si>
    <t>10/10/2016</t>
  </si>
  <si>
    <t>10/08/2016</t>
  </si>
  <si>
    <t>10/06/2016</t>
  </si>
  <si>
    <t>10/09/2016</t>
  </si>
  <si>
    <t>10/01/2016</t>
  </si>
  <si>
    <t>10/02/2016</t>
  </si>
  <si>
    <t>10/03/2016</t>
  </si>
  <si>
    <t>25/06/2016</t>
  </si>
  <si>
    <t>25/03/2016</t>
  </si>
  <si>
    <t>25/04/2016</t>
  </si>
  <si>
    <t>25/02/2016</t>
  </si>
  <si>
    <t>25/08/2016</t>
  </si>
  <si>
    <t>25/07/2016</t>
  </si>
  <si>
    <t>25/01/2016</t>
  </si>
  <si>
    <t>25/09/2016</t>
  </si>
  <si>
    <t>25/10/2016</t>
  </si>
  <si>
    <t>25/05/2016</t>
  </si>
  <si>
    <t>31/12/2014</t>
  </si>
  <si>
    <t>12/2014</t>
  </si>
  <si>
    <t>01/2020</t>
  </si>
  <si>
    <t>05/01/2016</t>
  </si>
  <si>
    <t>09/02/2016</t>
  </si>
  <si>
    <t>09/03/2016</t>
  </si>
  <si>
    <t>09/05/2016</t>
  </si>
  <si>
    <t>09/06/2016</t>
  </si>
  <si>
    <t>08/07/2016</t>
  </si>
  <si>
    <t>09/08/2016</t>
  </si>
  <si>
    <t>09/09/2016</t>
  </si>
  <si>
    <t>13/10/2016</t>
  </si>
  <si>
    <t>20140119</t>
  </si>
  <si>
    <t>201312</t>
  </si>
  <si>
    <t>201401</t>
  </si>
  <si>
    <t>20140214</t>
  </si>
  <si>
    <t>201402</t>
  </si>
  <si>
    <t>20140314</t>
  </si>
  <si>
    <t>201403</t>
  </si>
  <si>
    <t>20140414</t>
  </si>
  <si>
    <t>201404</t>
  </si>
  <si>
    <t>20140514</t>
  </si>
  <si>
    <t>201405</t>
  </si>
  <si>
    <t>20140613</t>
  </si>
  <si>
    <t>201406</t>
  </si>
  <si>
    <t>20140714</t>
  </si>
  <si>
    <t>201407</t>
  </si>
  <si>
    <t>דמי ניהול מצבירה</t>
  </si>
  <si>
    <t>510773922000000000002979920000</t>
  </si>
  <si>
    <t>520024647000000000000000000001</t>
  </si>
  <si>
    <t>שיעור קבוע</t>
  </si>
  <si>
    <t>צבירה: משתנים לפוליסות משתתפות עד 2004</t>
  </si>
  <si>
    <t>000000000000000000000000000000</t>
  </si>
  <si>
    <t>520004896000000000000000000100</t>
  </si>
  <si>
    <t>520004896000000000000000010000</t>
  </si>
  <si>
    <t>דמי ניהול מהפקדה</t>
  </si>
  <si>
    <t>512267592000000000000000154000</t>
  </si>
  <si>
    <t>512237744000000000000000036000</t>
  </si>
  <si>
    <t>520004078000000000000000000001</t>
  </si>
  <si>
    <t>520004078000000000000000088000</t>
  </si>
  <si>
    <t>520004078000000000000000000005</t>
  </si>
  <si>
    <t>917</t>
  </si>
  <si>
    <t>759</t>
  </si>
  <si>
    <t>318</t>
  </si>
  <si>
    <t>שוטפת</t>
  </si>
  <si>
    <t>285</t>
  </si>
  <si>
    <t>01/1900</t>
  </si>
  <si>
    <t>חד פעמית</t>
  </si>
  <si>
    <t>795</t>
  </si>
  <si>
    <t>265</t>
  </si>
  <si>
    <t>773</t>
  </si>
  <si>
    <t>210</t>
  </si>
  <si>
    <t>665</t>
  </si>
  <si>
    <t>374</t>
  </si>
  <si>
    <t>328</t>
  </si>
  <si>
    <t>362</t>
  </si>
  <si>
    <t>249</t>
  </si>
  <si>
    <t>1.94</t>
  </si>
  <si>
    <t>138</t>
  </si>
  <si>
    <t>652</t>
  </si>
  <si>
    <t>69</t>
  </si>
  <si>
    <t>857</t>
  </si>
  <si>
    <t>591</t>
  </si>
  <si>
    <t>572</t>
  </si>
  <si>
    <t>560</t>
  </si>
  <si>
    <t>201609</t>
  </si>
  <si>
    <t>190001</t>
  </si>
  <si>
    <t>201608</t>
  </si>
  <si>
    <t>100060720</t>
  </si>
  <si>
    <t>100805</t>
  </si>
  <si>
    <t>42-224818</t>
  </si>
  <si>
    <t>42-204907</t>
  </si>
  <si>
    <t>233353</t>
  </si>
  <si>
    <t>ח.צ</t>
  </si>
  <si>
    <t>500104807</t>
  </si>
  <si>
    <t>מרכז רפואי ברזילי אש</t>
  </si>
  <si>
    <t>69714</t>
  </si>
  <si>
    <t>ת.ז</t>
  </si>
  <si>
    <t>אייל ענתבי</t>
  </si>
  <si>
    <t>1000000000000000</t>
  </si>
  <si>
    <t>6072</t>
  </si>
  <si>
    <t>0000057020199999</t>
  </si>
  <si>
    <t>0000057047530478</t>
  </si>
  <si>
    <t>86217</t>
  </si>
  <si>
    <t>74001391</t>
  </si>
  <si>
    <t>429</t>
  </si>
  <si>
    <t>3930900020</t>
  </si>
  <si>
    <t>עוסק מורשה</t>
  </si>
  <si>
    <t>תאגיד הבריאות - רמב"</t>
  </si>
  <si>
    <t>179202</t>
  </si>
  <si>
    <t>ענתבי</t>
  </si>
  <si>
    <t>איל</t>
  </si>
  <si>
    <t>הדב 6</t>
  </si>
  <si>
    <t>ירושלים</t>
  </si>
  <si>
    <t>מיטב מנהלים (92)</t>
  </si>
  <si>
    <t>מיטב מנהלים (91)</t>
  </si>
  <si>
    <t>לא צמוד</t>
  </si>
  <si>
    <t>כפולות שכר</t>
  </si>
  <si>
    <t>יסודי</t>
  </si>
  <si>
    <t>קה"ש</t>
  </si>
  <si>
    <t>01/09/2016</t>
  </si>
  <si>
    <t>אין הצמדה</t>
  </si>
  <si>
    <t>מרכיב התגמולים עובד + מעביד</t>
  </si>
  <si>
    <t>06/02/2005</t>
  </si>
  <si>
    <t>31/12/2010</t>
  </si>
  <si>
    <t>מרכיב התגמולים ומרכיב הפיצויים</t>
  </si>
  <si>
    <t>צמוד למדד המחרים לצרכן</t>
  </si>
  <si>
    <t>30/09/2016</t>
  </si>
  <si>
    <t>הפקדה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</si>
</sst>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164" formatCode="&quot;₪&quot;\ #,##0.00;[Red]&quot;₪&quot;\ \-#,##0.00"/>
    <numFmt numFmtId="165" formatCode="_ &quot;₪&quot;\ * #,##0_ ;_ &quot;₪&quot;\ * \-#,##0_ ;_ &quot;₪&quot;\ * &quot;-&quot;_ ;_ @_ "/>
    <numFmt numFmtId="166" formatCode="_ &quot;₪&quot;\ * #,##0.00_ ;_ &quot;₪&quot;\ * \-#,##0.00_ ;_ &quot;₪&quot;\ * &quot;-&quot;??_ ;_ @_ "/>
    <numFmt numFmtId="167" formatCode="_ * #,##0.00_ ;_ * \-#,##0.00_ ;_ * &quot;-&quot;??_ ;_ @_ "/>
    <numFmt numFmtId="168" formatCode="#,##0_ ;[Red]\-#,##0\ "/>
    <numFmt numFmtId="169" formatCode="#,##0.00_ ;[Red]\-#,##0.00\ "/>
    <numFmt numFmtId="170" formatCode="#,##0.000_ ;[Red]\-#,##0.000\ "/>
    <numFmt numFmtId="171" formatCode="0.0000"/>
    <numFmt numFmtId="172" formatCode="0.00_ ;[Red]\-0.00\ "/>
    <numFmt numFmtId="173" formatCode="mmm\-yyyy"/>
    <numFmt numFmtId="174" formatCode="_ * #,##0_ ;_ * \-#,##0_ ;_ * &quot;-&quot;??_ ;_ @_ "/>
    <numFmt numFmtId="175" formatCode="0;[Red]0"/>
    <numFmt numFmtId="176" formatCode="#,##0.00000000_ ;[Red]\-#,##0.00000000\ "/>
    <numFmt numFmtId="177" formatCode="#,##0.000000_ ;[Red]\-#,##0.000000\ "/>
    <numFmt numFmtId="178" formatCode="mm/yyyy"/>
    <numFmt numFmtId="179" formatCode="0.00;[Red]0.00"/>
  </numFmts>
  <fonts count="78" x14ac:knownFonts="1">
    <font>
      <sz val="10"/>
      <name val="Arial"/>
      <charset val="177"/>
    </font>
    <font>
      <b/>
      <sz val="11"/>
      <color rgb="FF0000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8"/>
      <name val="Arial"/>
      <family val="2"/>
    </font>
    <font>
      <sz val="16"/>
      <name val="David"/>
      <family val="2"/>
      <charset val="177"/>
    </font>
    <font>
      <sz val="14"/>
      <name val="David"/>
      <family val="2"/>
      <charset val="177"/>
    </font>
    <font>
      <sz val="10"/>
      <name val="David"/>
      <family val="2"/>
      <charset val="177"/>
    </font>
    <font>
      <b/>
      <sz val="10"/>
      <name val="David"/>
      <family val="2"/>
      <charset val="177"/>
    </font>
    <font>
      <b/>
      <sz val="14"/>
      <name val="Arial"/>
      <family val="2"/>
    </font>
    <font>
      <b/>
      <sz val="10"/>
      <color theme="0"/>
      <name val="David"/>
      <family val="2"/>
      <charset val="177"/>
    </font>
    <font>
      <b/>
      <sz val="8"/>
      <name val="Tahoma"/>
      <family val="2"/>
    </font>
    <font>
      <sz val="8"/>
      <name val="Tahoma"/>
      <family val="2"/>
    </font>
    <font>
      <sz val="12"/>
      <color rgb="FFFF0000"/>
      <name val="Tahoma"/>
      <family val="2"/>
    </font>
    <font>
      <b/>
      <sz val="16"/>
      <name val="Arial"/>
      <family val="2"/>
    </font>
    <font>
      <sz val="10"/>
      <color indexed="13"/>
      <name val="Arial"/>
      <family val="2"/>
    </font>
    <font>
      <sz val="10"/>
      <color indexed="10"/>
      <name val="Arial"/>
      <family val="2"/>
      <charset val="177"/>
    </font>
    <font>
      <sz val="10"/>
      <name val="Arial"/>
      <family val="2"/>
      <charset val="177"/>
    </font>
    <font>
      <b/>
      <sz val="11"/>
      <color indexed="10"/>
      <name val="Arial"/>
      <family val="2"/>
      <charset val="177"/>
    </font>
    <font>
      <sz val="10"/>
      <color indexed="25"/>
      <name val="Arial"/>
      <family val="2"/>
    </font>
    <font>
      <b/>
      <sz val="10"/>
      <color indexed="10"/>
      <name val="Arial"/>
      <family val="2"/>
      <charset val="177"/>
    </font>
    <font>
      <sz val="28"/>
      <name val="David"/>
      <family val="2"/>
      <charset val="177"/>
    </font>
    <font>
      <b/>
      <sz val="28"/>
      <name val="David"/>
      <family val="2"/>
      <charset val="177"/>
    </font>
    <font>
      <b/>
      <sz val="14"/>
      <name val="David"/>
      <family val="2"/>
      <charset val="177"/>
    </font>
    <font>
      <sz val="12"/>
      <name val="David"/>
      <family val="2"/>
      <charset val="177"/>
    </font>
    <font>
      <b/>
      <sz val="22"/>
      <name val="David"/>
      <family val="2"/>
      <charset val="177"/>
    </font>
    <font>
      <b/>
      <sz val="20"/>
      <name val="David"/>
      <family val="2"/>
      <charset val="177"/>
    </font>
    <font>
      <b/>
      <sz val="30"/>
      <name val="David"/>
      <family val="2"/>
      <charset val="177"/>
    </font>
    <font>
      <sz val="14"/>
      <name val="Arial"/>
      <family val="2"/>
    </font>
    <font>
      <u val="double"/>
      <sz val="22"/>
      <name val="Arial"/>
      <family val="2"/>
    </font>
    <font>
      <b/>
      <u/>
      <sz val="11"/>
      <name val="Arial"/>
      <family val="2"/>
    </font>
    <font>
      <sz val="12"/>
      <name val="Arial"/>
      <family val="2"/>
    </font>
    <font>
      <sz val="10"/>
      <color rgb="FFFF0000"/>
      <name val="Arial"/>
      <family val="2"/>
    </font>
    <font>
      <b/>
      <sz val="22"/>
      <name val="Arial"/>
      <family val="2"/>
      <charset val="177"/>
    </font>
    <font>
      <sz val="18"/>
      <name val="Arial"/>
      <family val="2"/>
      <charset val="177"/>
    </font>
    <font>
      <sz val="10"/>
      <color indexed="10"/>
      <name val="David"/>
      <family val="2"/>
      <charset val="177"/>
    </font>
    <font>
      <sz val="10"/>
      <color indexed="61"/>
      <name val="David"/>
      <family val="2"/>
      <charset val="177"/>
    </font>
    <font>
      <sz val="10"/>
      <color indexed="9"/>
      <name val="David"/>
      <family val="2"/>
      <charset val="177"/>
    </font>
    <font>
      <sz val="11"/>
      <name val="David"/>
      <family val="2"/>
      <charset val="177"/>
    </font>
    <font>
      <sz val="26"/>
      <name val="Arial"/>
      <family val="2"/>
      <charset val="177"/>
    </font>
    <font>
      <sz val="20"/>
      <name val="Arial"/>
      <family val="2"/>
      <charset val="177"/>
    </font>
    <font>
      <sz val="8"/>
      <name val="Arial"/>
      <family val="2"/>
      <charset val="177"/>
    </font>
    <font>
      <sz val="14"/>
      <name val="Arial"/>
      <family val="2"/>
      <charset val="177"/>
    </font>
    <font>
      <sz val="12"/>
      <name val="Arial"/>
      <family val="2"/>
      <charset val="177"/>
    </font>
    <font>
      <sz val="16"/>
      <name val="Arial"/>
      <family val="2"/>
      <charset val="177"/>
    </font>
    <font>
      <b/>
      <sz val="20"/>
      <name val="Arial"/>
      <family val="2"/>
      <charset val="177"/>
    </font>
    <font>
      <sz val="10"/>
      <color indexed="9"/>
      <name val="Arial"/>
      <family val="2"/>
      <charset val="177"/>
    </font>
    <font>
      <b/>
      <sz val="24"/>
      <name val="David"/>
      <family val="2"/>
      <charset val="177"/>
    </font>
    <font>
      <sz val="36"/>
      <name val="Arial"/>
      <family val="2"/>
      <charset val="177"/>
    </font>
    <font>
      <sz val="2"/>
      <name val="Arial"/>
      <family val="2"/>
      <charset val="177"/>
    </font>
    <font>
      <sz val="32"/>
      <color indexed="10"/>
      <name val="Arial"/>
      <family val="2"/>
      <charset val="177"/>
    </font>
    <font>
      <b/>
      <sz val="16"/>
      <name val="Arial"/>
      <family val="2"/>
      <charset val="177"/>
    </font>
    <font>
      <b/>
      <sz val="8"/>
      <name val="Arial"/>
      <family val="2"/>
      <charset val="177"/>
    </font>
    <font>
      <b/>
      <sz val="12"/>
      <color indexed="10"/>
      <name val="Arial"/>
      <family val="2"/>
      <charset val="177"/>
    </font>
    <font>
      <sz val="16"/>
      <color indexed="48"/>
      <name val="Arial"/>
      <family val="2"/>
      <charset val="177"/>
    </font>
    <font>
      <sz val="16"/>
      <color indexed="10"/>
      <name val="Arial"/>
      <family val="2"/>
      <charset val="177"/>
    </font>
    <font>
      <b/>
      <sz val="14"/>
      <name val="Arial"/>
      <family val="2"/>
      <charset val="177"/>
    </font>
    <font>
      <sz val="20"/>
      <name val="David"/>
      <family val="2"/>
      <charset val="177"/>
    </font>
    <font>
      <sz val="22"/>
      <name val="Arial"/>
      <family val="2"/>
      <charset val="177"/>
    </font>
    <font>
      <sz val="24"/>
      <name val="Arial"/>
      <family val="2"/>
      <charset val="177"/>
    </font>
    <font>
      <sz val="18"/>
      <color indexed="14"/>
      <name val="Arial"/>
      <family val="2"/>
      <charset val="177"/>
    </font>
    <font>
      <sz val="11"/>
      <name val="Arial"/>
      <family val="2"/>
      <charset val="177"/>
    </font>
    <font>
      <b/>
      <sz val="20"/>
      <color indexed="10"/>
      <name val="David"/>
      <family val="2"/>
      <charset val="177"/>
    </font>
    <font>
      <b/>
      <sz val="20"/>
      <color indexed="10"/>
      <name val="Arial"/>
      <family val="2"/>
    </font>
    <font>
      <sz val="20"/>
      <color indexed="10"/>
      <name val="Arial"/>
      <family val="2"/>
      <charset val="177"/>
    </font>
    <font>
      <sz val="12"/>
      <color indexed="10"/>
      <name val="Arial"/>
      <family val="2"/>
      <charset val="177"/>
    </font>
    <font>
      <sz val="12"/>
      <color indexed="19"/>
      <name val="Arial"/>
      <family val="2"/>
      <charset val="177"/>
    </font>
    <font>
      <sz val="12"/>
      <name val="Tahoma"/>
      <family val="2"/>
    </font>
    <font>
      <b/>
      <sz val="10"/>
      <color rgb="FFFF0000"/>
      <name val="David"/>
      <family val="2"/>
      <charset val="177"/>
    </font>
    <font>
      <b/>
      <sz val="10"/>
      <color theme="5" tint="-0.249977111117893"/>
      <name val="David"/>
      <family val="2"/>
      <charset val="177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u/>
      <sz val="10"/>
      <color theme="10"/>
      <name val="Arial"/>
      <family val="2"/>
    </font>
    <font>
      <b/>
      <sz val="16"/>
      <color theme="1"/>
      <name val="David"/>
      <family val="2"/>
      <charset val="177"/>
    </font>
    <font>
      <b/>
      <sz val="10"/>
      <color theme="1"/>
      <name val="David"/>
      <family val="2"/>
      <charset val="177"/>
    </font>
    <font>
      <sz val="16"/>
      <color rgb="FFFF0000"/>
      <name val="David"/>
      <family val="2"/>
      <charset val="177"/>
    </font>
  </fonts>
  <fills count="6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8EEF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93">
    <border>
      <left/>
      <right/>
      <top/>
      <bottom/>
      <diagonal/>
    </border>
    <border>
      <left style="medium">
        <color rgb="FFE8EEF4"/>
      </left>
      <right style="medium">
        <color rgb="FFE8EEF4"/>
      </right>
      <top style="medium">
        <color rgb="FFE8EEF4"/>
      </top>
      <bottom style="medium">
        <color rgb="FFE8EEF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ck">
        <color indexed="10"/>
      </left>
      <right style="thin">
        <color indexed="22"/>
      </right>
      <top style="thick">
        <color indexed="10"/>
      </top>
      <bottom style="thin">
        <color indexed="22"/>
      </bottom>
      <diagonal/>
    </border>
    <border>
      <left style="thin">
        <color indexed="22"/>
      </left>
      <right style="thick">
        <color indexed="10"/>
      </right>
      <top style="thick">
        <color indexed="10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ck">
        <color indexed="10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ck">
        <color indexed="10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3"/>
      </top>
      <bottom style="medium">
        <color indexed="64"/>
      </bottom>
      <diagonal/>
    </border>
    <border>
      <left style="medium">
        <color indexed="64"/>
      </left>
      <right style="thin">
        <color indexed="23"/>
      </right>
      <top style="thin">
        <color indexed="2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10"/>
      </left>
      <right style="thin">
        <color indexed="22"/>
      </right>
      <top style="thin">
        <color indexed="22"/>
      </top>
      <bottom style="thick">
        <color indexed="10"/>
      </bottom>
      <diagonal/>
    </border>
    <border>
      <left style="thin">
        <color indexed="22"/>
      </left>
      <right style="thick">
        <color indexed="10"/>
      </right>
      <top style="thin">
        <color indexed="22"/>
      </top>
      <bottom style="thick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36"/>
      </left>
      <right style="medium">
        <color indexed="9"/>
      </right>
      <top style="medium">
        <color indexed="36"/>
      </top>
      <bottom style="medium">
        <color indexed="36"/>
      </bottom>
      <diagonal/>
    </border>
    <border>
      <left style="medium">
        <color indexed="9"/>
      </left>
      <right style="medium">
        <color indexed="9"/>
      </right>
      <top style="medium">
        <color indexed="36"/>
      </top>
      <bottom style="medium">
        <color indexed="36"/>
      </bottom>
      <diagonal/>
    </border>
    <border>
      <left style="medium">
        <color indexed="9"/>
      </left>
      <right style="medium">
        <color indexed="36"/>
      </right>
      <top style="medium">
        <color indexed="36"/>
      </top>
      <bottom style="medium">
        <color indexed="36"/>
      </bottom>
      <diagonal/>
    </border>
    <border>
      <left style="double">
        <color indexed="37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22"/>
      </right>
      <top style="medium">
        <color indexed="64"/>
      </top>
      <bottom/>
      <diagonal/>
    </border>
    <border>
      <left style="medium">
        <color indexed="64"/>
      </left>
      <right style="thin">
        <color indexed="22"/>
      </right>
      <top/>
      <bottom style="medium">
        <color indexed="64"/>
      </bottom>
      <diagonal/>
    </border>
    <border>
      <left/>
      <right/>
      <top/>
      <bottom style="thin">
        <color indexed="10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 diagonalUp="1">
      <left style="medium">
        <color indexed="10"/>
      </left>
      <right style="medium">
        <color indexed="10"/>
      </right>
      <top style="medium">
        <color indexed="10"/>
      </top>
      <bottom style="thin">
        <color indexed="22"/>
      </bottom>
      <diagonal style="medium">
        <color indexed="10"/>
      </diagonal>
    </border>
    <border>
      <left style="medium">
        <color indexed="10"/>
      </left>
      <right style="medium">
        <color indexed="10"/>
      </right>
      <top style="thin">
        <color indexed="22"/>
      </top>
      <bottom style="thin">
        <color indexed="22"/>
      </bottom>
      <diagonal/>
    </border>
    <border diagonalUp="1">
      <left style="medium">
        <color indexed="10"/>
      </left>
      <right style="medium">
        <color indexed="10"/>
      </right>
      <top style="thin">
        <color indexed="22"/>
      </top>
      <bottom style="thin">
        <color indexed="22"/>
      </bottom>
      <diagonal style="medium">
        <color indexed="10"/>
      </diagonal>
    </border>
    <border diagonalUp="1">
      <left style="medium">
        <color indexed="10"/>
      </left>
      <right style="medium">
        <color indexed="10"/>
      </right>
      <top style="thin">
        <color indexed="22"/>
      </top>
      <bottom style="medium">
        <color indexed="10"/>
      </bottom>
      <diagonal style="medium">
        <color indexed="10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slantDashDot">
        <color indexed="64"/>
      </left>
      <right/>
      <top style="slantDashDot">
        <color indexed="64"/>
      </top>
      <bottom/>
      <diagonal/>
    </border>
    <border>
      <left/>
      <right/>
      <top style="slantDashDot">
        <color indexed="64"/>
      </top>
      <bottom/>
      <diagonal/>
    </border>
    <border>
      <left/>
      <right style="slantDashDot">
        <color indexed="64"/>
      </right>
      <top style="slantDashDot">
        <color indexed="64"/>
      </top>
      <bottom/>
      <diagonal/>
    </border>
    <border>
      <left style="slantDashDot">
        <color indexed="64"/>
      </left>
      <right/>
      <top/>
      <bottom style="slantDashDot">
        <color indexed="64"/>
      </bottom>
      <diagonal/>
    </border>
    <border>
      <left/>
      <right/>
      <top/>
      <bottom style="slantDashDot">
        <color indexed="64"/>
      </bottom>
      <diagonal/>
    </border>
    <border>
      <left/>
      <right style="slantDashDot">
        <color indexed="64"/>
      </right>
      <top/>
      <bottom style="slantDashDot">
        <color indexed="64"/>
      </bottom>
      <diagonal/>
    </border>
    <border>
      <left style="slantDashDot">
        <color indexed="64"/>
      </left>
      <right/>
      <top/>
      <bottom/>
      <diagonal/>
    </border>
    <border>
      <left/>
      <right style="slantDashDot">
        <color indexed="64"/>
      </right>
      <top/>
      <bottom/>
      <diagonal/>
    </border>
    <border>
      <left style="slantDashDot">
        <color indexed="64"/>
      </left>
      <right/>
      <top style="slantDashDot">
        <color indexed="64"/>
      </top>
      <bottom style="slantDashDot">
        <color indexed="64"/>
      </bottom>
      <diagonal/>
    </border>
    <border>
      <left/>
      <right/>
      <top style="slantDashDot">
        <color indexed="64"/>
      </top>
      <bottom style="slantDashDot">
        <color indexed="64"/>
      </bottom>
      <diagonal/>
    </border>
    <border>
      <left/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/>
      <top/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10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DashDot">
        <color indexed="53"/>
      </top>
      <bottom style="thin">
        <color indexed="22"/>
      </bottom>
      <diagonal/>
    </border>
    <border>
      <left/>
      <right/>
      <top style="mediumDashDot">
        <color indexed="53"/>
      </top>
      <bottom/>
      <diagonal/>
    </border>
    <border>
      <left style="thin">
        <color indexed="22"/>
      </left>
      <right style="mediumDashDot">
        <color indexed="53"/>
      </right>
      <top style="mediumDashDot">
        <color indexed="53"/>
      </top>
      <bottom style="thin">
        <color indexed="22"/>
      </bottom>
      <diagonal/>
    </border>
    <border>
      <left style="mediumDashDot">
        <color indexed="53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DashDot">
        <color indexed="53"/>
      </right>
      <top style="thin">
        <color indexed="22"/>
      </top>
      <bottom style="thin">
        <color indexed="22"/>
      </bottom>
      <diagonal/>
    </border>
    <border>
      <left style="mediumDashDot">
        <color indexed="53"/>
      </left>
      <right style="thin">
        <color indexed="22"/>
      </right>
      <top style="thin">
        <color indexed="22"/>
      </top>
      <bottom style="mediumDashDot">
        <color indexed="5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DashDot">
        <color indexed="53"/>
      </bottom>
      <diagonal/>
    </border>
    <border>
      <left/>
      <right/>
      <top/>
      <bottom style="mediumDashDot">
        <color indexed="53"/>
      </bottom>
      <diagonal/>
    </border>
    <border>
      <left style="thin">
        <color indexed="22"/>
      </left>
      <right style="mediumDashDot">
        <color indexed="53"/>
      </right>
      <top style="thin">
        <color indexed="22"/>
      </top>
      <bottom style="mediumDashDot">
        <color indexed="53"/>
      </bottom>
      <diagonal/>
    </border>
    <border>
      <left style="thin">
        <color indexed="22"/>
      </left>
      <right style="thin">
        <color indexed="22"/>
      </right>
      <top style="thin">
        <color indexed="53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19"/>
      </top>
      <bottom style="thin">
        <color indexed="22"/>
      </bottom>
      <diagonal/>
    </border>
    <border>
      <left/>
      <right style="thin">
        <color indexed="22"/>
      </right>
      <top/>
      <bottom/>
      <diagonal/>
    </border>
    <border>
      <left style="mediumDashDot">
        <color indexed="53"/>
      </left>
      <right/>
      <top style="mediumDashDot">
        <color indexed="53"/>
      </top>
      <bottom/>
      <diagonal/>
    </border>
    <border>
      <left style="mediumDashDot">
        <color indexed="53"/>
      </left>
      <right/>
      <top/>
      <bottom/>
      <diagonal/>
    </border>
    <border>
      <left style="thick">
        <color indexed="13"/>
      </left>
      <right style="thin">
        <color indexed="22"/>
      </right>
      <top style="thick">
        <color indexed="13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ck">
        <color indexed="13"/>
      </top>
      <bottom style="thin">
        <color indexed="22"/>
      </bottom>
      <diagonal/>
    </border>
    <border>
      <left style="thin">
        <color indexed="22"/>
      </left>
      <right style="thick">
        <color indexed="13"/>
      </right>
      <top style="thick">
        <color indexed="13"/>
      </top>
      <bottom style="thin">
        <color indexed="22"/>
      </bottom>
      <diagonal/>
    </border>
    <border>
      <left style="thick">
        <color indexed="13"/>
      </left>
      <right/>
      <top/>
      <bottom/>
      <diagonal/>
    </border>
    <border>
      <left/>
      <right style="thick">
        <color indexed="13"/>
      </right>
      <top style="thin">
        <color indexed="22"/>
      </top>
      <bottom/>
      <diagonal/>
    </border>
    <border>
      <left/>
      <right style="thick">
        <color indexed="13"/>
      </right>
      <top/>
      <bottom/>
      <diagonal/>
    </border>
    <border>
      <left style="thick">
        <color indexed="13"/>
      </left>
      <right/>
      <top/>
      <bottom style="thick">
        <color indexed="13"/>
      </bottom>
      <diagonal/>
    </border>
    <border>
      <left/>
      <right/>
      <top/>
      <bottom style="thick">
        <color indexed="13"/>
      </bottom>
      <diagonal/>
    </border>
    <border>
      <left/>
      <right style="thick">
        <color indexed="13"/>
      </right>
      <top/>
      <bottom style="thick">
        <color indexed="13"/>
      </bottom>
      <diagonal/>
    </border>
    <border>
      <left/>
      <right style="medium">
        <color indexed="14"/>
      </right>
      <top/>
      <bottom/>
      <diagonal/>
    </border>
    <border>
      <left style="thin">
        <color indexed="22"/>
      </left>
      <right style="medium">
        <color indexed="14"/>
      </right>
      <top style="thin">
        <color indexed="22"/>
      </top>
      <bottom style="thin">
        <color indexed="22"/>
      </bottom>
      <diagonal/>
    </border>
    <border>
      <left style="medium">
        <color indexed="22"/>
      </left>
      <right style="medium">
        <color indexed="22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14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/>
      <top/>
      <bottom style="thin">
        <color indexed="48"/>
      </bottom>
      <diagonal/>
    </border>
    <border>
      <left/>
      <right/>
      <top style="medium">
        <color indexed="64"/>
      </top>
      <bottom style="thin">
        <color indexed="10"/>
      </bottom>
      <diagonal/>
    </border>
    <border>
      <left/>
      <right/>
      <top style="thin">
        <color indexed="11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3"/>
      </bottom>
      <diagonal/>
    </border>
    <border>
      <left/>
      <right/>
      <top style="thin">
        <color indexed="48"/>
      </top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 style="thin">
        <color indexed="64"/>
      </bottom>
      <diagonal/>
    </border>
    <border>
      <left/>
      <right/>
      <top/>
      <bottom style="medium">
        <color indexed="39"/>
      </bottom>
      <diagonal/>
    </border>
    <border>
      <left style="medium">
        <color indexed="22"/>
      </left>
      <right style="medium">
        <color indexed="22"/>
      </right>
      <top/>
      <bottom style="medium">
        <color indexed="22"/>
      </bottom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/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thin">
        <color indexed="22"/>
      </left>
      <right style="medium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39"/>
      </bottom>
      <diagonal/>
    </border>
    <border>
      <left style="thin">
        <color indexed="22"/>
      </left>
      <right style="medium">
        <color indexed="22"/>
      </right>
      <top style="thin">
        <color indexed="22"/>
      </top>
      <bottom style="medium">
        <color indexed="39"/>
      </bottom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39"/>
      </bottom>
      <diagonal/>
    </border>
    <border>
      <left/>
      <right/>
      <top style="medium">
        <color indexed="39"/>
      </top>
      <bottom/>
      <diagonal/>
    </border>
    <border>
      <left/>
      <right/>
      <top style="medium">
        <color indexed="38"/>
      </top>
      <bottom/>
      <diagonal/>
    </border>
    <border>
      <left style="thin">
        <color indexed="39"/>
      </left>
      <right style="thin">
        <color indexed="39"/>
      </right>
      <top style="thin">
        <color indexed="39"/>
      </top>
      <bottom style="thin">
        <color indexed="39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  <border>
      <left/>
      <right/>
      <top style="double">
        <color indexed="61"/>
      </top>
      <bottom style="double">
        <color indexed="61"/>
      </bottom>
      <diagonal/>
    </border>
    <border>
      <left/>
      <right style="thick">
        <color indexed="9"/>
      </right>
      <top/>
      <bottom style="thick">
        <color indexed="10"/>
      </bottom>
      <diagonal/>
    </border>
    <border>
      <left style="thick">
        <color indexed="9"/>
      </left>
      <right style="thick">
        <color indexed="9"/>
      </right>
      <top/>
      <bottom style="thick">
        <color indexed="10"/>
      </bottom>
      <diagonal/>
    </border>
    <border>
      <left style="thick">
        <color indexed="9"/>
      </left>
      <right/>
      <top/>
      <bottom style="thick">
        <color indexed="10"/>
      </bottom>
      <diagonal/>
    </border>
    <border>
      <left/>
      <right/>
      <top/>
      <bottom style="thick">
        <color indexed="28"/>
      </bottom>
      <diagonal/>
    </border>
    <border>
      <left style="medium">
        <color indexed="45"/>
      </left>
      <right/>
      <top style="medium">
        <color indexed="45"/>
      </top>
      <bottom style="thin">
        <color indexed="22"/>
      </bottom>
      <diagonal/>
    </border>
    <border>
      <left/>
      <right style="medium">
        <color indexed="45"/>
      </right>
      <top style="medium">
        <color indexed="45"/>
      </top>
      <bottom style="thin">
        <color indexed="22"/>
      </bottom>
      <diagonal/>
    </border>
    <border>
      <left style="medium">
        <color indexed="45"/>
      </left>
      <right/>
      <top style="thin">
        <color indexed="22"/>
      </top>
      <bottom style="thin">
        <color indexed="22"/>
      </bottom>
      <diagonal/>
    </border>
    <border>
      <left/>
      <right style="medium">
        <color indexed="45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11"/>
      </bottom>
      <diagonal/>
    </border>
    <border>
      <left style="medium">
        <color indexed="45"/>
      </left>
      <right/>
      <top style="thin">
        <color indexed="22"/>
      </top>
      <bottom style="medium">
        <color indexed="19"/>
      </bottom>
      <diagonal/>
    </border>
    <border>
      <left/>
      <right style="medium">
        <color indexed="45"/>
      </right>
      <top style="thin">
        <color indexed="22"/>
      </top>
      <bottom style="medium">
        <color indexed="19"/>
      </bottom>
      <diagonal/>
    </border>
    <border>
      <left style="medium">
        <color indexed="45"/>
      </left>
      <right/>
      <top/>
      <bottom style="thin">
        <color indexed="22"/>
      </bottom>
      <diagonal/>
    </border>
    <border>
      <left/>
      <right style="medium">
        <color indexed="45"/>
      </right>
      <top/>
      <bottom style="thin">
        <color indexed="22"/>
      </bottom>
      <diagonal/>
    </border>
    <border>
      <left/>
      <right/>
      <top/>
      <bottom style="medium">
        <color indexed="40"/>
      </bottom>
      <diagonal/>
    </border>
    <border>
      <left style="medium">
        <color indexed="45"/>
      </left>
      <right/>
      <top style="thin">
        <color indexed="22"/>
      </top>
      <bottom style="medium">
        <color indexed="62"/>
      </bottom>
      <diagonal/>
    </border>
    <border>
      <left/>
      <right style="medium">
        <color indexed="45"/>
      </right>
      <top style="thin">
        <color indexed="22"/>
      </top>
      <bottom style="medium">
        <color indexed="62"/>
      </bottom>
      <diagonal/>
    </border>
    <border>
      <left style="medium">
        <color indexed="45"/>
      </left>
      <right/>
      <top/>
      <bottom style="medium">
        <color indexed="45"/>
      </bottom>
      <diagonal/>
    </border>
    <border>
      <left/>
      <right style="medium">
        <color indexed="45"/>
      </right>
      <top/>
      <bottom style="medium">
        <color indexed="45"/>
      </bottom>
      <diagonal/>
    </border>
    <border>
      <left/>
      <right/>
      <top/>
      <bottom style="medium">
        <color indexed="16"/>
      </bottom>
      <diagonal/>
    </border>
    <border>
      <left/>
      <right/>
      <top/>
      <bottom style="medium">
        <color indexed="20"/>
      </bottom>
      <diagonal/>
    </border>
    <border diagonalDown="1">
      <left/>
      <right/>
      <top style="thick">
        <color indexed="50"/>
      </top>
      <bottom style="thick">
        <color indexed="50"/>
      </bottom>
      <diagonal style="thick">
        <color indexed="50"/>
      </diagonal>
    </border>
    <border diagonalDown="1">
      <left/>
      <right style="thick">
        <color indexed="50"/>
      </right>
      <top style="thick">
        <color indexed="50"/>
      </top>
      <bottom style="thick">
        <color indexed="50"/>
      </bottom>
      <diagonal style="thick">
        <color indexed="50"/>
      </diagonal>
    </border>
    <border diagonalDown="1">
      <left style="thick">
        <color indexed="53"/>
      </left>
      <right/>
      <top style="thick">
        <color indexed="53"/>
      </top>
      <bottom style="thick">
        <color indexed="53"/>
      </bottom>
      <diagonal style="medium">
        <color indexed="53"/>
      </diagonal>
    </border>
    <border diagonalDown="1">
      <left/>
      <right/>
      <top style="thick">
        <color indexed="53"/>
      </top>
      <bottom style="thick">
        <color indexed="53"/>
      </bottom>
      <diagonal style="medium">
        <color indexed="53"/>
      </diagonal>
    </border>
    <border diagonalDown="1">
      <left/>
      <right style="thick">
        <color indexed="53"/>
      </right>
      <top style="thick">
        <color indexed="53"/>
      </top>
      <bottom style="thick">
        <color indexed="53"/>
      </bottom>
      <diagonal style="medium">
        <color indexed="53"/>
      </diagonal>
    </border>
    <border>
      <left style="dashed">
        <color indexed="22"/>
      </left>
      <right style="dashed">
        <color indexed="22"/>
      </right>
      <top style="dashed">
        <color indexed="22"/>
      </top>
      <bottom style="dashed">
        <color indexed="22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ck">
        <color indexed="10"/>
      </left>
      <right/>
      <top style="thick">
        <color indexed="10"/>
      </top>
      <bottom/>
      <diagonal/>
    </border>
    <border>
      <left/>
      <right style="thick">
        <color indexed="10"/>
      </right>
      <top style="thick">
        <color indexed="10"/>
      </top>
      <bottom/>
      <diagonal/>
    </border>
    <border>
      <left style="medium">
        <color indexed="11"/>
      </left>
      <right/>
      <top style="medium">
        <color indexed="11"/>
      </top>
      <bottom style="medium">
        <color indexed="11"/>
      </bottom>
      <diagonal/>
    </border>
    <border>
      <left/>
      <right style="medium">
        <color indexed="11"/>
      </right>
      <top style="medium">
        <color indexed="11"/>
      </top>
      <bottom style="medium">
        <color indexed="11"/>
      </bottom>
      <diagonal/>
    </border>
    <border>
      <left style="thick">
        <color indexed="10"/>
      </left>
      <right/>
      <top/>
      <bottom/>
      <diagonal/>
    </border>
    <border>
      <left/>
      <right style="thick">
        <color indexed="10"/>
      </right>
      <top/>
      <bottom/>
      <diagonal/>
    </border>
    <border>
      <left style="thick">
        <color indexed="10"/>
      </left>
      <right/>
      <top/>
      <bottom style="thick">
        <color indexed="10"/>
      </bottom>
      <diagonal/>
    </border>
    <border>
      <left/>
      <right style="thick">
        <color indexed="10"/>
      </right>
      <top/>
      <bottom style="thick">
        <color indexed="10"/>
      </bottom>
      <diagonal/>
    </border>
    <border>
      <left style="thick">
        <color indexed="10"/>
      </left>
      <right/>
      <top style="thick">
        <color indexed="10"/>
      </top>
      <bottom style="dashed">
        <color indexed="55"/>
      </bottom>
      <diagonal/>
    </border>
    <border>
      <left/>
      <right style="thick">
        <color indexed="10"/>
      </right>
      <top style="thick">
        <color indexed="10"/>
      </top>
      <bottom style="dashed">
        <color indexed="55"/>
      </bottom>
      <diagonal/>
    </border>
    <border>
      <left style="thick">
        <color indexed="10"/>
      </left>
      <right/>
      <top style="dashed">
        <color indexed="55"/>
      </top>
      <bottom style="dashed">
        <color indexed="55"/>
      </bottom>
      <diagonal/>
    </border>
    <border>
      <left/>
      <right style="thick">
        <color indexed="10"/>
      </right>
      <top style="dashed">
        <color indexed="55"/>
      </top>
      <bottom style="dashed">
        <color indexed="55"/>
      </bottom>
      <diagonal/>
    </border>
    <border>
      <left style="mediumDashed">
        <color indexed="36"/>
      </left>
      <right/>
      <top style="mediumDashed">
        <color indexed="36"/>
      </top>
      <bottom style="mediumDashed">
        <color indexed="36"/>
      </bottom>
      <diagonal/>
    </border>
    <border>
      <left/>
      <right style="thin">
        <color indexed="22"/>
      </right>
      <top style="mediumDashed">
        <color indexed="36"/>
      </top>
      <bottom style="mediumDashed">
        <color indexed="36"/>
      </bottom>
      <diagonal/>
    </border>
    <border>
      <left/>
      <right style="mediumDashed">
        <color indexed="36"/>
      </right>
      <top style="mediumDashed">
        <color indexed="36"/>
      </top>
      <bottom style="mediumDashed">
        <color indexed="36"/>
      </bottom>
      <diagonal/>
    </border>
    <border>
      <left style="thick">
        <color indexed="10"/>
      </left>
      <right/>
      <top style="dashed">
        <color indexed="55"/>
      </top>
      <bottom style="thick">
        <color indexed="10"/>
      </bottom>
      <diagonal/>
    </border>
    <border>
      <left/>
      <right style="thick">
        <color indexed="10"/>
      </right>
      <top style="dashed">
        <color indexed="55"/>
      </top>
      <bottom style="thick">
        <color indexed="10"/>
      </bottom>
      <diagonal/>
    </border>
    <border>
      <left style="thick">
        <color indexed="36"/>
      </left>
      <right style="thick">
        <color indexed="36"/>
      </right>
      <top style="thick">
        <color indexed="36"/>
      </top>
      <bottom/>
      <diagonal/>
    </border>
    <border>
      <left style="thick">
        <color indexed="36"/>
      </left>
      <right style="thick">
        <color indexed="36"/>
      </right>
      <top/>
      <bottom/>
      <diagonal/>
    </border>
    <border>
      <left style="thick">
        <color indexed="36"/>
      </left>
      <right style="thick">
        <color indexed="36"/>
      </right>
      <top/>
      <bottom style="thick">
        <color indexed="36"/>
      </bottom>
      <diagonal/>
    </border>
    <border>
      <left style="mediumDashDot">
        <color indexed="53"/>
      </left>
      <right style="thin">
        <color indexed="22"/>
      </right>
      <top style="mediumDashDot">
        <color indexed="53"/>
      </top>
      <bottom style="thin">
        <color indexed="22"/>
      </bottom>
      <diagonal/>
    </border>
    <border>
      <left style="thin">
        <color indexed="22"/>
      </left>
      <right/>
      <top style="mediumDashDot">
        <color indexed="53"/>
      </top>
      <bottom style="thin">
        <color indexed="22"/>
      </bottom>
      <diagonal/>
    </border>
    <border>
      <left/>
      <right style="thin">
        <color indexed="22"/>
      </right>
      <top style="mediumDashDot">
        <color indexed="53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rgb="FFE8EEF4"/>
      </bottom>
      <diagonal/>
    </border>
    <border>
      <left style="medium">
        <color rgb="FFE8EEF4"/>
      </left>
      <right style="medium">
        <color rgb="FFE8EEF4"/>
      </right>
      <top style="medium">
        <color rgb="FFE8EEF4"/>
      </top>
      <bottom/>
      <diagonal/>
    </border>
  </borders>
  <cellStyleXfs count="6">
    <xf numFmtId="0" fontId="0" fillId="0" borderId="0"/>
    <xf numFmtId="0" fontId="2" fillId="0" borderId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0" fontId="74" fillId="0" borderId="0" applyNumberFormat="0" applyFill="0" applyBorder="0" applyAlignment="0" applyProtection="0">
      <alignment vertical="top"/>
      <protection locked="0"/>
    </xf>
  </cellStyleXfs>
  <cellXfs count="1219">
    <xf numFmtId="0" fontId="0" fillId="0" borderId="0" xfId="0"/>
    <xf numFmtId="0" fontId="1" fillId="3" borderId="1" xfId="0" applyFont="1" applyFill="1" applyBorder="1" applyAlignment="1">
      <alignment horizontal="right" vertical="center" wrapText="1"/>
    </xf>
    <xf numFmtId="0" fontId="3" fillId="2" borderId="0" xfId="0" applyFont="1" applyFill="1"/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vertical="top" wrapText="1"/>
    </xf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top"/>
    </xf>
    <xf numFmtId="0" fontId="3" fillId="2" borderId="1" xfId="0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horizontal="right" vertical="center" wrapText="1"/>
    </xf>
    <xf numFmtId="0" fontId="5" fillId="0" borderId="0" xfId="0" applyFont="1"/>
    <xf numFmtId="0" fontId="3" fillId="2" borderId="0" xfId="0" applyFont="1" applyFill="1" applyAlignment="1">
      <alignment horizontal="right" vertical="top" wrapText="1"/>
    </xf>
    <xf numFmtId="0" fontId="6" fillId="0" borderId="2" xfId="0" applyFont="1" applyBorder="1" applyAlignment="1" applyProtection="1">
      <alignment horizontal="center" vertical="center"/>
    </xf>
    <xf numFmtId="168" fontId="6" fillId="0" borderId="2" xfId="0" applyNumberFormat="1" applyFont="1" applyBorder="1" applyAlignment="1" applyProtection="1">
      <alignment horizontal="center" vertical="center"/>
    </xf>
    <xf numFmtId="0" fontId="6" fillId="0" borderId="2" xfId="0" applyFont="1" applyFill="1" applyBorder="1" applyAlignment="1" applyProtection="1">
      <alignment horizontal="center" vertical="center"/>
    </xf>
    <xf numFmtId="0" fontId="6" fillId="6" borderId="2" xfId="0" applyFont="1" applyFill="1" applyBorder="1" applyAlignment="1" applyProtection="1">
      <alignment horizontal="center" vertical="center"/>
    </xf>
    <xf numFmtId="0" fontId="8" fillId="7" borderId="2" xfId="0" applyFont="1" applyFill="1" applyBorder="1" applyAlignment="1" applyProtection="1">
      <alignment horizontal="center" vertical="center" wrapText="1"/>
    </xf>
    <xf numFmtId="0" fontId="9" fillId="7" borderId="2" xfId="0" applyFont="1" applyFill="1" applyBorder="1" applyAlignment="1" applyProtection="1">
      <alignment horizontal="center" vertical="center" wrapText="1"/>
    </xf>
    <xf numFmtId="0" fontId="0" fillId="0" borderId="0" xfId="0" applyAlignment="1">
      <alignment wrapText="1"/>
    </xf>
    <xf numFmtId="0" fontId="9" fillId="0" borderId="2" xfId="0" applyFont="1" applyFill="1" applyBorder="1" applyAlignment="1" applyProtection="1">
      <alignment horizontal="center" vertical="center"/>
      <protection locked="0"/>
    </xf>
    <xf numFmtId="0" fontId="8" fillId="0" borderId="2" xfId="0" applyFont="1" applyFill="1" applyBorder="1" applyAlignment="1" applyProtection="1">
      <alignment horizontal="center" vertical="center"/>
      <protection locked="0"/>
    </xf>
    <xf numFmtId="0" fontId="8" fillId="0" borderId="2" xfId="0" applyNumberFormat="1" applyFont="1" applyFill="1" applyBorder="1" applyAlignment="1" applyProtection="1">
      <alignment horizontal="center" vertical="center"/>
      <protection locked="0"/>
    </xf>
    <xf numFmtId="0" fontId="10" fillId="0" borderId="0" xfId="0" applyFont="1"/>
    <xf numFmtId="0" fontId="6" fillId="4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3" fillId="0" borderId="0" xfId="0" applyFont="1"/>
    <xf numFmtId="0" fontId="6" fillId="4" borderId="2" xfId="0" applyFont="1" applyFill="1" applyBorder="1" applyAlignment="1" applyProtection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right"/>
    </xf>
    <xf numFmtId="0" fontId="14" fillId="15" borderId="4" xfId="1" applyFont="1" applyFill="1" applyBorder="1" applyAlignment="1">
      <alignment horizontal="right" vertical="top" wrapText="1" readingOrder="2"/>
    </xf>
    <xf numFmtId="0" fontId="3" fillId="16" borderId="0" xfId="0" applyFont="1" applyFill="1" applyAlignment="1">
      <alignment vertical="top" wrapText="1"/>
    </xf>
    <xf numFmtId="0" fontId="15" fillId="0" borderId="0" xfId="0" applyFont="1"/>
    <xf numFmtId="0" fontId="2" fillId="7" borderId="6" xfId="0" applyFont="1" applyFill="1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 wrapText="1"/>
    </xf>
    <xf numFmtId="14" fontId="0" fillId="7" borderId="6" xfId="0" applyNumberFormat="1" applyFill="1" applyBorder="1" applyAlignment="1" applyProtection="1">
      <alignment horizontal="center" vertical="center" wrapText="1"/>
      <protection locked="0"/>
    </xf>
    <xf numFmtId="14" fontId="0" fillId="17" borderId="6" xfId="0" applyNumberFormat="1" applyFill="1" applyBorder="1" applyAlignment="1" applyProtection="1">
      <alignment horizontal="center" vertical="center" wrapText="1"/>
    </xf>
    <xf numFmtId="0" fontId="0" fillId="0" borderId="7" xfId="0" applyBorder="1" applyAlignment="1" applyProtection="1">
      <alignment horizontal="center" vertical="center" wrapText="1"/>
    </xf>
    <xf numFmtId="169" fontId="16" fillId="18" borderId="9" xfId="0" applyNumberFormat="1" applyFont="1" applyFill="1" applyBorder="1" applyAlignment="1" applyProtection="1">
      <alignment horizontal="center" vertical="center" wrapText="1"/>
    </xf>
    <xf numFmtId="0" fontId="0" fillId="0" borderId="10" xfId="0" applyBorder="1" applyAlignment="1" applyProtection="1">
      <alignment horizontal="center" vertical="center" wrapText="1"/>
    </xf>
    <xf numFmtId="0" fontId="2" fillId="0" borderId="6" xfId="0" applyFont="1" applyBorder="1" applyAlignment="1" applyProtection="1">
      <alignment horizontal="center" vertical="center" wrapText="1"/>
    </xf>
    <xf numFmtId="0" fontId="0" fillId="7" borderId="6" xfId="0" applyFill="1" applyBorder="1" applyAlignment="1" applyProtection="1">
      <alignment horizontal="center" vertical="center" wrapText="1"/>
      <protection locked="0"/>
    </xf>
    <xf numFmtId="169" fontId="16" fillId="18" borderId="13" xfId="0" applyNumberFormat="1" applyFont="1" applyFill="1" applyBorder="1" applyAlignment="1" applyProtection="1">
      <alignment horizontal="center" vertical="center" wrapText="1"/>
    </xf>
    <xf numFmtId="0" fontId="2" fillId="4" borderId="14" xfId="0" applyFont="1" applyFill="1" applyBorder="1" applyAlignment="1" applyProtection="1">
      <alignment horizontal="right" vertical="top" wrapText="1"/>
    </xf>
    <xf numFmtId="17" fontId="2" fillId="4" borderId="15" xfId="0" applyNumberFormat="1" applyFont="1" applyFill="1" applyBorder="1" applyAlignment="1" applyProtection="1">
      <alignment horizontal="right" vertical="top" wrapText="1"/>
    </xf>
    <xf numFmtId="0" fontId="2" fillId="4" borderId="15" xfId="0" applyFont="1" applyFill="1" applyBorder="1" applyAlignment="1" applyProtection="1">
      <alignment horizontal="right" vertical="top" wrapText="1"/>
    </xf>
    <xf numFmtId="17" fontId="2" fillId="0" borderId="6" xfId="0" applyNumberFormat="1" applyFont="1" applyBorder="1" applyAlignment="1" applyProtection="1">
      <alignment horizontal="center" vertical="center" wrapText="1"/>
    </xf>
    <xf numFmtId="0" fontId="2" fillId="4" borderId="16" xfId="0" applyFont="1" applyFill="1" applyBorder="1" applyAlignment="1" applyProtection="1">
      <alignment horizontal="right" vertical="top" wrapText="1"/>
    </xf>
    <xf numFmtId="17" fontId="2" fillId="4" borderId="17" xfId="0" applyNumberFormat="1" applyFont="1" applyFill="1" applyBorder="1" applyAlignment="1" applyProtection="1">
      <alignment horizontal="right" vertical="top" wrapText="1"/>
    </xf>
    <xf numFmtId="0" fontId="2" fillId="4" borderId="17" xfId="0" applyFont="1" applyFill="1" applyBorder="1" applyAlignment="1" applyProtection="1">
      <alignment horizontal="right" vertical="top" wrapText="1"/>
    </xf>
    <xf numFmtId="17" fontId="0" fillId="0" borderId="6" xfId="0" applyNumberFormat="1" applyBorder="1" applyAlignment="1" applyProtection="1">
      <alignment horizontal="center" vertical="center" wrapText="1"/>
    </xf>
    <xf numFmtId="2" fontId="0" fillId="19" borderId="6" xfId="0" applyNumberFormat="1" applyFill="1" applyBorder="1" applyAlignment="1" applyProtection="1">
      <alignment horizontal="center" vertical="center" wrapText="1"/>
    </xf>
    <xf numFmtId="17" fontId="2" fillId="4" borderId="14" xfId="0" applyNumberFormat="1" applyFont="1" applyFill="1" applyBorder="1" applyAlignment="1" applyProtection="1">
      <alignment horizontal="right" vertical="top" wrapText="1"/>
    </xf>
    <xf numFmtId="17" fontId="2" fillId="4" borderId="16" xfId="0" applyNumberFormat="1" applyFont="1" applyFill="1" applyBorder="1" applyAlignment="1" applyProtection="1">
      <alignment horizontal="right" vertical="top" wrapText="1"/>
    </xf>
    <xf numFmtId="14" fontId="2" fillId="7" borderId="6" xfId="0" applyNumberFormat="1" applyFont="1" applyFill="1" applyBorder="1" applyAlignment="1" applyProtection="1">
      <alignment horizontal="center" vertical="center" wrapText="1"/>
      <protection locked="0"/>
    </xf>
    <xf numFmtId="169" fontId="0" fillId="19" borderId="6" xfId="0" applyNumberFormat="1" applyFill="1" applyBorder="1" applyAlignment="1" applyProtection="1">
      <alignment horizontal="center" vertical="center" wrapText="1"/>
    </xf>
    <xf numFmtId="2" fontId="0" fillId="0" borderId="6" xfId="0" applyNumberFormat="1" applyBorder="1" applyAlignment="1" applyProtection="1">
      <alignment horizontal="center" vertical="center" wrapText="1"/>
    </xf>
    <xf numFmtId="0" fontId="0" fillId="0" borderId="18" xfId="0" applyBorder="1" applyAlignment="1" applyProtection="1">
      <alignment horizontal="center" vertical="center" wrapText="1"/>
    </xf>
    <xf numFmtId="169" fontId="16" fillId="18" borderId="19" xfId="0" applyNumberFormat="1" applyFont="1" applyFill="1" applyBorder="1" applyAlignment="1" applyProtection="1">
      <alignment horizontal="center" vertical="center" wrapText="1"/>
    </xf>
    <xf numFmtId="0" fontId="0" fillId="0" borderId="20" xfId="0" applyBorder="1" applyAlignment="1" applyProtection="1">
      <alignment horizontal="center" vertical="center" wrapText="1"/>
    </xf>
    <xf numFmtId="0" fontId="0" fillId="0" borderId="21" xfId="0" applyBorder="1" applyAlignment="1" applyProtection="1">
      <alignment horizontal="center" vertical="center" wrapText="1"/>
    </xf>
    <xf numFmtId="169" fontId="0" fillId="0" borderId="24" xfId="0" applyNumberFormat="1" applyBorder="1" applyAlignment="1" applyProtection="1">
      <alignment horizontal="center" vertical="center" wrapText="1"/>
    </xf>
    <xf numFmtId="169" fontId="18" fillId="19" borderId="6" xfId="0" applyNumberFormat="1" applyFont="1" applyFill="1" applyBorder="1" applyAlignment="1" applyProtection="1">
      <alignment horizontal="center" vertical="center" wrapText="1"/>
    </xf>
    <xf numFmtId="0" fontId="0" fillId="20" borderId="6" xfId="0" applyFill="1" applyBorder="1" applyAlignment="1" applyProtection="1">
      <alignment horizontal="center" vertical="center" wrapText="1"/>
    </xf>
    <xf numFmtId="3" fontId="0" fillId="20" borderId="6" xfId="0" applyNumberFormat="1" applyFill="1" applyBorder="1" applyAlignment="1" applyProtection="1">
      <alignment horizontal="center" vertical="center" wrapText="1"/>
    </xf>
    <xf numFmtId="0" fontId="0" fillId="7" borderId="6" xfId="0" applyFill="1" applyBorder="1" applyAlignment="1" applyProtection="1">
      <alignment horizontal="center" vertical="center" wrapText="1"/>
    </xf>
    <xf numFmtId="14" fontId="0" fillId="0" borderId="6" xfId="0" applyNumberFormat="1" applyBorder="1" applyAlignment="1" applyProtection="1">
      <alignment horizontal="center" vertical="center" wrapText="1"/>
    </xf>
    <xf numFmtId="169" fontId="0" fillId="20" borderId="6" xfId="0" applyNumberFormat="1" applyFill="1" applyBorder="1" applyAlignment="1" applyProtection="1">
      <alignment horizontal="center" vertical="center" wrapText="1"/>
    </xf>
    <xf numFmtId="2" fontId="0" fillId="17" borderId="7" xfId="0" applyNumberFormat="1" applyFill="1" applyBorder="1" applyAlignment="1" applyProtection="1">
      <alignment horizontal="center" vertical="center" wrapText="1"/>
    </xf>
    <xf numFmtId="14" fontId="2" fillId="7" borderId="6" xfId="0" applyNumberFormat="1" applyFont="1" applyFill="1" applyBorder="1" applyAlignment="1" applyProtection="1">
      <alignment horizontal="center" vertical="center" wrapText="1"/>
    </xf>
    <xf numFmtId="170" fontId="0" fillId="21" borderId="6" xfId="0" applyNumberFormat="1" applyFill="1" applyBorder="1" applyAlignment="1" applyProtection="1">
      <alignment horizontal="center" vertical="center" wrapText="1"/>
    </xf>
    <xf numFmtId="4" fontId="0" fillId="17" borderId="7" xfId="0" applyNumberFormat="1" applyFill="1" applyBorder="1" applyAlignment="1" applyProtection="1">
      <alignment horizontal="center" vertical="center" wrapText="1"/>
    </xf>
    <xf numFmtId="0" fontId="0" fillId="0" borderId="6" xfId="0" applyNumberFormat="1" applyBorder="1" applyAlignment="1" applyProtection="1">
      <alignment horizontal="center" vertical="center" wrapText="1"/>
    </xf>
    <xf numFmtId="171" fontId="0" fillId="17" borderId="6" xfId="0" applyNumberFormat="1" applyFill="1" applyBorder="1" applyAlignment="1" applyProtection="1">
      <alignment horizontal="center" vertical="center" wrapText="1"/>
    </xf>
    <xf numFmtId="17" fontId="2" fillId="4" borderId="26" xfId="0" applyNumberFormat="1" applyFont="1" applyFill="1" applyBorder="1" applyAlignment="1" applyProtection="1">
      <alignment horizontal="right" vertical="top" wrapText="1"/>
    </xf>
    <xf numFmtId="0" fontId="2" fillId="4" borderId="27" xfId="0" applyFont="1" applyFill="1" applyBorder="1" applyAlignment="1" applyProtection="1">
      <alignment horizontal="right" vertical="top" wrapText="1"/>
    </xf>
    <xf numFmtId="4" fontId="0" fillId="9" borderId="6" xfId="0" applyNumberFormat="1" applyFill="1" applyBorder="1" applyAlignment="1" applyProtection="1">
      <alignment horizontal="center" vertical="center" wrapText="1"/>
    </xf>
    <xf numFmtId="0" fontId="2" fillId="4" borderId="28" xfId="0" applyFont="1" applyFill="1" applyBorder="1" applyAlignment="1" applyProtection="1">
      <alignment horizontal="right" vertical="top" wrapText="1"/>
    </xf>
    <xf numFmtId="0" fontId="0" fillId="19" borderId="6" xfId="0" applyFill="1" applyBorder="1" applyAlignment="1" applyProtection="1">
      <alignment horizontal="center" vertical="center" wrapText="1"/>
    </xf>
    <xf numFmtId="0" fontId="2" fillId="0" borderId="0" xfId="0" applyFont="1" applyProtection="1"/>
    <xf numFmtId="169" fontId="0" fillId="0" borderId="6" xfId="0" applyNumberFormat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169" fontId="0" fillId="7" borderId="6" xfId="0" applyNumberFormat="1" applyFill="1" applyBorder="1" applyAlignment="1" applyProtection="1">
      <alignment horizontal="center" vertical="center" wrapText="1"/>
    </xf>
    <xf numFmtId="10" fontId="0" fillId="22" borderId="6" xfId="0" applyNumberFormat="1" applyFill="1" applyBorder="1" applyAlignment="1" applyProtection="1">
      <alignment horizontal="center" vertical="center" wrapText="1"/>
    </xf>
    <xf numFmtId="0" fontId="2" fillId="10" borderId="6" xfId="0" applyFont="1" applyFill="1" applyBorder="1" applyAlignment="1" applyProtection="1">
      <alignment horizontal="center" vertical="center" wrapText="1"/>
    </xf>
    <xf numFmtId="4" fontId="0" fillId="19" borderId="6" xfId="0" applyNumberFormat="1" applyFill="1" applyBorder="1" applyAlignment="1" applyProtection="1">
      <alignment horizontal="center" vertical="center" wrapText="1"/>
    </xf>
    <xf numFmtId="169" fontId="0" fillId="17" borderId="6" xfId="0" applyNumberFormat="1" applyFill="1" applyBorder="1" applyAlignment="1" applyProtection="1">
      <alignment horizontal="center" vertical="center" wrapText="1"/>
    </xf>
    <xf numFmtId="0" fontId="0" fillId="7" borderId="20" xfId="0" applyFill="1" applyBorder="1" applyAlignment="1" applyProtection="1">
      <alignment horizontal="center" vertical="center" wrapText="1"/>
    </xf>
    <xf numFmtId="0" fontId="0" fillId="19" borderId="29" xfId="0" applyFill="1" applyBorder="1" applyAlignment="1" applyProtection="1">
      <alignment horizontal="center" vertical="center" wrapText="1"/>
    </xf>
    <xf numFmtId="0" fontId="0" fillId="19" borderId="21" xfId="0" applyFill="1" applyBorder="1" applyAlignment="1" applyProtection="1">
      <alignment horizontal="center" vertical="center" wrapText="1"/>
    </xf>
    <xf numFmtId="169" fontId="0" fillId="19" borderId="30" xfId="0" applyNumberFormat="1" applyFill="1" applyBorder="1" applyAlignment="1" applyProtection="1">
      <alignment horizontal="center" vertical="center" wrapText="1"/>
    </xf>
    <xf numFmtId="0" fontId="0" fillId="0" borderId="31" xfId="0" applyBorder="1" applyAlignment="1" applyProtection="1">
      <alignment horizontal="center" vertical="center" wrapText="1"/>
    </xf>
    <xf numFmtId="0" fontId="0" fillId="0" borderId="32" xfId="0" applyBorder="1" applyAlignment="1" applyProtection="1">
      <alignment horizontal="center" vertical="center" wrapText="1"/>
    </xf>
    <xf numFmtId="0" fontId="0" fillId="0" borderId="33" xfId="0" applyBorder="1" applyAlignment="1" applyProtection="1">
      <alignment horizontal="center" vertical="center" wrapText="1"/>
    </xf>
    <xf numFmtId="169" fontId="0" fillId="0" borderId="34" xfId="0" applyNumberFormat="1" applyBorder="1" applyAlignment="1" applyProtection="1">
      <alignment horizontal="center" vertical="center" wrapText="1"/>
    </xf>
    <xf numFmtId="0" fontId="0" fillId="0" borderId="29" xfId="0" applyBorder="1" applyAlignment="1" applyProtection="1">
      <alignment horizontal="center" vertical="center" wrapText="1"/>
    </xf>
    <xf numFmtId="0" fontId="0" fillId="0" borderId="35" xfId="0" applyBorder="1" applyAlignment="1" applyProtection="1">
      <alignment horizontal="center" vertical="center" wrapText="1"/>
    </xf>
    <xf numFmtId="17" fontId="0" fillId="0" borderId="21" xfId="0" applyNumberFormat="1" applyBorder="1" applyAlignment="1" applyProtection="1">
      <alignment horizontal="center" vertical="center" wrapText="1"/>
    </xf>
    <xf numFmtId="168" fontId="0" fillId="19" borderId="6" xfId="0" applyNumberFormat="1" applyFill="1" applyBorder="1" applyAlignment="1" applyProtection="1">
      <alignment horizontal="center" vertical="center" wrapText="1"/>
    </xf>
    <xf numFmtId="3" fontId="0" fillId="19" borderId="6" xfId="0" applyNumberFormat="1" applyFill="1" applyBorder="1" applyAlignment="1" applyProtection="1">
      <alignment horizontal="center" vertical="center" wrapText="1"/>
    </xf>
    <xf numFmtId="0" fontId="17" fillId="4" borderId="6" xfId="0" applyFont="1" applyFill="1" applyBorder="1" applyAlignment="1" applyProtection="1">
      <alignment horizontal="center" vertical="center" wrapText="1"/>
    </xf>
    <xf numFmtId="10" fontId="18" fillId="4" borderId="6" xfId="0" applyNumberFormat="1" applyFont="1" applyFill="1" applyBorder="1" applyAlignment="1" applyProtection="1">
      <alignment horizontal="center" vertical="center" wrapText="1"/>
    </xf>
    <xf numFmtId="169" fontId="18" fillId="4" borderId="6" xfId="0" applyNumberFormat="1" applyFont="1" applyFill="1" applyBorder="1" applyAlignment="1" applyProtection="1">
      <alignment horizontal="center" vertical="center" wrapText="1"/>
    </xf>
    <xf numFmtId="4" fontId="0" fillId="4" borderId="6" xfId="0" applyNumberFormat="1" applyFill="1" applyBorder="1" applyAlignment="1" applyProtection="1">
      <alignment horizontal="center" vertical="center" wrapText="1"/>
    </xf>
    <xf numFmtId="0" fontId="0" fillId="4" borderId="6" xfId="0" applyFill="1" applyBorder="1" applyAlignment="1" applyProtection="1">
      <alignment horizontal="center" vertical="center" wrapText="1"/>
    </xf>
    <xf numFmtId="49" fontId="2" fillId="7" borderId="6" xfId="0" applyNumberFormat="1" applyFont="1" applyFill="1" applyBorder="1" applyAlignment="1" applyProtection="1">
      <alignment horizontal="center" vertical="center" wrapText="1"/>
      <protection locked="0"/>
    </xf>
    <xf numFmtId="0" fontId="2" fillId="20" borderId="6" xfId="0" applyFont="1" applyFill="1" applyBorder="1" applyAlignment="1" applyProtection="1">
      <alignment horizontal="center" vertical="center" wrapText="1"/>
    </xf>
    <xf numFmtId="4" fontId="0" fillId="24" borderId="6" xfId="0" applyNumberFormat="1" applyFill="1" applyBorder="1" applyAlignment="1" applyProtection="1">
      <alignment horizontal="center" vertical="center" wrapText="1"/>
    </xf>
    <xf numFmtId="49" fontId="0" fillId="7" borderId="6" xfId="0" applyNumberFormat="1" applyFill="1" applyBorder="1" applyAlignment="1" applyProtection="1">
      <alignment horizontal="center" vertical="center" wrapText="1"/>
      <protection locked="0"/>
    </xf>
    <xf numFmtId="0" fontId="18" fillId="0" borderId="6" xfId="0" applyFont="1" applyBorder="1" applyAlignment="1" applyProtection="1">
      <alignment horizontal="center" vertical="center" wrapText="1"/>
      <protection hidden="1"/>
    </xf>
    <xf numFmtId="0" fontId="18" fillId="0" borderId="6" xfId="0" applyFont="1" applyBorder="1" applyAlignment="1" applyProtection="1">
      <alignment horizontal="center" vertical="center" wrapText="1"/>
    </xf>
    <xf numFmtId="0" fontId="18" fillId="23" borderId="6" xfId="0" applyFont="1" applyFill="1" applyBorder="1" applyAlignment="1" applyProtection="1">
      <alignment horizontal="center" vertical="center" wrapText="1"/>
      <protection hidden="1"/>
    </xf>
    <xf numFmtId="0" fontId="0" fillId="0" borderId="36" xfId="0" applyBorder="1" applyAlignment="1" applyProtection="1">
      <alignment horizontal="center" vertical="center" wrapText="1"/>
    </xf>
    <xf numFmtId="0" fontId="21" fillId="0" borderId="37" xfId="0" applyFont="1" applyBorder="1" applyAlignment="1" applyProtection="1">
      <alignment horizontal="center" vertical="center" wrapText="1"/>
    </xf>
    <xf numFmtId="0" fontId="0" fillId="0" borderId="38" xfId="0" applyBorder="1" applyAlignment="1" applyProtection="1">
      <alignment horizontal="center" vertical="center" wrapText="1"/>
    </xf>
    <xf numFmtId="0" fontId="0" fillId="0" borderId="6" xfId="0" applyBorder="1" applyAlignment="1" applyProtection="1">
      <alignment horizontal="center" vertical="center" wrapText="1"/>
      <protection hidden="1"/>
    </xf>
    <xf numFmtId="0" fontId="0" fillId="0" borderId="39" xfId="0" applyBorder="1" applyAlignment="1" applyProtection="1">
      <alignment horizontal="center" vertical="center" wrapText="1"/>
    </xf>
    <xf numFmtId="0" fontId="0" fillId="25" borderId="6" xfId="0" applyFill="1" applyBorder="1" applyAlignment="1" applyProtection="1">
      <alignment horizontal="center" vertical="center" wrapText="1"/>
    </xf>
    <xf numFmtId="0" fontId="0" fillId="26" borderId="6" xfId="0" applyFill="1" applyBorder="1" applyAlignment="1" applyProtection="1">
      <alignment horizontal="center" vertical="center" wrapText="1"/>
    </xf>
    <xf numFmtId="0" fontId="0" fillId="27" borderId="6" xfId="0" applyFill="1" applyBorder="1" applyAlignment="1" applyProtection="1">
      <alignment horizontal="center" vertical="center" wrapText="1"/>
    </xf>
    <xf numFmtId="0" fontId="0" fillId="16" borderId="6" xfId="0" applyFill="1" applyBorder="1" applyAlignment="1" applyProtection="1">
      <alignment horizontal="center" vertical="center" wrapText="1"/>
    </xf>
    <xf numFmtId="0" fontId="0" fillId="28" borderId="6" xfId="0" applyFill="1" applyBorder="1" applyAlignment="1" applyProtection="1">
      <alignment horizontal="center" vertical="center" wrapText="1"/>
    </xf>
    <xf numFmtId="0" fontId="0" fillId="29" borderId="6" xfId="0" applyFill="1" applyBorder="1" applyAlignment="1" applyProtection="1">
      <alignment horizontal="center" vertical="center" wrapText="1"/>
    </xf>
    <xf numFmtId="0" fontId="0" fillId="30" borderId="6" xfId="0" applyFill="1" applyBorder="1" applyAlignment="1" applyProtection="1">
      <alignment horizontal="center" vertical="center" wrapText="1"/>
    </xf>
    <xf numFmtId="0" fontId="0" fillId="30" borderId="8" xfId="0" applyFill="1" applyBorder="1" applyAlignment="1" applyProtection="1">
      <alignment horizontal="center" vertical="center" wrapText="1"/>
    </xf>
    <xf numFmtId="0" fontId="0" fillId="30" borderId="12" xfId="0" applyFill="1" applyBorder="1" applyAlignment="1" applyProtection="1">
      <alignment horizontal="center" vertical="center" wrapText="1"/>
    </xf>
    <xf numFmtId="0" fontId="17" fillId="33" borderId="6" xfId="0" applyFont="1" applyFill="1" applyBorder="1" applyAlignment="1" applyProtection="1">
      <alignment horizontal="center" vertical="center" wrapText="1"/>
    </xf>
    <xf numFmtId="4" fontId="17" fillId="33" borderId="6" xfId="0" applyNumberFormat="1" applyFont="1" applyFill="1" applyBorder="1" applyAlignment="1" applyProtection="1">
      <alignment horizontal="center" vertical="center" wrapText="1"/>
    </xf>
    <xf numFmtId="169" fontId="19" fillId="28" borderId="25" xfId="0" applyNumberFormat="1" applyFont="1" applyFill="1" applyBorder="1" applyAlignment="1" applyProtection="1">
      <alignment horizontal="center" vertical="center" wrapText="1"/>
    </xf>
    <xf numFmtId="169" fontId="17" fillId="28" borderId="25" xfId="0" applyNumberFormat="1" applyFont="1" applyFill="1" applyBorder="1" applyAlignment="1" applyProtection="1">
      <alignment horizontal="center" vertical="center" wrapText="1"/>
    </xf>
    <xf numFmtId="172" fontId="0" fillId="16" borderId="6" xfId="0" applyNumberFormat="1" applyFill="1" applyBorder="1" applyAlignment="1" applyProtection="1">
      <alignment horizontal="center" vertical="center" wrapText="1"/>
    </xf>
    <xf numFmtId="0" fontId="2" fillId="27" borderId="6" xfId="0" applyFont="1" applyFill="1" applyBorder="1" applyAlignment="1" applyProtection="1">
      <alignment horizontal="center" vertical="center" wrapText="1"/>
    </xf>
    <xf numFmtId="0" fontId="0" fillId="25" borderId="6" xfId="0" applyFill="1" applyBorder="1" applyAlignment="1" applyProtection="1">
      <alignment horizontal="center" vertical="center" shrinkToFit="1"/>
    </xf>
    <xf numFmtId="0" fontId="0" fillId="32" borderId="6" xfId="0" applyFill="1" applyBorder="1" applyAlignment="1" applyProtection="1">
      <alignment horizontal="center" vertical="center" wrapText="1"/>
    </xf>
    <xf numFmtId="3" fontId="18" fillId="16" borderId="6" xfId="0" applyNumberFormat="1" applyFont="1" applyFill="1" applyBorder="1" applyAlignment="1" applyProtection="1">
      <alignment horizontal="center" vertical="center" wrapText="1"/>
    </xf>
    <xf numFmtId="0" fontId="0" fillId="35" borderId="6" xfId="0" applyFill="1" applyBorder="1" applyAlignment="1" applyProtection="1">
      <alignment horizontal="center" vertical="center" wrapText="1"/>
    </xf>
    <xf numFmtId="169" fontId="20" fillId="36" borderId="6" xfId="0" applyNumberFormat="1" applyFont="1" applyFill="1" applyBorder="1" applyAlignment="1" applyProtection="1">
      <alignment horizontal="center" vertical="center" wrapText="1"/>
    </xf>
    <xf numFmtId="0" fontId="0" fillId="37" borderId="6" xfId="0" applyFill="1" applyBorder="1" applyAlignment="1" applyProtection="1">
      <alignment horizontal="center" vertical="center" wrapText="1"/>
    </xf>
    <xf numFmtId="169" fontId="0" fillId="2" borderId="6" xfId="0" applyNumberFormat="1" applyFill="1" applyBorder="1" applyAlignment="1" applyProtection="1">
      <alignment horizontal="center" vertical="center" wrapText="1"/>
    </xf>
    <xf numFmtId="0" fontId="0" fillId="34" borderId="6" xfId="0" applyFill="1" applyBorder="1" applyAlignment="1" applyProtection="1">
      <alignment horizontal="center" vertical="center" wrapText="1"/>
    </xf>
    <xf numFmtId="0" fontId="0" fillId="38" borderId="6" xfId="0" applyFill="1" applyBorder="1" applyAlignment="1" applyProtection="1">
      <alignment horizontal="center" vertical="center" wrapText="1"/>
    </xf>
    <xf numFmtId="169" fontId="0" fillId="39" borderId="6" xfId="0" applyNumberFormat="1" applyFill="1" applyBorder="1" applyAlignment="1" applyProtection="1">
      <alignment horizontal="center" vertical="center" wrapText="1"/>
    </xf>
    <xf numFmtId="0" fontId="0" fillId="39" borderId="6" xfId="0" applyFill="1" applyBorder="1" applyAlignment="1" applyProtection="1">
      <alignment horizontal="center" vertical="center" wrapText="1"/>
    </xf>
    <xf numFmtId="169" fontId="0" fillId="31" borderId="6" xfId="0" applyNumberFormat="1" applyFill="1" applyBorder="1" applyAlignment="1" applyProtection="1">
      <alignment horizontal="center" vertical="center" wrapText="1"/>
    </xf>
    <xf numFmtId="4" fontId="0" fillId="31" borderId="6" xfId="0" applyNumberFormat="1" applyFill="1" applyBorder="1" applyAlignment="1" applyProtection="1">
      <alignment horizontal="center" vertical="center" wrapText="1"/>
    </xf>
    <xf numFmtId="0" fontId="22" fillId="0" borderId="0" xfId="0" applyFont="1" applyBorder="1"/>
    <xf numFmtId="0" fontId="23" fillId="0" borderId="0" xfId="0" applyFont="1" applyBorder="1" applyAlignment="1">
      <alignment horizontal="left" vertical="center"/>
    </xf>
    <xf numFmtId="0" fontId="22" fillId="0" borderId="0" xfId="0" applyFont="1" applyBorder="1" applyAlignment="1">
      <alignment horizontal="center"/>
    </xf>
    <xf numFmtId="0" fontId="24" fillId="0" borderId="0" xfId="0" applyFont="1" applyBorder="1" applyAlignment="1">
      <alignment horizontal="center" vertical="center"/>
    </xf>
    <xf numFmtId="0" fontId="7" fillId="0" borderId="0" xfId="0" applyFont="1" applyBorder="1"/>
    <xf numFmtId="0" fontId="7" fillId="0" borderId="0" xfId="0" applyFont="1" applyBorder="1" applyAlignment="1">
      <alignment readingOrder="2"/>
    </xf>
    <xf numFmtId="0" fontId="7" fillId="0" borderId="0" xfId="0" applyFont="1" applyBorder="1" applyAlignment="1">
      <alignment horizontal="center" readingOrder="2"/>
    </xf>
    <xf numFmtId="173" fontId="7" fillId="0" borderId="0" xfId="0" applyNumberFormat="1" applyFont="1" applyBorder="1" applyAlignment="1">
      <alignment horizontal="center" readingOrder="2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8" fillId="0" borderId="0" xfId="0" applyFont="1" applyBorder="1" applyAlignment="1"/>
    <xf numFmtId="0" fontId="24" fillId="7" borderId="40" xfId="0" applyFont="1" applyFill="1" applyBorder="1" applyAlignment="1">
      <alignment horizontal="center" vertical="center" wrapText="1" readingOrder="2"/>
    </xf>
    <xf numFmtId="0" fontId="24" fillId="7" borderId="40" xfId="0" applyFont="1" applyFill="1" applyBorder="1" applyAlignment="1">
      <alignment vertical="center" wrapText="1" readingOrder="2"/>
    </xf>
    <xf numFmtId="0" fontId="24" fillId="7" borderId="41" xfId="2" applyNumberFormat="1" applyFont="1" applyFill="1" applyBorder="1" applyAlignment="1">
      <alignment horizontal="center" vertical="center" wrapText="1" readingOrder="2"/>
    </xf>
    <xf numFmtId="174" fontId="24" fillId="7" borderId="42" xfId="2" applyNumberFormat="1" applyFont="1" applyFill="1" applyBorder="1" applyAlignment="1">
      <alignment horizontal="center" vertical="center" wrapText="1" readingOrder="2"/>
    </xf>
    <xf numFmtId="174" fontId="24" fillId="7" borderId="43" xfId="2" applyNumberFormat="1" applyFont="1" applyFill="1" applyBorder="1" applyAlignment="1">
      <alignment horizontal="center" vertical="center" wrapText="1" readingOrder="2"/>
    </xf>
    <xf numFmtId="174" fontId="24" fillId="7" borderId="40" xfId="2" applyNumberFormat="1" applyFont="1" applyFill="1" applyBorder="1" applyAlignment="1">
      <alignment horizontal="center" vertical="center" wrapText="1" readingOrder="2"/>
    </xf>
    <xf numFmtId="3" fontId="7" fillId="4" borderId="45" xfId="2" applyNumberFormat="1" applyFont="1" applyFill="1" applyBorder="1" applyAlignment="1">
      <alignment horizontal="center" vertical="center" wrapText="1" readingOrder="2"/>
    </xf>
    <xf numFmtId="175" fontId="7" fillId="4" borderId="45" xfId="2" applyNumberFormat="1" applyFont="1" applyFill="1" applyBorder="1" applyAlignment="1">
      <alignment horizontal="center" vertical="center" wrapText="1" readingOrder="2"/>
    </xf>
    <xf numFmtId="0" fontId="25" fillId="0" borderId="47" xfId="0" applyFont="1" applyBorder="1" applyAlignment="1">
      <alignment vertical="center" wrapText="1" readingOrder="2"/>
    </xf>
    <xf numFmtId="0" fontId="26" fillId="0" borderId="48" xfId="0" applyFont="1" applyBorder="1" applyAlignment="1">
      <alignment vertical="center" wrapText="1"/>
    </xf>
    <xf numFmtId="0" fontId="26" fillId="0" borderId="49" xfId="0" applyFont="1" applyBorder="1" applyAlignment="1">
      <alignment horizontal="center" vertical="center" wrapText="1"/>
    </xf>
    <xf numFmtId="0" fontId="26" fillId="0" borderId="50" xfId="0" applyFont="1" applyBorder="1" applyAlignment="1">
      <alignment vertical="center" wrapText="1"/>
    </xf>
    <xf numFmtId="0" fontId="8" fillId="0" borderId="47" xfId="0" applyFont="1" applyBorder="1" applyAlignment="1">
      <alignment horizontal="center" wrapText="1"/>
    </xf>
    <xf numFmtId="3" fontId="24" fillId="0" borderId="47" xfId="0" applyNumberFormat="1" applyFont="1" applyBorder="1" applyAlignment="1">
      <alignment horizontal="center" vertical="center" wrapText="1" readingOrder="2"/>
    </xf>
    <xf numFmtId="3" fontId="24" fillId="0" borderId="47" xfId="0" applyNumberFormat="1" applyFont="1" applyBorder="1" applyAlignment="1">
      <alignment horizontal="center" vertical="center" wrapText="1"/>
    </xf>
    <xf numFmtId="0" fontId="8" fillId="0" borderId="51" xfId="0" applyFont="1" applyBorder="1" applyAlignment="1">
      <alignment wrapText="1"/>
    </xf>
    <xf numFmtId="0" fontId="8" fillId="0" borderId="51" xfId="0" applyFont="1" applyBorder="1" applyAlignment="1">
      <alignment horizontal="center" wrapText="1"/>
    </xf>
    <xf numFmtId="3" fontId="24" fillId="0" borderId="51" xfId="0" applyNumberFormat="1" applyFont="1" applyBorder="1" applyAlignment="1">
      <alignment horizontal="center" vertical="center" wrapText="1"/>
    </xf>
    <xf numFmtId="174" fontId="25" fillId="0" borderId="51" xfId="2" applyNumberFormat="1" applyFont="1" applyBorder="1" applyAlignment="1">
      <alignment horizontal="center" vertical="center" wrapText="1"/>
    </xf>
    <xf numFmtId="0" fontId="8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Border="1" applyAlignment="1" applyProtection="1">
      <alignment horizontal="center"/>
    </xf>
    <xf numFmtId="0" fontId="27" fillId="0" borderId="53" xfId="0" applyFont="1" applyBorder="1" applyAlignment="1">
      <alignment horizontal="center" vertical="center"/>
    </xf>
    <xf numFmtId="0" fontId="27" fillId="0" borderId="54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4" fillId="7" borderId="55" xfId="0" applyFont="1" applyFill="1" applyBorder="1" applyAlignment="1">
      <alignment horizontal="center" vertical="center" wrapText="1" readingOrder="2"/>
    </xf>
    <xf numFmtId="0" fontId="0" fillId="0" borderId="0" xfId="0" applyBorder="1"/>
    <xf numFmtId="0" fontId="8" fillId="7" borderId="2" xfId="0" applyFont="1" applyFill="1" applyBorder="1" applyAlignment="1">
      <alignment horizontal="center" vertical="center"/>
    </xf>
    <xf numFmtId="0" fontId="28" fillId="7" borderId="2" xfId="0" applyFont="1" applyFill="1" applyBorder="1" applyAlignment="1">
      <alignment vertical="center"/>
    </xf>
    <xf numFmtId="3" fontId="25" fillId="4" borderId="45" xfId="2" applyNumberFormat="1" applyFont="1" applyFill="1" applyBorder="1" applyAlignment="1">
      <alignment horizontal="center" vertical="center" wrapText="1" readingOrder="2"/>
    </xf>
    <xf numFmtId="0" fontId="25" fillId="4" borderId="45" xfId="2" applyNumberFormat="1" applyFont="1" applyFill="1" applyBorder="1" applyAlignment="1">
      <alignment horizontal="center" vertical="center" wrapText="1" readingOrder="2"/>
    </xf>
    <xf numFmtId="173" fontId="25" fillId="4" borderId="45" xfId="2" applyNumberFormat="1" applyFont="1" applyFill="1" applyBorder="1" applyAlignment="1">
      <alignment horizontal="center" vertical="center" wrapText="1" readingOrder="2"/>
    </xf>
    <xf numFmtId="0" fontId="29" fillId="0" borderId="2" xfId="0" applyFont="1" applyBorder="1" applyAlignment="1">
      <alignment horizontal="center" vertical="center" wrapText="1" readingOrder="2"/>
    </xf>
    <xf numFmtId="0" fontId="29" fillId="0" borderId="2" xfId="0" applyFont="1" applyBorder="1" applyAlignment="1">
      <alignment horizontal="right" vertical="center" wrapText="1" readingOrder="2"/>
    </xf>
    <xf numFmtId="0" fontId="0" fillId="0" borderId="46" xfId="0" applyBorder="1"/>
    <xf numFmtId="173" fontId="25" fillId="4" borderId="46" xfId="2" applyNumberFormat="1" applyFont="1" applyFill="1" applyBorder="1" applyAlignment="1">
      <alignment horizontal="center" vertical="center" wrapText="1" readingOrder="2"/>
    </xf>
    <xf numFmtId="3" fontId="24" fillId="4" borderId="47" xfId="2" applyNumberFormat="1" applyFont="1" applyFill="1" applyBorder="1" applyAlignment="1">
      <alignment horizontal="center" vertical="center" wrapText="1" readingOrder="2"/>
    </xf>
    <xf numFmtId="3" fontId="24" fillId="4" borderId="0" xfId="2" applyNumberFormat="1" applyFont="1" applyFill="1" applyBorder="1" applyAlignment="1">
      <alignment horizontal="center" vertical="center" wrapText="1" readingOrder="2"/>
    </xf>
    <xf numFmtId="0" fontId="10" fillId="0" borderId="0" xfId="0" applyFont="1" applyBorder="1" applyProtection="1"/>
    <xf numFmtId="0" fontId="10" fillId="0" borderId="56" xfId="0" applyFont="1" applyBorder="1" applyProtection="1"/>
    <xf numFmtId="173" fontId="25" fillId="4" borderId="0" xfId="2" applyNumberFormat="1" applyFont="1" applyFill="1" applyBorder="1" applyAlignment="1">
      <alignment horizontal="center" vertical="center" wrapText="1" readingOrder="2"/>
    </xf>
    <xf numFmtId="0" fontId="8" fillId="0" borderId="0" xfId="0" applyFont="1" applyBorder="1" applyAlignment="1">
      <alignment horizontal="center" vertical="center"/>
    </xf>
    <xf numFmtId="0" fontId="8" fillId="0" borderId="57" xfId="0" applyFont="1" applyBorder="1" applyAlignment="1">
      <alignment horizontal="center" vertical="center"/>
    </xf>
    <xf numFmtId="0" fontId="0" fillId="0" borderId="57" xfId="0" applyBorder="1"/>
    <xf numFmtId="0" fontId="2" fillId="4" borderId="2" xfId="0" applyFont="1" applyFill="1" applyBorder="1"/>
    <xf numFmtId="0" fontId="0" fillId="4" borderId="2" xfId="0" applyFill="1" applyBorder="1"/>
    <xf numFmtId="0" fontId="25" fillId="0" borderId="2" xfId="0" applyFont="1" applyBorder="1" applyAlignment="1">
      <alignment horizontal="center" vertical="center" wrapText="1" readingOrder="2"/>
    </xf>
    <xf numFmtId="0" fontId="25" fillId="0" borderId="2" xfId="0" applyFont="1" applyBorder="1" applyAlignment="1">
      <alignment horizontal="right" vertical="center" wrapText="1" readingOrder="2"/>
    </xf>
    <xf numFmtId="0" fontId="25" fillId="0" borderId="2" xfId="0" applyFont="1" applyBorder="1" applyAlignment="1">
      <alignment wrapText="1"/>
    </xf>
    <xf numFmtId="3" fontId="25" fillId="4" borderId="2" xfId="0" applyNumberFormat="1" applyFont="1" applyFill="1" applyBorder="1" applyAlignment="1">
      <alignment wrapText="1"/>
    </xf>
    <xf numFmtId="174" fontId="25" fillId="4" borderId="2" xfId="2" applyNumberFormat="1" applyFont="1" applyFill="1" applyBorder="1" applyAlignment="1">
      <alignment wrapText="1"/>
    </xf>
    <xf numFmtId="0" fontId="25" fillId="4" borderId="2" xfId="0" applyFont="1" applyFill="1" applyBorder="1" applyAlignment="1">
      <alignment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wrapText="1"/>
    </xf>
    <xf numFmtId="0" fontId="8" fillId="0" borderId="2" xfId="0" applyFont="1" applyBorder="1" applyAlignment="1">
      <alignment horizontal="center" vertical="center"/>
    </xf>
    <xf numFmtId="1" fontId="27" fillId="0" borderId="54" xfId="0" applyNumberFormat="1" applyFont="1" applyBorder="1" applyAlignment="1">
      <alignment horizontal="center" vertical="center"/>
    </xf>
    <xf numFmtId="1" fontId="25" fillId="4" borderId="0" xfId="2" applyNumberFormat="1" applyFont="1" applyFill="1" applyBorder="1" applyAlignment="1">
      <alignment horizontal="center" vertical="center" wrapText="1" readingOrder="2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10" xfId="0" applyBorder="1" applyAlignment="1" applyProtection="1">
      <alignment horizontal="center" vertical="center" wrapText="1"/>
    </xf>
    <xf numFmtId="3" fontId="24" fillId="4" borderId="47" xfId="2" applyNumberFormat="1" applyFont="1" applyFill="1" applyBorder="1" applyAlignment="1">
      <alignment horizontal="center" vertical="center" wrapText="1" readingOrder="2"/>
    </xf>
    <xf numFmtId="0" fontId="30" fillId="0" borderId="0" xfId="0" applyFont="1" applyAlignment="1">
      <alignment vertical="center" wrapText="1"/>
    </xf>
    <xf numFmtId="0" fontId="30" fillId="0" borderId="0" xfId="0" applyFont="1" applyAlignment="1">
      <alignment vertical="center"/>
    </xf>
    <xf numFmtId="0" fontId="30" fillId="0" borderId="0" xfId="0" applyFont="1" applyBorder="1" applyAlignment="1">
      <alignment vertical="center"/>
    </xf>
    <xf numFmtId="0" fontId="0" fillId="0" borderId="0" xfId="0" applyProtection="1">
      <protection hidden="1"/>
    </xf>
    <xf numFmtId="4" fontId="32" fillId="2" borderId="2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59" xfId="0" applyBorder="1"/>
    <xf numFmtId="0" fontId="0" fillId="0" borderId="60" xfId="0" applyBorder="1"/>
    <xf numFmtId="0" fontId="0" fillId="0" borderId="61" xfId="0" applyBorder="1"/>
    <xf numFmtId="4" fontId="0" fillId="0" borderId="2" xfId="0" applyNumberFormat="1" applyFill="1" applyBorder="1" applyAlignment="1" applyProtection="1">
      <alignment horizontal="center" vertical="center" wrapText="1"/>
      <protection hidden="1"/>
    </xf>
    <xf numFmtId="10" fontId="0" fillId="0" borderId="2" xfId="0" applyNumberFormat="1" applyFill="1" applyBorder="1" applyAlignment="1" applyProtection="1">
      <alignment horizontal="center" vertical="center" wrapText="1"/>
      <protection hidden="1"/>
    </xf>
    <xf numFmtId="165" fontId="0" fillId="0" borderId="2" xfId="0" applyNumberFormat="1" applyBorder="1" applyAlignment="1" applyProtection="1">
      <alignment horizontal="center" vertical="center" wrapText="1"/>
      <protection hidden="1"/>
    </xf>
    <xf numFmtId="0" fontId="0" fillId="0" borderId="0" xfId="0" applyAlignment="1">
      <alignment horizontal="left"/>
    </xf>
    <xf numFmtId="165" fontId="0" fillId="0" borderId="0" xfId="0" applyNumberFormat="1"/>
    <xf numFmtId="0" fontId="0" fillId="0" borderId="65" xfId="0" applyBorder="1"/>
    <xf numFmtId="0" fontId="0" fillId="0" borderId="2" xfId="0" applyBorder="1" applyAlignment="1">
      <alignment horizontal="left" vertical="center"/>
    </xf>
    <xf numFmtId="165" fontId="0" fillId="0" borderId="2" xfId="0" applyNumberFormat="1" applyBorder="1" applyAlignment="1">
      <alignment horizontal="center" vertical="center"/>
    </xf>
    <xf numFmtId="0" fontId="0" fillId="0" borderId="66" xfId="0" applyBorder="1"/>
    <xf numFmtId="166" fontId="0" fillId="0" borderId="0" xfId="0" applyNumberFormat="1"/>
    <xf numFmtId="166" fontId="0" fillId="0" borderId="2" xfId="0" applyNumberForma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  <xf numFmtId="165" fontId="32" fillId="0" borderId="2" xfId="0" applyNumberFormat="1" applyFont="1" applyBorder="1" applyProtection="1">
      <protection hidden="1"/>
    </xf>
    <xf numFmtId="4" fontId="0" fillId="0" borderId="0" xfId="0" applyNumberFormat="1" applyBorder="1"/>
    <xf numFmtId="165" fontId="0" fillId="0" borderId="2" xfId="0" applyNumberFormat="1" applyFill="1" applyBorder="1" applyAlignment="1">
      <alignment horizontal="center" vertical="center"/>
    </xf>
    <xf numFmtId="166" fontId="32" fillId="0" borderId="2" xfId="0" applyNumberFormat="1" applyFont="1" applyBorder="1" applyProtection="1">
      <protection hidden="1"/>
    </xf>
    <xf numFmtId="165" fontId="0" fillId="0" borderId="65" xfId="0" applyNumberFormat="1" applyBorder="1"/>
    <xf numFmtId="0" fontId="0" fillId="0" borderId="0" xfId="0" applyBorder="1" applyAlignment="1" applyProtection="1">
      <protection hidden="1"/>
    </xf>
    <xf numFmtId="166" fontId="0" fillId="0" borderId="0" xfId="0" applyNumberFormat="1" applyBorder="1"/>
    <xf numFmtId="14" fontId="0" fillId="2" borderId="2" xfId="0" applyNumberFormat="1" applyFill="1" applyBorder="1" applyAlignment="1">
      <alignment horizontal="center" vertical="center"/>
    </xf>
    <xf numFmtId="0" fontId="0" fillId="0" borderId="0" xfId="0" applyAlignment="1" applyProtection="1">
      <alignment vertical="top" wrapText="1"/>
      <protection hidden="1"/>
    </xf>
    <xf numFmtId="0" fontId="0" fillId="0" borderId="0" xfId="0" applyAlignment="1" applyProtection="1">
      <alignment vertical="top"/>
      <protection hidden="1"/>
    </xf>
    <xf numFmtId="0" fontId="0" fillId="2" borderId="2" xfId="0" applyFill="1" applyBorder="1" applyAlignment="1">
      <alignment horizontal="center" vertical="center"/>
    </xf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33" fillId="41" borderId="0" xfId="0" applyFont="1" applyFill="1" applyBorder="1"/>
    <xf numFmtId="169" fontId="34" fillId="0" borderId="0" xfId="0" applyNumberFormat="1" applyFont="1" applyAlignment="1" applyProtection="1">
      <alignment horizontal="center" vertical="center" wrapText="1"/>
    </xf>
    <xf numFmtId="169" fontId="35" fillId="0" borderId="0" xfId="0" applyNumberFormat="1" applyFont="1" applyAlignment="1" applyProtection="1">
      <alignment horizontal="center" vertical="center"/>
    </xf>
    <xf numFmtId="169" fontId="35" fillId="0" borderId="0" xfId="0" applyNumberFormat="1" applyFont="1" applyAlignment="1" applyProtection="1">
      <alignment horizontal="center" vertical="center" shrinkToFit="1"/>
    </xf>
    <xf numFmtId="169" fontId="35" fillId="17" borderId="0" xfId="0" applyNumberFormat="1" applyFont="1" applyFill="1" applyAlignment="1" applyProtection="1">
      <alignment horizontal="center" vertical="center"/>
    </xf>
    <xf numFmtId="169" fontId="35" fillId="42" borderId="0" xfId="0" applyNumberFormat="1" applyFont="1" applyFill="1" applyAlignment="1" applyProtection="1">
      <alignment horizontal="center" vertical="center"/>
    </xf>
    <xf numFmtId="169" fontId="35" fillId="0" borderId="0" xfId="0" applyNumberFormat="1" applyFont="1" applyAlignment="1" applyProtection="1">
      <alignment horizontal="center" vertical="center" wrapText="1"/>
    </xf>
    <xf numFmtId="0" fontId="8" fillId="0" borderId="2" xfId="0" applyFont="1" applyBorder="1" applyAlignment="1" applyProtection="1">
      <alignment horizontal="center" vertical="center"/>
    </xf>
    <xf numFmtId="2" fontId="8" fillId="0" borderId="2" xfId="0" applyNumberFormat="1" applyFont="1" applyBorder="1" applyAlignment="1" applyProtection="1">
      <alignment horizontal="center" vertical="center"/>
    </xf>
    <xf numFmtId="10" fontId="8" fillId="0" borderId="2" xfId="0" applyNumberFormat="1" applyFont="1" applyBorder="1" applyAlignment="1" applyProtection="1">
      <alignment horizontal="center" vertical="center"/>
    </xf>
    <xf numFmtId="169" fontId="8" fillId="0" borderId="2" xfId="0" applyNumberFormat="1" applyFont="1" applyBorder="1" applyAlignment="1" applyProtection="1">
      <alignment horizontal="center" vertical="center"/>
    </xf>
    <xf numFmtId="164" fontId="8" fillId="0" borderId="2" xfId="0" applyNumberFormat="1" applyFont="1" applyBorder="1" applyAlignment="1" applyProtection="1">
      <alignment horizontal="center" vertical="center"/>
    </xf>
    <xf numFmtId="169" fontId="37" fillId="26" borderId="2" xfId="0" applyNumberFormat="1" applyFont="1" applyFill="1" applyBorder="1" applyAlignment="1" applyProtection="1">
      <alignment horizontal="center" vertical="center"/>
    </xf>
    <xf numFmtId="169" fontId="38" fillId="26" borderId="2" xfId="0" applyNumberFormat="1" applyFont="1" applyFill="1" applyBorder="1" applyAlignment="1" applyProtection="1">
      <alignment horizontal="center" vertical="center"/>
    </xf>
    <xf numFmtId="169" fontId="36" fillId="26" borderId="2" xfId="0" applyNumberFormat="1" applyFont="1" applyFill="1" applyBorder="1" applyAlignment="1" applyProtection="1">
      <alignment horizontal="center" vertical="center"/>
    </xf>
    <xf numFmtId="169" fontId="35" fillId="23" borderId="0" xfId="0" applyNumberFormat="1" applyFont="1" applyFill="1" applyAlignment="1" applyProtection="1">
      <alignment horizontal="center" vertical="center" wrapText="1"/>
    </xf>
    <xf numFmtId="169" fontId="35" fillId="24" borderId="0" xfId="0" applyNumberFormat="1" applyFont="1" applyFill="1" applyAlignment="1" applyProtection="1">
      <alignment horizontal="center" vertical="center" wrapText="1"/>
    </xf>
    <xf numFmtId="169" fontId="35" fillId="6" borderId="0" xfId="0" applyNumberFormat="1" applyFont="1" applyFill="1" applyAlignment="1" applyProtection="1">
      <alignment horizontal="center" vertical="center" wrapText="1"/>
    </xf>
    <xf numFmtId="169" fontId="35" fillId="8" borderId="0" xfId="0" applyNumberFormat="1" applyFont="1" applyFill="1" applyAlignment="1" applyProtection="1">
      <alignment horizontal="center" vertical="center" wrapText="1"/>
    </xf>
    <xf numFmtId="169" fontId="35" fillId="42" borderId="0" xfId="0" applyNumberFormat="1" applyFont="1" applyFill="1" applyAlignment="1" applyProtection="1">
      <alignment horizontal="center" vertical="center" wrapText="1"/>
    </xf>
    <xf numFmtId="169" fontId="35" fillId="43" borderId="0" xfId="0" applyNumberFormat="1" applyFont="1" applyFill="1" applyAlignment="1" applyProtection="1">
      <alignment horizontal="center" vertical="center" wrapText="1"/>
    </xf>
    <xf numFmtId="169" fontId="35" fillId="23" borderId="0" xfId="0" applyNumberFormat="1" applyFont="1" applyFill="1" applyAlignment="1" applyProtection="1">
      <alignment horizontal="center" vertical="center"/>
    </xf>
    <xf numFmtId="169" fontId="35" fillId="24" borderId="0" xfId="0" applyNumberFormat="1" applyFont="1" applyFill="1" applyAlignment="1" applyProtection="1">
      <alignment horizontal="center" vertical="center"/>
    </xf>
    <xf numFmtId="169" fontId="35" fillId="6" borderId="0" xfId="0" applyNumberFormat="1" applyFont="1" applyFill="1" applyAlignment="1" applyProtection="1">
      <alignment horizontal="center" vertical="center"/>
    </xf>
    <xf numFmtId="169" fontId="35" fillId="8" borderId="0" xfId="0" applyNumberFormat="1" applyFont="1" applyFill="1" applyAlignment="1" applyProtection="1">
      <alignment horizontal="center" vertical="center"/>
    </xf>
    <xf numFmtId="169" fontId="35" fillId="43" borderId="0" xfId="0" applyNumberFormat="1" applyFont="1" applyFill="1" applyAlignment="1" applyProtection="1">
      <alignment horizontal="center" vertical="center"/>
    </xf>
    <xf numFmtId="169" fontId="35" fillId="25" borderId="0" xfId="0" applyNumberFormat="1" applyFont="1" applyFill="1" applyAlignment="1" applyProtection="1">
      <alignment horizontal="center" vertical="center" wrapText="1"/>
    </xf>
    <xf numFmtId="169" fontId="35" fillId="44" borderId="0" xfId="0" applyNumberFormat="1" applyFont="1" applyFill="1" applyAlignment="1" applyProtection="1">
      <alignment horizontal="center" vertical="center" wrapText="1"/>
    </xf>
    <xf numFmtId="169" fontId="35" fillId="16" borderId="0" xfId="0" applyNumberFormat="1" applyFont="1" applyFill="1" applyAlignment="1" applyProtection="1">
      <alignment horizontal="center" vertical="center" wrapText="1"/>
    </xf>
    <xf numFmtId="169" fontId="35" fillId="45" borderId="0" xfId="0" applyNumberFormat="1" applyFont="1" applyFill="1" applyAlignment="1" applyProtection="1">
      <alignment horizontal="center" vertical="center" wrapText="1"/>
    </xf>
    <xf numFmtId="169" fontId="35" fillId="26" borderId="0" xfId="0" applyNumberFormat="1" applyFont="1" applyFill="1" applyAlignment="1" applyProtection="1">
      <alignment horizontal="center" vertical="center"/>
    </xf>
    <xf numFmtId="169" fontId="35" fillId="26" borderId="6" xfId="0" applyNumberFormat="1" applyFont="1" applyFill="1" applyBorder="1" applyAlignment="1" applyProtection="1">
      <alignment horizontal="center" vertical="center" wrapText="1"/>
    </xf>
    <xf numFmtId="169" fontId="35" fillId="26" borderId="0" xfId="0" applyNumberFormat="1" applyFont="1" applyFill="1" applyAlignment="1">
      <alignment horizontal="center" vertical="center"/>
    </xf>
    <xf numFmtId="169" fontId="35" fillId="26" borderId="6" xfId="0" applyNumberFormat="1" applyFont="1" applyFill="1" applyBorder="1" applyAlignment="1" applyProtection="1">
      <alignment horizontal="center" vertical="center"/>
    </xf>
    <xf numFmtId="0" fontId="27" fillId="0" borderId="0" xfId="0" applyFont="1" applyBorder="1" applyAlignment="1">
      <alignment vertical="center"/>
    </xf>
    <xf numFmtId="0" fontId="0" fillId="0" borderId="0" xfId="0" applyBorder="1" applyProtection="1"/>
    <xf numFmtId="0" fontId="0" fillId="0" borderId="0" xfId="0" applyNumberFormat="1" applyBorder="1" applyProtection="1"/>
    <xf numFmtId="0" fontId="0" fillId="0" borderId="2" xfId="0" applyBorder="1" applyProtection="1"/>
    <xf numFmtId="0" fontId="24" fillId="7" borderId="44" xfId="0" applyFont="1" applyFill="1" applyBorder="1" applyAlignment="1">
      <alignment horizontal="center" vertical="center" wrapText="1" readingOrder="2"/>
    </xf>
    <xf numFmtId="0" fontId="24" fillId="7" borderId="70" xfId="0" applyFont="1" applyFill="1" applyBorder="1" applyAlignment="1">
      <alignment horizontal="center" vertical="center" wrapText="1" readingOrder="2"/>
    </xf>
    <xf numFmtId="0" fontId="39" fillId="0" borderId="0" xfId="0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173" fontId="7" fillId="4" borderId="45" xfId="2" applyNumberFormat="1" applyFont="1" applyFill="1" applyBorder="1" applyAlignment="1">
      <alignment horizontal="center" vertical="center" wrapText="1" readingOrder="2"/>
    </xf>
    <xf numFmtId="0" fontId="7" fillId="0" borderId="2" xfId="0" applyFont="1" applyBorder="1" applyProtection="1"/>
    <xf numFmtId="0" fontId="7" fillId="0" borderId="0" xfId="0" applyFont="1" applyBorder="1" applyProtection="1"/>
    <xf numFmtId="0" fontId="29" fillId="0" borderId="0" xfId="0" applyFont="1" applyBorder="1" applyProtection="1"/>
    <xf numFmtId="0" fontId="29" fillId="0" borderId="2" xfId="0" applyFont="1" applyBorder="1" applyProtection="1"/>
    <xf numFmtId="174" fontId="7" fillId="0" borderId="0" xfId="0" applyNumberFormat="1" applyFont="1" applyBorder="1" applyProtection="1"/>
    <xf numFmtId="0" fontId="7" fillId="0" borderId="46" xfId="0" applyFont="1" applyBorder="1" applyProtection="1"/>
    <xf numFmtId="0" fontId="29" fillId="0" borderId="46" xfId="0" applyFont="1" applyBorder="1" applyProtection="1"/>
    <xf numFmtId="3" fontId="24" fillId="4" borderId="48" xfId="2" applyNumberFormat="1" applyFont="1" applyFill="1" applyBorder="1" applyAlignment="1">
      <alignment horizontal="center" vertical="center" wrapText="1" readingOrder="2"/>
    </xf>
    <xf numFmtId="3" fontId="24" fillId="4" borderId="71" xfId="2" applyNumberFormat="1" applyFont="1" applyFill="1" applyBorder="1" applyAlignment="1">
      <alignment horizontal="center" vertical="center" wrapText="1" readingOrder="2"/>
    </xf>
    <xf numFmtId="0" fontId="10" fillId="0" borderId="72" xfId="0" applyFont="1" applyBorder="1" applyProtection="1"/>
    <xf numFmtId="0" fontId="10" fillId="0" borderId="73" xfId="0" applyFont="1" applyBorder="1" applyProtection="1"/>
    <xf numFmtId="0" fontId="10" fillId="0" borderId="74" xfId="0" applyFont="1" applyBorder="1" applyProtection="1"/>
    <xf numFmtId="3" fontId="24" fillId="4" borderId="75" xfId="2" applyNumberFormat="1" applyFont="1" applyFill="1" applyBorder="1" applyAlignment="1">
      <alignment horizontal="center" vertical="center" wrapText="1" readingOrder="2"/>
    </xf>
    <xf numFmtId="0" fontId="10" fillId="0" borderId="76" xfId="0" applyFont="1" applyBorder="1" applyProtection="1"/>
    <xf numFmtId="0" fontId="10" fillId="0" borderId="77" xfId="0" applyFont="1" applyBorder="1" applyProtection="1"/>
    <xf numFmtId="0" fontId="10" fillId="0" borderId="54" xfId="0" applyFont="1" applyBorder="1" applyProtection="1"/>
    <xf numFmtId="0" fontId="0" fillId="0" borderId="51" xfId="0" applyBorder="1" applyProtection="1"/>
    <xf numFmtId="0" fontId="39" fillId="0" borderId="0" xfId="0" applyFont="1" applyBorder="1" applyProtection="1"/>
    <xf numFmtId="173" fontId="39" fillId="0" borderId="0" xfId="0" applyNumberFormat="1" applyFont="1" applyBorder="1" applyProtection="1"/>
    <xf numFmtId="174" fontId="39" fillId="0" borderId="52" xfId="0" applyNumberFormat="1" applyFont="1" applyBorder="1" applyProtection="1"/>
    <xf numFmtId="0" fontId="0" fillId="0" borderId="52" xfId="0" applyBorder="1" applyProtection="1"/>
    <xf numFmtId="0" fontId="0" fillId="0" borderId="45" xfId="0" applyBorder="1" applyProtection="1"/>
    <xf numFmtId="0" fontId="0" fillId="0" borderId="5" xfId="0" applyBorder="1" applyProtection="1"/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169" fontId="0" fillId="42" borderId="6" xfId="0" applyNumberFormat="1" applyFill="1" applyBorder="1" applyAlignment="1" applyProtection="1">
      <alignment horizontal="center" vertical="center"/>
    </xf>
    <xf numFmtId="0" fontId="0" fillId="14" borderId="6" xfId="0" applyFill="1" applyBorder="1" applyAlignment="1" applyProtection="1">
      <alignment horizontal="center" vertical="center"/>
    </xf>
    <xf numFmtId="169" fontId="0" fillId="14" borderId="6" xfId="0" applyNumberForma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 shrinkToFit="1"/>
    </xf>
    <xf numFmtId="0" fontId="0" fillId="9" borderId="6" xfId="0" applyFill="1" applyBorder="1" applyAlignment="1" applyProtection="1">
      <alignment horizontal="center" vertical="center" wrapText="1"/>
    </xf>
    <xf numFmtId="4" fontId="0" fillId="17" borderId="6" xfId="0" applyNumberFormat="1" applyFill="1" applyBorder="1" applyAlignment="1" applyProtection="1">
      <alignment horizontal="center" vertical="center" wrapText="1"/>
    </xf>
    <xf numFmtId="3" fontId="0" fillId="4" borderId="6" xfId="0" applyNumberFormat="1" applyFill="1" applyBorder="1" applyAlignment="1" applyProtection="1">
      <alignment horizontal="center" vertical="center" wrapText="1"/>
    </xf>
    <xf numFmtId="4" fontId="0" fillId="0" borderId="6" xfId="0" applyNumberFormat="1" applyBorder="1" applyAlignment="1" applyProtection="1">
      <alignment horizontal="center" vertical="center" wrapText="1"/>
    </xf>
    <xf numFmtId="169" fontId="0" fillId="4" borderId="6" xfId="0" applyNumberFormat="1" applyFill="1" applyBorder="1" applyAlignment="1" applyProtection="1">
      <alignment horizontal="center" vertical="center" wrapText="1"/>
    </xf>
    <xf numFmtId="2" fontId="0" fillId="46" borderId="6" xfId="0" applyNumberFormat="1" applyFill="1" applyBorder="1" applyAlignment="1" applyProtection="1">
      <alignment horizontal="center" vertical="center" wrapText="1"/>
    </xf>
    <xf numFmtId="10" fontId="0" fillId="4" borderId="6" xfId="0" applyNumberFormat="1" applyFill="1" applyBorder="1" applyAlignment="1" applyProtection="1">
      <alignment horizontal="center" vertical="center" wrapText="1"/>
    </xf>
    <xf numFmtId="0" fontId="47" fillId="49" borderId="0" xfId="0" applyFont="1" applyFill="1" applyAlignment="1" applyProtection="1">
      <alignment horizontal="center" vertical="center"/>
    </xf>
    <xf numFmtId="14" fontId="0" fillId="11" borderId="6" xfId="0" applyNumberFormat="1" applyFill="1" applyBorder="1" applyAlignment="1" applyProtection="1">
      <alignment horizontal="center" vertical="center" wrapText="1"/>
    </xf>
    <xf numFmtId="4" fontId="0" fillId="20" borderId="6" xfId="0" applyNumberFormat="1" applyFill="1" applyBorder="1" applyAlignment="1" applyProtection="1">
      <alignment horizontal="center" vertical="center" wrapText="1"/>
    </xf>
    <xf numFmtId="4" fontId="0" fillId="11" borderId="6" xfId="0" applyNumberFormat="1" applyFill="1" applyBorder="1" applyAlignment="1" applyProtection="1">
      <alignment horizontal="center" vertical="center" wrapText="1"/>
    </xf>
    <xf numFmtId="169" fontId="0" fillId="9" borderId="6" xfId="0" applyNumberFormat="1" applyFill="1" applyBorder="1" applyAlignment="1" applyProtection="1">
      <alignment horizontal="center" vertical="center" wrapText="1"/>
    </xf>
    <xf numFmtId="3" fontId="0" fillId="17" borderId="0" xfId="0" applyNumberFormat="1" applyFill="1" applyAlignment="1" applyProtection="1">
      <alignment horizontal="center" vertical="center"/>
    </xf>
    <xf numFmtId="4" fontId="0" fillId="50" borderId="6" xfId="0" applyNumberFormat="1" applyFill="1" applyBorder="1" applyAlignment="1" applyProtection="1">
      <alignment horizontal="center" vertical="center" wrapText="1"/>
    </xf>
    <xf numFmtId="10" fontId="0" fillId="50" borderId="6" xfId="0" applyNumberFormat="1" applyFill="1" applyBorder="1" applyAlignment="1" applyProtection="1">
      <alignment horizontal="center" vertical="center" wrapText="1"/>
    </xf>
    <xf numFmtId="4" fontId="0" fillId="43" borderId="0" xfId="0" applyNumberFormat="1" applyFill="1" applyAlignment="1" applyProtection="1">
      <alignment horizontal="center" vertical="center"/>
    </xf>
    <xf numFmtId="2" fontId="0" fillId="9" borderId="6" xfId="0" applyNumberFormat="1" applyFill="1" applyBorder="1" applyAlignment="1" applyProtection="1">
      <alignment horizontal="center" vertical="center" wrapText="1"/>
    </xf>
    <xf numFmtId="0" fontId="0" fillId="11" borderId="6" xfId="0" applyFill="1" applyBorder="1" applyAlignment="1" applyProtection="1">
      <alignment horizontal="center" vertical="center" wrapText="1"/>
    </xf>
    <xf numFmtId="3" fontId="0" fillId="0" borderId="6" xfId="0" applyNumberFormat="1" applyBorder="1" applyAlignment="1" applyProtection="1">
      <alignment horizontal="center" vertical="center" wrapText="1"/>
    </xf>
    <xf numFmtId="3" fontId="0" fillId="9" borderId="6" xfId="0" applyNumberFormat="1" applyFill="1" applyBorder="1" applyAlignment="1" applyProtection="1">
      <alignment horizontal="center" vertical="center" wrapText="1"/>
    </xf>
    <xf numFmtId="3" fontId="0" fillId="48" borderId="6" xfId="0" applyNumberFormat="1" applyFill="1" applyBorder="1" applyAlignment="1" applyProtection="1">
      <alignment horizontal="center" vertical="center" wrapText="1"/>
    </xf>
    <xf numFmtId="169" fontId="44" fillId="8" borderId="6" xfId="0" applyNumberFormat="1" applyFont="1" applyFill="1" applyBorder="1" applyAlignment="1" applyProtection="1">
      <alignment horizontal="center" vertical="center" wrapText="1"/>
    </xf>
    <xf numFmtId="4" fontId="0" fillId="17" borderId="6" xfId="0" applyNumberFormat="1" applyFill="1" applyBorder="1" applyAlignment="1" applyProtection="1">
      <alignment horizontal="center" vertical="center" shrinkToFit="1"/>
    </xf>
    <xf numFmtId="169" fontId="0" fillId="11" borderId="6" xfId="0" applyNumberFormat="1" applyFill="1" applyBorder="1" applyAlignment="1" applyProtection="1">
      <alignment horizontal="center" vertical="center" wrapText="1"/>
    </xf>
    <xf numFmtId="169" fontId="0" fillId="0" borderId="0" xfId="0" applyNumberFormat="1" applyAlignment="1" applyProtection="1">
      <alignment horizontal="center" vertical="center"/>
    </xf>
    <xf numFmtId="169" fontId="0" fillId="42" borderId="6" xfId="0" applyNumberFormat="1" applyFill="1" applyBorder="1" applyAlignment="1" applyProtection="1">
      <alignment horizontal="center" vertical="center" wrapText="1"/>
    </xf>
    <xf numFmtId="4" fontId="44" fillId="48" borderId="6" xfId="0" applyNumberFormat="1" applyFont="1" applyFill="1" applyBorder="1" applyAlignment="1" applyProtection="1">
      <alignment horizontal="center" vertical="center" wrapText="1"/>
    </xf>
    <xf numFmtId="4" fontId="44" fillId="8" borderId="6" xfId="0" applyNumberFormat="1" applyFont="1" applyFill="1" applyBorder="1" applyAlignment="1" applyProtection="1">
      <alignment horizontal="center" vertical="center" wrapText="1"/>
    </xf>
    <xf numFmtId="0" fontId="49" fillId="0" borderId="80" xfId="0" applyFont="1" applyBorder="1" applyAlignment="1" applyProtection="1">
      <alignment horizontal="center" vertical="center" wrapText="1"/>
    </xf>
    <xf numFmtId="0" fontId="0" fillId="0" borderId="81" xfId="0" applyBorder="1" applyAlignment="1" applyProtection="1">
      <alignment horizontal="center" vertical="center" wrapText="1"/>
    </xf>
    <xf numFmtId="0" fontId="0" fillId="0" borderId="82" xfId="0" applyBorder="1" applyAlignment="1" applyProtection="1">
      <alignment horizontal="center" vertical="center" wrapText="1"/>
    </xf>
    <xf numFmtId="0" fontId="0" fillId="0" borderId="30" xfId="0" applyBorder="1" applyAlignment="1" applyProtection="1">
      <alignment horizontal="center" vertical="center" wrapText="1"/>
    </xf>
    <xf numFmtId="0" fontId="0" fillId="0" borderId="78" xfId="0" applyBorder="1" applyAlignment="1" applyProtection="1">
      <alignment horizontal="center" vertical="center" wrapText="1"/>
    </xf>
    <xf numFmtId="0" fontId="0" fillId="0" borderId="83" xfId="0" applyBorder="1" applyAlignment="1" applyProtection="1">
      <alignment horizontal="center" vertical="center" wrapText="1"/>
    </xf>
    <xf numFmtId="0" fontId="0" fillId="14" borderId="85" xfId="0" applyFill="1" applyBorder="1" applyAlignment="1" applyProtection="1">
      <alignment horizontal="center" vertical="center"/>
    </xf>
    <xf numFmtId="4" fontId="0" fillId="14" borderId="85" xfId="0" applyNumberFormat="1" applyFill="1" applyBorder="1" applyAlignment="1" applyProtection="1">
      <alignment horizontal="center" vertical="center"/>
    </xf>
    <xf numFmtId="0" fontId="0" fillId="49" borderId="0" xfId="0" applyFill="1" applyAlignment="1" applyProtection="1">
      <alignment horizontal="center" vertical="center"/>
    </xf>
    <xf numFmtId="4" fontId="0" fillId="14" borderId="6" xfId="0" applyNumberFormat="1" applyFill="1" applyBorder="1" applyAlignment="1" applyProtection="1">
      <alignment horizontal="center" vertical="center"/>
    </xf>
    <xf numFmtId="0" fontId="0" fillId="14" borderId="88" xfId="0" applyFill="1" applyBorder="1" applyAlignment="1" applyProtection="1">
      <alignment horizontal="center" vertical="center" wrapText="1"/>
    </xf>
    <xf numFmtId="0" fontId="0" fillId="14" borderId="6" xfId="0" applyFill="1" applyBorder="1" applyAlignment="1" applyProtection="1">
      <alignment horizontal="center" vertical="center" wrapText="1"/>
    </xf>
    <xf numFmtId="4" fontId="0" fillId="14" borderId="6" xfId="0" applyNumberFormat="1" applyFill="1" applyBorder="1" applyAlignment="1" applyProtection="1">
      <alignment horizontal="center" vertical="center" wrapText="1"/>
    </xf>
    <xf numFmtId="0" fontId="0" fillId="14" borderId="89" xfId="0" applyFill="1" applyBorder="1" applyAlignment="1" applyProtection="1">
      <alignment horizontal="center" vertical="center" wrapText="1"/>
    </xf>
    <xf numFmtId="14" fontId="0" fillId="9" borderId="6" xfId="0" applyNumberFormat="1" applyFill="1" applyBorder="1" applyAlignment="1" applyProtection="1">
      <alignment horizontal="center" vertical="center" wrapText="1"/>
    </xf>
    <xf numFmtId="0" fontId="0" fillId="14" borderId="90" xfId="0" applyFill="1" applyBorder="1" applyAlignment="1" applyProtection="1">
      <alignment horizontal="center" vertical="center" wrapText="1"/>
    </xf>
    <xf numFmtId="0" fontId="0" fillId="14" borderId="91" xfId="0" applyFill="1" applyBorder="1" applyAlignment="1" applyProtection="1">
      <alignment horizontal="center" vertical="center" wrapText="1"/>
    </xf>
    <xf numFmtId="4" fontId="0" fillId="14" borderId="91" xfId="0" applyNumberFormat="1" applyFill="1" applyBorder="1" applyAlignment="1" applyProtection="1">
      <alignment horizontal="center" vertical="center" wrapText="1"/>
    </xf>
    <xf numFmtId="0" fontId="0" fillId="14" borderId="93" xfId="0" applyFill="1" applyBorder="1" applyAlignment="1" applyProtection="1">
      <alignment horizontal="center" vertical="center" wrapText="1"/>
    </xf>
    <xf numFmtId="3" fontId="44" fillId="8" borderId="6" xfId="0" applyNumberFormat="1" applyFont="1" applyFill="1" applyBorder="1" applyAlignment="1" applyProtection="1">
      <alignment horizontal="center" vertical="center" wrapText="1"/>
    </xf>
    <xf numFmtId="169" fontId="0" fillId="20" borderId="6" xfId="0" applyNumberFormat="1" applyFill="1" applyBorder="1" applyAlignment="1" applyProtection="1">
      <alignment horizontal="center" vertical="center"/>
    </xf>
    <xf numFmtId="4" fontId="0" fillId="4" borderId="10" xfId="0" applyNumberFormat="1" applyFill="1" applyBorder="1" applyAlignment="1" applyProtection="1">
      <alignment horizontal="center" vertical="center" wrapText="1"/>
    </xf>
    <xf numFmtId="2" fontId="0" fillId="46" borderId="7" xfId="0" applyNumberFormat="1" applyFill="1" applyBorder="1" applyAlignment="1" applyProtection="1">
      <alignment horizontal="center" vertical="center" wrapText="1"/>
    </xf>
    <xf numFmtId="2" fontId="0" fillId="9" borderId="21" xfId="0" applyNumberFormat="1" applyFill="1" applyBorder="1" applyAlignment="1" applyProtection="1">
      <alignment horizontal="center" vertical="center" wrapText="1"/>
    </xf>
    <xf numFmtId="3" fontId="0" fillId="51" borderId="6" xfId="0" applyNumberFormat="1" applyFill="1" applyBorder="1" applyAlignment="1" applyProtection="1">
      <alignment horizontal="center" vertical="center" wrapText="1"/>
    </xf>
    <xf numFmtId="3" fontId="0" fillId="51" borderId="20" xfId="0" applyNumberFormat="1" applyFill="1" applyBorder="1" applyAlignment="1" applyProtection="1">
      <alignment horizontal="center" vertical="center" wrapText="1"/>
    </xf>
    <xf numFmtId="3" fontId="0" fillId="51" borderId="84" xfId="0" applyNumberFormat="1" applyFill="1" applyBorder="1" applyAlignment="1" applyProtection="1">
      <alignment horizontal="center" vertical="center" wrapText="1"/>
    </xf>
    <xf numFmtId="0" fontId="0" fillId="14" borderId="97" xfId="0" applyFill="1" applyBorder="1" applyAlignment="1" applyProtection="1">
      <alignment horizontal="center" vertical="center"/>
    </xf>
    <xf numFmtId="169" fontId="0" fillId="14" borderId="87" xfId="0" applyNumberFormat="1" applyFill="1" applyBorder="1" applyAlignment="1" applyProtection="1">
      <alignment horizontal="center" vertical="center"/>
    </xf>
    <xf numFmtId="0" fontId="0" fillId="14" borderId="98" xfId="0" applyFill="1" applyBorder="1" applyAlignment="1" applyProtection="1">
      <alignment horizontal="center" vertical="center"/>
    </xf>
    <xf numFmtId="169" fontId="0" fillId="14" borderId="89" xfId="0" applyNumberFormat="1" applyFill="1" applyBorder="1" applyAlignment="1" applyProtection="1">
      <alignment horizontal="center" vertical="center"/>
    </xf>
    <xf numFmtId="169" fontId="44" fillId="0" borderId="6" xfId="0" applyNumberFormat="1" applyFont="1" applyBorder="1" applyAlignment="1" applyProtection="1">
      <alignment horizontal="center" vertical="center" wrapText="1"/>
    </xf>
    <xf numFmtId="169" fontId="44" fillId="8" borderId="20" xfId="0" applyNumberFormat="1" applyFont="1" applyFill="1" applyBorder="1" applyAlignment="1" applyProtection="1">
      <alignment horizontal="center" vertical="center" wrapText="1"/>
    </xf>
    <xf numFmtId="169" fontId="44" fillId="8" borderId="94" xfId="0" applyNumberFormat="1" applyFont="1" applyFill="1" applyBorder="1" applyAlignment="1" applyProtection="1">
      <alignment horizontal="center" vertical="center" wrapText="1"/>
    </xf>
    <xf numFmtId="169" fontId="44" fillId="0" borderId="7" xfId="0" applyNumberFormat="1" applyFont="1" applyBorder="1" applyAlignment="1" applyProtection="1">
      <alignment horizontal="center" vertical="center" wrapText="1"/>
    </xf>
    <xf numFmtId="169" fontId="0" fillId="20" borderId="11" xfId="0" applyNumberFormat="1" applyFill="1" applyBorder="1" applyAlignment="1" applyProtection="1">
      <alignment horizontal="center" vertical="center" wrapText="1"/>
    </xf>
    <xf numFmtId="169" fontId="44" fillId="48" borderId="95" xfId="0" applyNumberFormat="1" applyFont="1" applyFill="1" applyBorder="1" applyAlignment="1" applyProtection="1">
      <alignment horizontal="center" vertical="center" wrapText="1"/>
    </xf>
    <xf numFmtId="10" fontId="0" fillId="0" borderId="0" xfId="0" applyNumberFormat="1" applyAlignment="1" applyProtection="1">
      <alignment horizontal="center" vertical="center"/>
    </xf>
    <xf numFmtId="0" fontId="0" fillId="53" borderId="0" xfId="0" applyFill="1" applyAlignment="1" applyProtection="1">
      <alignment horizontal="center" vertical="center"/>
    </xf>
    <xf numFmtId="9" fontId="50" fillId="53" borderId="0" xfId="0" applyNumberFormat="1" applyFont="1" applyFill="1" applyAlignment="1" applyProtection="1">
      <alignment horizontal="center" vertical="center"/>
    </xf>
    <xf numFmtId="0" fontId="0" fillId="0" borderId="99" xfId="0" applyBorder="1" applyAlignment="1" applyProtection="1">
      <alignment horizontal="center" vertical="center" wrapText="1"/>
    </xf>
    <xf numFmtId="0" fontId="0" fillId="0" borderId="100" xfId="0" applyBorder="1" applyAlignment="1" applyProtection="1">
      <alignment horizontal="center" vertical="center" wrapText="1"/>
    </xf>
    <xf numFmtId="0" fontId="0" fillId="0" borderId="101" xfId="0" applyBorder="1" applyAlignment="1" applyProtection="1">
      <alignment horizontal="center" vertical="center" wrapText="1"/>
    </xf>
    <xf numFmtId="0" fontId="0" fillId="0" borderId="102" xfId="0" applyBorder="1" applyAlignment="1" applyProtection="1">
      <alignment horizontal="center" vertical="center"/>
    </xf>
    <xf numFmtId="0" fontId="0" fillId="0" borderId="104" xfId="0" applyBorder="1" applyAlignment="1" applyProtection="1">
      <alignment horizontal="center" vertical="center"/>
    </xf>
    <xf numFmtId="169" fontId="0" fillId="0" borderId="0" xfId="0" applyNumberFormat="1" applyBorder="1" applyAlignment="1" applyProtection="1">
      <alignment horizontal="center" vertical="center"/>
    </xf>
    <xf numFmtId="0" fontId="0" fillId="0" borderId="105" xfId="0" applyBorder="1" applyAlignment="1" applyProtection="1">
      <alignment horizontal="center" vertical="center"/>
    </xf>
    <xf numFmtId="0" fontId="0" fillId="0" borderId="106" xfId="0" applyBorder="1" applyAlignment="1" applyProtection="1">
      <alignment horizontal="center" vertical="center"/>
    </xf>
    <xf numFmtId="0" fontId="0" fillId="0" borderId="107" xfId="0" applyBorder="1" applyAlignment="1" applyProtection="1">
      <alignment horizontal="center" vertical="center"/>
    </xf>
    <xf numFmtId="169" fontId="0" fillId="14" borderId="85" xfId="0" applyNumberFormat="1" applyFill="1" applyBorder="1" applyAlignment="1" applyProtection="1">
      <alignment horizontal="center" vertical="center"/>
    </xf>
    <xf numFmtId="4" fontId="0" fillId="8" borderId="6" xfId="0" applyNumberFormat="1" applyFill="1" applyBorder="1" applyAlignment="1" applyProtection="1">
      <alignment horizontal="center" vertical="center" wrapText="1"/>
    </xf>
    <xf numFmtId="0" fontId="40" fillId="9" borderId="6" xfId="0" applyFont="1" applyFill="1" applyBorder="1" applyAlignment="1" applyProtection="1">
      <alignment horizontal="center" vertical="center" wrapText="1"/>
    </xf>
    <xf numFmtId="0" fontId="0" fillId="0" borderId="108" xfId="0" applyBorder="1" applyAlignment="1" applyProtection="1">
      <alignment horizontal="center" vertical="center"/>
    </xf>
    <xf numFmtId="0" fontId="42" fillId="0" borderId="0" xfId="0" applyFont="1" applyAlignment="1" applyProtection="1">
      <alignment horizontal="center" vertical="center"/>
    </xf>
    <xf numFmtId="0" fontId="0" fillId="0" borderId="109" xfId="0" applyBorder="1" applyAlignment="1" applyProtection="1">
      <alignment horizontal="center" vertical="center" wrapText="1"/>
    </xf>
    <xf numFmtId="169" fontId="53" fillId="0" borderId="0" xfId="0" applyNumberFormat="1" applyFont="1" applyAlignment="1" applyProtection="1">
      <alignment horizontal="center" vertical="center" wrapText="1"/>
    </xf>
    <xf numFmtId="169" fontId="42" fillId="8" borderId="0" xfId="0" applyNumberFormat="1" applyFont="1" applyFill="1" applyAlignment="1" applyProtection="1">
      <alignment horizontal="center" vertical="center" wrapText="1"/>
    </xf>
    <xf numFmtId="0" fontId="42" fillId="0" borderId="6" xfId="0" applyFont="1" applyBorder="1" applyAlignment="1" applyProtection="1">
      <alignment horizontal="center" vertical="center" wrapText="1"/>
    </xf>
    <xf numFmtId="169" fontId="42" fillId="0" borderId="0" xfId="0" applyNumberFormat="1" applyFont="1" applyAlignment="1" applyProtection="1">
      <alignment horizontal="center" vertical="center"/>
    </xf>
    <xf numFmtId="169" fontId="0" fillId="17" borderId="6" xfId="0" applyNumberFormat="1" applyFill="1" applyBorder="1" applyAlignment="1" applyProtection="1">
      <alignment horizontal="center" vertical="center"/>
    </xf>
    <xf numFmtId="169" fontId="0" fillId="7" borderId="6" xfId="0" applyNumberFormat="1" applyFill="1" applyBorder="1" applyAlignment="1" applyProtection="1">
      <alignment horizontal="center" vertical="center" wrapText="1"/>
      <protection locked="0"/>
    </xf>
    <xf numFmtId="3" fontId="42" fillId="0" borderId="0" xfId="0" applyNumberFormat="1" applyFont="1" applyAlignment="1" applyProtection="1">
      <alignment horizontal="center" vertical="center"/>
    </xf>
    <xf numFmtId="169" fontId="42" fillId="42" borderId="10" xfId="0" applyNumberFormat="1" applyFont="1" applyFill="1" applyBorder="1" applyAlignment="1" applyProtection="1">
      <alignment horizontal="center" vertical="center" wrapText="1"/>
    </xf>
    <xf numFmtId="169" fontId="42" fillId="0" borderId="6" xfId="0" applyNumberFormat="1" applyFont="1" applyBorder="1" applyAlignment="1" applyProtection="1">
      <alignment horizontal="center" vertical="center" wrapText="1"/>
    </xf>
    <xf numFmtId="169" fontId="42" fillId="42" borderId="10" xfId="0" applyNumberFormat="1" applyFont="1" applyFill="1" applyBorder="1" applyAlignment="1" applyProtection="1">
      <alignment horizontal="center" vertical="center"/>
    </xf>
    <xf numFmtId="169" fontId="42" fillId="8" borderId="0" xfId="0" applyNumberFormat="1" applyFont="1" applyFill="1" applyAlignment="1" applyProtection="1">
      <alignment horizontal="center" vertical="center"/>
    </xf>
    <xf numFmtId="4" fontId="42" fillId="0" borderId="6" xfId="0" applyNumberFormat="1" applyFont="1" applyBorder="1" applyAlignment="1" applyProtection="1">
      <alignment horizontal="center" vertical="center" wrapText="1"/>
    </xf>
    <xf numFmtId="169" fontId="42" fillId="0" borderId="0" xfId="0" applyNumberFormat="1" applyFont="1" applyAlignment="1" applyProtection="1">
      <alignment horizontal="center" vertical="center" wrapText="1"/>
    </xf>
    <xf numFmtId="0" fontId="35" fillId="54" borderId="6" xfId="0" applyFont="1" applyFill="1" applyBorder="1" applyAlignment="1" applyProtection="1">
      <alignment horizontal="center" vertical="center" wrapText="1"/>
    </xf>
    <xf numFmtId="4" fontId="0" fillId="9" borderId="0" xfId="0" applyNumberFormat="1" applyFill="1" applyAlignment="1" applyProtection="1">
      <alignment horizontal="center" vertical="center"/>
    </xf>
    <xf numFmtId="4" fontId="0" fillId="7" borderId="6" xfId="0" applyNumberFormat="1" applyFill="1" applyBorder="1" applyAlignment="1" applyProtection="1">
      <alignment horizontal="center" vertical="center" wrapText="1"/>
      <protection locked="0"/>
    </xf>
    <xf numFmtId="4" fontId="0" fillId="11" borderId="6" xfId="0" applyNumberFormat="1" applyFill="1" applyBorder="1" applyAlignment="1" applyProtection="1">
      <alignment horizontal="center" vertical="center" wrapText="1"/>
      <protection locked="0"/>
    </xf>
    <xf numFmtId="0" fontId="0" fillId="42" borderId="6" xfId="0" applyFill="1" applyBorder="1" applyAlignment="1" applyProtection="1">
      <alignment horizontal="center" vertical="center" wrapText="1"/>
      <protection locked="0"/>
    </xf>
    <xf numFmtId="169" fontId="0" fillId="42" borderId="6" xfId="0" applyNumberFormat="1" applyFill="1" applyBorder="1" applyAlignment="1" applyProtection="1">
      <alignment horizontal="center" vertical="center" wrapText="1"/>
      <protection locked="0"/>
    </xf>
    <xf numFmtId="4" fontId="55" fillId="0" borderId="110" xfId="0" applyNumberFormat="1" applyFont="1" applyBorder="1" applyAlignment="1" applyProtection="1">
      <alignment horizontal="center" vertical="center" wrapText="1"/>
    </xf>
    <xf numFmtId="0" fontId="45" fillId="54" borderId="110" xfId="0" applyFont="1" applyFill="1" applyBorder="1" applyAlignment="1" applyProtection="1">
      <alignment horizontal="center" vertical="center" wrapText="1"/>
    </xf>
    <xf numFmtId="4" fontId="55" fillId="4" borderId="110" xfId="0" applyNumberFormat="1" applyFont="1" applyFill="1" applyBorder="1" applyAlignment="1" applyProtection="1">
      <alignment horizontal="center" vertical="center" wrapText="1"/>
    </xf>
    <xf numFmtId="10" fontId="55" fillId="4" borderId="110" xfId="0" applyNumberFormat="1" applyFont="1" applyFill="1" applyBorder="1" applyAlignment="1" applyProtection="1">
      <alignment horizontal="center" vertical="center" wrapText="1"/>
    </xf>
    <xf numFmtId="4" fontId="56" fillId="9" borderId="110" xfId="0" applyNumberFormat="1" applyFont="1" applyFill="1" applyBorder="1" applyAlignment="1" applyProtection="1">
      <alignment horizontal="center" vertical="center"/>
    </xf>
    <xf numFmtId="4" fontId="0" fillId="0" borderId="0" xfId="0" applyNumberFormat="1" applyAlignment="1">
      <alignment horizontal="center"/>
    </xf>
    <xf numFmtId="4" fontId="57" fillId="0" borderId="0" xfId="0" applyNumberFormat="1" applyFont="1" applyAlignment="1">
      <alignment horizontal="center"/>
    </xf>
    <xf numFmtId="4" fontId="0" fillId="20" borderId="0" xfId="0" applyNumberFormat="1" applyFill="1" applyAlignment="1" applyProtection="1">
      <alignment horizontal="center"/>
    </xf>
    <xf numFmtId="4" fontId="0" fillId="20" borderId="0" xfId="0" applyNumberFormat="1" applyFill="1" applyAlignment="1" applyProtection="1">
      <alignment horizontal="center"/>
      <protection locked="0"/>
    </xf>
    <xf numFmtId="10" fontId="0" fillId="20" borderId="0" xfId="0" applyNumberFormat="1" applyFill="1" applyAlignment="1" applyProtection="1">
      <alignment horizontal="center"/>
    </xf>
    <xf numFmtId="4" fontId="0" fillId="0" borderId="111" xfId="0" applyNumberFormat="1" applyBorder="1" applyAlignment="1">
      <alignment horizontal="center"/>
    </xf>
    <xf numFmtId="0" fontId="0" fillId="0" borderId="111" xfId="0" applyNumberFormat="1" applyBorder="1" applyAlignment="1">
      <alignment horizontal="center"/>
    </xf>
    <xf numFmtId="4" fontId="0" fillId="6" borderId="111" xfId="0" applyNumberFormat="1" applyFill="1" applyBorder="1" applyAlignment="1">
      <alignment horizontal="center"/>
    </xf>
    <xf numFmtId="4" fontId="0" fillId="8" borderId="111" xfId="0" applyNumberFormat="1" applyFill="1" applyBorder="1" applyAlignment="1">
      <alignment horizontal="center"/>
    </xf>
    <xf numFmtId="4" fontId="0" fillId="42" borderId="111" xfId="0" applyNumberFormat="1" applyFill="1" applyBorder="1" applyAlignment="1">
      <alignment horizontal="center"/>
    </xf>
    <xf numFmtId="4" fontId="0" fillId="43" borderId="111" xfId="0" applyNumberFormat="1" applyFill="1" applyBorder="1" applyAlignment="1">
      <alignment horizontal="center"/>
    </xf>
    <xf numFmtId="4" fontId="0" fillId="20" borderId="111" xfId="0" applyNumberFormat="1" applyFill="1" applyBorder="1" applyAlignment="1">
      <alignment horizontal="center"/>
    </xf>
    <xf numFmtId="4" fontId="0" fillId="53" borderId="111" xfId="0" applyNumberFormat="1" applyFill="1" applyBorder="1" applyAlignment="1">
      <alignment horizontal="center"/>
    </xf>
    <xf numFmtId="4" fontId="0" fillId="0" borderId="112" xfId="0" applyNumberFormat="1" applyBorder="1" applyAlignment="1">
      <alignment horizontal="center"/>
    </xf>
    <xf numFmtId="0" fontId="0" fillId="0" borderId="112" xfId="0" applyNumberFormat="1" applyBorder="1" applyAlignment="1">
      <alignment horizontal="center"/>
    </xf>
    <xf numFmtId="4" fontId="0" fillId="6" borderId="112" xfId="0" applyNumberFormat="1" applyFill="1" applyBorder="1" applyAlignment="1">
      <alignment horizontal="center"/>
    </xf>
    <xf numFmtId="4" fontId="0" fillId="8" borderId="112" xfId="0" applyNumberFormat="1" applyFill="1" applyBorder="1" applyAlignment="1">
      <alignment horizontal="center"/>
    </xf>
    <xf numFmtId="4" fontId="0" fillId="42" borderId="112" xfId="0" applyNumberFormat="1" applyFill="1" applyBorder="1" applyAlignment="1">
      <alignment horizontal="center"/>
    </xf>
    <xf numFmtId="4" fontId="0" fillId="43" borderId="112" xfId="0" applyNumberFormat="1" applyFill="1" applyBorder="1" applyAlignment="1">
      <alignment horizontal="center"/>
    </xf>
    <xf numFmtId="4" fontId="0" fillId="20" borderId="112" xfId="0" applyNumberFormat="1" applyFill="1" applyBorder="1" applyAlignment="1">
      <alignment horizontal="center"/>
    </xf>
    <xf numFmtId="4" fontId="0" fillId="53" borderId="112" xfId="0" applyNumberFormat="1" applyFill="1" applyBorder="1" applyAlignment="1">
      <alignment horizontal="center"/>
    </xf>
    <xf numFmtId="4" fontId="0" fillId="0" borderId="113" xfId="0" applyNumberFormat="1" applyBorder="1" applyAlignment="1">
      <alignment horizontal="center"/>
    </xf>
    <xf numFmtId="0" fontId="0" fillId="0" borderId="113" xfId="0" applyNumberFormat="1" applyBorder="1" applyAlignment="1">
      <alignment horizontal="center"/>
    </xf>
    <xf numFmtId="4" fontId="0" fillId="6" borderId="113" xfId="0" applyNumberFormat="1" applyFill="1" applyBorder="1" applyAlignment="1">
      <alignment horizontal="center"/>
    </xf>
    <xf numFmtId="4" fontId="0" fillId="8" borderId="113" xfId="0" applyNumberFormat="1" applyFill="1" applyBorder="1" applyAlignment="1">
      <alignment horizontal="center"/>
    </xf>
    <xf numFmtId="4" fontId="0" fillId="42" borderId="113" xfId="0" applyNumberFormat="1" applyFill="1" applyBorder="1" applyAlignment="1">
      <alignment horizontal="center"/>
    </xf>
    <xf numFmtId="4" fontId="0" fillId="43" borderId="113" xfId="0" applyNumberFormat="1" applyFill="1" applyBorder="1" applyAlignment="1">
      <alignment horizontal="center"/>
    </xf>
    <xf numFmtId="4" fontId="0" fillId="20" borderId="113" xfId="0" applyNumberFormat="1" applyFill="1" applyBorder="1" applyAlignment="1">
      <alignment horizontal="center"/>
    </xf>
    <xf numFmtId="4" fontId="0" fillId="53" borderId="113" xfId="0" applyNumberFormat="1" applyFill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4" fontId="0" fillId="6" borderId="0" xfId="0" applyNumberFormat="1" applyFill="1" applyBorder="1" applyAlignment="1">
      <alignment horizontal="center"/>
    </xf>
    <xf numFmtId="4" fontId="0" fillId="8" borderId="0" xfId="0" applyNumberFormat="1" applyFill="1" applyBorder="1" applyAlignment="1">
      <alignment horizontal="center"/>
    </xf>
    <xf numFmtId="4" fontId="0" fillId="42" borderId="0" xfId="0" applyNumberFormat="1" applyFill="1" applyBorder="1" applyAlignment="1">
      <alignment horizontal="center"/>
    </xf>
    <xf numFmtId="4" fontId="0" fillId="43" borderId="0" xfId="0" applyNumberFormat="1" applyFill="1" applyBorder="1" applyAlignment="1">
      <alignment horizontal="center"/>
    </xf>
    <xf numFmtId="4" fontId="0" fillId="20" borderId="0" xfId="0" applyNumberFormat="1" applyFill="1" applyBorder="1" applyAlignment="1">
      <alignment horizontal="center"/>
    </xf>
    <xf numFmtId="4" fontId="0" fillId="53" borderId="0" xfId="0" applyNumberFormat="1" applyFill="1" applyBorder="1" applyAlignment="1">
      <alignment horizontal="center"/>
    </xf>
    <xf numFmtId="4" fontId="0" fillId="0" borderId="114" xfId="0" applyNumberFormat="1" applyBorder="1" applyAlignment="1">
      <alignment horizontal="center"/>
    </xf>
    <xf numFmtId="0" fontId="0" fillId="0" borderId="114" xfId="0" applyNumberFormat="1" applyBorder="1" applyAlignment="1">
      <alignment horizontal="center"/>
    </xf>
    <xf numFmtId="4" fontId="0" fillId="6" borderId="114" xfId="0" applyNumberFormat="1" applyFill="1" applyBorder="1" applyAlignment="1">
      <alignment horizontal="center"/>
    </xf>
    <xf numFmtId="4" fontId="0" fillId="8" borderId="114" xfId="0" applyNumberFormat="1" applyFill="1" applyBorder="1" applyAlignment="1">
      <alignment horizontal="center"/>
    </xf>
    <xf numFmtId="4" fontId="0" fillId="42" borderId="114" xfId="0" applyNumberFormat="1" applyFill="1" applyBorder="1" applyAlignment="1">
      <alignment horizontal="center"/>
    </xf>
    <xf numFmtId="4" fontId="0" fillId="43" borderId="114" xfId="0" applyNumberFormat="1" applyFill="1" applyBorder="1" applyAlignment="1">
      <alignment horizontal="center"/>
    </xf>
    <xf numFmtId="4" fontId="0" fillId="20" borderId="114" xfId="0" applyNumberFormat="1" applyFill="1" applyBorder="1" applyAlignment="1">
      <alignment horizontal="center"/>
    </xf>
    <xf numFmtId="4" fontId="0" fillId="53" borderId="114" xfId="0" applyNumberFormat="1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0" fontId="0" fillId="0" borderId="32" xfId="0" applyNumberFormat="1" applyBorder="1" applyAlignment="1">
      <alignment horizontal="center"/>
    </xf>
    <xf numFmtId="4" fontId="0" fillId="6" borderId="32" xfId="0" applyNumberFormat="1" applyFill="1" applyBorder="1" applyAlignment="1">
      <alignment horizontal="center"/>
    </xf>
    <xf numFmtId="4" fontId="0" fillId="8" borderId="32" xfId="0" applyNumberFormat="1" applyFill="1" applyBorder="1" applyAlignment="1">
      <alignment horizontal="center"/>
    </xf>
    <xf numFmtId="4" fontId="0" fillId="42" borderId="32" xfId="0" applyNumberFormat="1" applyFill="1" applyBorder="1" applyAlignment="1">
      <alignment horizontal="center"/>
    </xf>
    <xf numFmtId="4" fontId="0" fillId="43" borderId="32" xfId="0" applyNumberFormat="1" applyFill="1" applyBorder="1" applyAlignment="1">
      <alignment horizontal="center"/>
    </xf>
    <xf numFmtId="4" fontId="0" fillId="20" borderId="32" xfId="0" applyNumberFormat="1" applyFill="1" applyBorder="1" applyAlignment="1">
      <alignment horizontal="center"/>
    </xf>
    <xf numFmtId="4" fontId="0" fillId="53" borderId="32" xfId="0" applyNumberFormat="1" applyFill="1" applyBorder="1" applyAlignment="1">
      <alignment horizontal="center"/>
    </xf>
    <xf numFmtId="4" fontId="0" fillId="0" borderId="115" xfId="0" applyNumberFormat="1" applyBorder="1" applyAlignment="1">
      <alignment horizontal="center"/>
    </xf>
    <xf numFmtId="0" fontId="0" fillId="0" borderId="115" xfId="0" applyNumberFormat="1" applyBorder="1" applyAlignment="1">
      <alignment horizontal="center"/>
    </xf>
    <xf numFmtId="4" fontId="0" fillId="6" borderId="115" xfId="0" applyNumberFormat="1" applyFill="1" applyBorder="1" applyAlignment="1">
      <alignment horizontal="center"/>
    </xf>
    <xf numFmtId="4" fontId="0" fillId="8" borderId="115" xfId="0" applyNumberFormat="1" applyFill="1" applyBorder="1" applyAlignment="1">
      <alignment horizontal="center"/>
    </xf>
    <xf numFmtId="4" fontId="0" fillId="42" borderId="115" xfId="0" applyNumberFormat="1" applyFill="1" applyBorder="1" applyAlignment="1">
      <alignment horizontal="center"/>
    </xf>
    <xf numFmtId="4" fontId="0" fillId="43" borderId="115" xfId="0" applyNumberFormat="1" applyFill="1" applyBorder="1" applyAlignment="1">
      <alignment horizontal="center"/>
    </xf>
    <xf numFmtId="4" fontId="0" fillId="20" borderId="115" xfId="0" applyNumberFormat="1" applyFill="1" applyBorder="1" applyAlignment="1">
      <alignment horizontal="center"/>
    </xf>
    <xf numFmtId="4" fontId="0" fillId="53" borderId="115" xfId="0" applyNumberFormat="1" applyFill="1" applyBorder="1" applyAlignment="1">
      <alignment horizontal="center"/>
    </xf>
    <xf numFmtId="4" fontId="0" fillId="0" borderId="116" xfId="0" applyNumberFormat="1" applyBorder="1" applyAlignment="1">
      <alignment horizontal="center"/>
    </xf>
    <xf numFmtId="0" fontId="0" fillId="0" borderId="116" xfId="0" applyNumberFormat="1" applyBorder="1" applyAlignment="1">
      <alignment horizontal="center"/>
    </xf>
    <xf numFmtId="4" fontId="0" fillId="6" borderId="116" xfId="0" applyNumberFormat="1" applyFill="1" applyBorder="1" applyAlignment="1">
      <alignment horizontal="center"/>
    </xf>
    <xf numFmtId="4" fontId="0" fillId="8" borderId="116" xfId="0" applyNumberFormat="1" applyFill="1" applyBorder="1" applyAlignment="1">
      <alignment horizontal="center"/>
    </xf>
    <xf numFmtId="4" fontId="0" fillId="42" borderId="116" xfId="0" applyNumberFormat="1" applyFill="1" applyBorder="1" applyAlignment="1">
      <alignment horizontal="center"/>
    </xf>
    <xf numFmtId="4" fontId="0" fillId="43" borderId="116" xfId="0" applyNumberFormat="1" applyFill="1" applyBorder="1" applyAlignment="1">
      <alignment horizontal="center"/>
    </xf>
    <xf numFmtId="4" fontId="0" fillId="20" borderId="116" xfId="0" applyNumberFormat="1" applyFill="1" applyBorder="1" applyAlignment="1">
      <alignment horizontal="center"/>
    </xf>
    <xf numFmtId="4" fontId="0" fillId="53" borderId="116" xfId="0" applyNumberFormat="1" applyFill="1" applyBorder="1" applyAlignment="1">
      <alignment horizontal="center"/>
    </xf>
    <xf numFmtId="4" fontId="0" fillId="0" borderId="117" xfId="0" applyNumberFormat="1" applyBorder="1" applyAlignment="1">
      <alignment horizontal="center"/>
    </xf>
    <xf numFmtId="0" fontId="0" fillId="0" borderId="117" xfId="0" applyNumberFormat="1" applyBorder="1" applyAlignment="1">
      <alignment horizontal="center"/>
    </xf>
    <xf numFmtId="4" fontId="0" fillId="6" borderId="117" xfId="0" applyNumberFormat="1" applyFill="1" applyBorder="1" applyAlignment="1">
      <alignment horizontal="center"/>
    </xf>
    <xf numFmtId="4" fontId="0" fillId="8" borderId="117" xfId="0" applyNumberFormat="1" applyFill="1" applyBorder="1" applyAlignment="1">
      <alignment horizontal="center"/>
    </xf>
    <xf numFmtId="4" fontId="0" fillId="42" borderId="117" xfId="0" applyNumberFormat="1" applyFill="1" applyBorder="1" applyAlignment="1">
      <alignment horizontal="center"/>
    </xf>
    <xf numFmtId="4" fontId="0" fillId="43" borderId="117" xfId="0" applyNumberFormat="1" applyFill="1" applyBorder="1" applyAlignment="1">
      <alignment horizontal="center"/>
    </xf>
    <xf numFmtId="4" fontId="0" fillId="20" borderId="117" xfId="0" applyNumberFormat="1" applyFill="1" applyBorder="1" applyAlignment="1">
      <alignment horizontal="center"/>
    </xf>
    <xf numFmtId="4" fontId="0" fillId="53" borderId="117" xfId="0" applyNumberFormat="1" applyFill="1" applyBorder="1" applyAlignment="1">
      <alignment horizontal="center"/>
    </xf>
    <xf numFmtId="4" fontId="0" fillId="0" borderId="118" xfId="0" applyNumberFormat="1" applyBorder="1" applyAlignment="1">
      <alignment horizontal="center"/>
    </xf>
    <xf numFmtId="0" fontId="0" fillId="0" borderId="118" xfId="0" applyNumberFormat="1" applyBorder="1" applyAlignment="1">
      <alignment horizontal="center"/>
    </xf>
    <xf numFmtId="4" fontId="0" fillId="6" borderId="118" xfId="0" applyNumberFormat="1" applyFill="1" applyBorder="1" applyAlignment="1">
      <alignment horizontal="center"/>
    </xf>
    <xf numFmtId="4" fontId="0" fillId="8" borderId="118" xfId="0" applyNumberFormat="1" applyFill="1" applyBorder="1" applyAlignment="1">
      <alignment horizontal="center"/>
    </xf>
    <xf numFmtId="4" fontId="0" fillId="42" borderId="118" xfId="0" applyNumberFormat="1" applyFill="1" applyBorder="1" applyAlignment="1">
      <alignment horizontal="center"/>
    </xf>
    <xf numFmtId="4" fontId="0" fillId="43" borderId="118" xfId="0" applyNumberFormat="1" applyFill="1" applyBorder="1" applyAlignment="1">
      <alignment horizontal="center"/>
    </xf>
    <xf numFmtId="4" fontId="0" fillId="20" borderId="118" xfId="0" applyNumberFormat="1" applyFill="1" applyBorder="1" applyAlignment="1">
      <alignment horizontal="center"/>
    </xf>
    <xf numFmtId="4" fontId="0" fillId="53" borderId="118" xfId="0" applyNumberFormat="1" applyFill="1" applyBorder="1" applyAlignment="1">
      <alignment horizontal="center"/>
    </xf>
    <xf numFmtId="4" fontId="0" fillId="0" borderId="119" xfId="0" applyNumberFormat="1" applyBorder="1" applyAlignment="1">
      <alignment horizontal="center"/>
    </xf>
    <xf numFmtId="0" fontId="0" fillId="0" borderId="119" xfId="0" applyNumberFormat="1" applyBorder="1" applyAlignment="1">
      <alignment horizontal="center"/>
    </xf>
    <xf numFmtId="4" fontId="0" fillId="6" borderId="119" xfId="0" applyNumberFormat="1" applyFill="1" applyBorder="1" applyAlignment="1">
      <alignment horizontal="center"/>
    </xf>
    <xf numFmtId="4" fontId="0" fillId="8" borderId="119" xfId="0" applyNumberFormat="1" applyFill="1" applyBorder="1" applyAlignment="1">
      <alignment horizontal="center"/>
    </xf>
    <xf numFmtId="4" fontId="0" fillId="42" borderId="119" xfId="0" applyNumberFormat="1" applyFill="1" applyBorder="1" applyAlignment="1">
      <alignment horizontal="center"/>
    </xf>
    <xf numFmtId="4" fontId="0" fillId="43" borderId="119" xfId="0" applyNumberFormat="1" applyFill="1" applyBorder="1" applyAlignment="1">
      <alignment horizontal="center"/>
    </xf>
    <xf numFmtId="4" fontId="0" fillId="20" borderId="119" xfId="0" applyNumberFormat="1" applyFill="1" applyBorder="1" applyAlignment="1">
      <alignment horizontal="center"/>
    </xf>
    <xf numFmtId="4" fontId="0" fillId="53" borderId="119" xfId="0" applyNumberFormat="1" applyFill="1" applyBorder="1" applyAlignment="1">
      <alignment horizontal="center"/>
    </xf>
    <xf numFmtId="4" fontId="0" fillId="0" borderId="120" xfId="0" applyNumberFormat="1" applyBorder="1" applyAlignment="1">
      <alignment horizontal="center"/>
    </xf>
    <xf numFmtId="0" fontId="0" fillId="0" borderId="120" xfId="0" applyNumberFormat="1" applyBorder="1" applyAlignment="1">
      <alignment horizontal="center"/>
    </xf>
    <xf numFmtId="4" fontId="0" fillId="6" borderId="120" xfId="0" applyNumberFormat="1" applyFill="1" applyBorder="1" applyAlignment="1">
      <alignment horizontal="center"/>
    </xf>
    <xf numFmtId="4" fontId="0" fillId="8" borderId="120" xfId="0" applyNumberFormat="1" applyFill="1" applyBorder="1" applyAlignment="1">
      <alignment horizontal="center"/>
    </xf>
    <xf numFmtId="4" fontId="0" fillId="42" borderId="120" xfId="0" applyNumberFormat="1" applyFill="1" applyBorder="1" applyAlignment="1">
      <alignment horizontal="center"/>
    </xf>
    <xf numFmtId="4" fontId="0" fillId="43" borderId="120" xfId="0" applyNumberFormat="1" applyFill="1" applyBorder="1" applyAlignment="1">
      <alignment horizontal="center"/>
    </xf>
    <xf numFmtId="4" fontId="0" fillId="20" borderId="120" xfId="0" applyNumberFormat="1" applyFill="1" applyBorder="1" applyAlignment="1">
      <alignment horizontal="center"/>
    </xf>
    <xf numFmtId="4" fontId="0" fillId="53" borderId="120" xfId="0" applyNumberFormat="1" applyFill="1" applyBorder="1" applyAlignment="1">
      <alignment horizontal="center"/>
    </xf>
    <xf numFmtId="4" fontId="0" fillId="0" borderId="29" xfId="0" applyNumberFormat="1" applyBorder="1" applyAlignment="1">
      <alignment horizontal="center"/>
    </xf>
    <xf numFmtId="0" fontId="0" fillId="0" borderId="29" xfId="0" applyNumberFormat="1" applyBorder="1" applyAlignment="1">
      <alignment horizontal="center"/>
    </xf>
    <xf numFmtId="4" fontId="0" fillId="6" borderId="29" xfId="0" applyNumberFormat="1" applyFill="1" applyBorder="1" applyAlignment="1">
      <alignment horizontal="center"/>
    </xf>
    <xf numFmtId="4" fontId="0" fillId="8" borderId="29" xfId="0" applyNumberFormat="1" applyFill="1" applyBorder="1" applyAlignment="1">
      <alignment horizontal="center"/>
    </xf>
    <xf numFmtId="4" fontId="0" fillId="42" borderId="29" xfId="0" applyNumberFormat="1" applyFill="1" applyBorder="1" applyAlignment="1">
      <alignment horizontal="center"/>
    </xf>
    <xf numFmtId="4" fontId="0" fillId="43" borderId="29" xfId="0" applyNumberFormat="1" applyFill="1" applyBorder="1" applyAlignment="1">
      <alignment horizontal="center"/>
    </xf>
    <xf numFmtId="4" fontId="0" fillId="20" borderId="29" xfId="0" applyNumberFormat="1" applyFill="1" applyBorder="1" applyAlignment="1">
      <alignment horizontal="center"/>
    </xf>
    <xf numFmtId="4" fontId="0" fillId="53" borderId="29" xfId="0" applyNumberFormat="1" applyFill="1" applyBorder="1" applyAlignment="1">
      <alignment horizontal="center"/>
    </xf>
    <xf numFmtId="4" fontId="0" fillId="0" borderId="57" xfId="0" applyNumberFormat="1" applyBorder="1" applyAlignment="1">
      <alignment horizontal="center"/>
    </xf>
    <xf numFmtId="0" fontId="0" fillId="0" borderId="57" xfId="0" applyNumberFormat="1" applyBorder="1" applyAlignment="1">
      <alignment horizontal="center"/>
    </xf>
    <xf numFmtId="4" fontId="0" fillId="6" borderId="57" xfId="0" applyNumberFormat="1" applyFill="1" applyBorder="1" applyAlignment="1">
      <alignment horizontal="center"/>
    </xf>
    <xf numFmtId="4" fontId="0" fillId="8" borderId="57" xfId="0" applyNumberFormat="1" applyFill="1" applyBorder="1" applyAlignment="1">
      <alignment horizontal="center"/>
    </xf>
    <xf numFmtId="4" fontId="0" fillId="42" borderId="57" xfId="0" applyNumberFormat="1" applyFill="1" applyBorder="1" applyAlignment="1">
      <alignment horizontal="center"/>
    </xf>
    <xf numFmtId="4" fontId="0" fillId="43" borderId="57" xfId="0" applyNumberFormat="1" applyFill="1" applyBorder="1" applyAlignment="1">
      <alignment horizontal="center"/>
    </xf>
    <xf numFmtId="4" fontId="0" fillId="20" borderId="57" xfId="0" applyNumberFormat="1" applyFill="1" applyBorder="1" applyAlignment="1">
      <alignment horizontal="center"/>
    </xf>
    <xf numFmtId="4" fontId="0" fillId="53" borderId="57" xfId="0" applyNumberFormat="1" applyFill="1" applyBorder="1" applyAlignment="1">
      <alignment horizontal="center"/>
    </xf>
    <xf numFmtId="4" fontId="0" fillId="0" borderId="4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4" fontId="0" fillId="6" borderId="4" xfId="0" applyNumberFormat="1" applyFill="1" applyBorder="1" applyAlignment="1">
      <alignment horizontal="center"/>
    </xf>
    <xf numFmtId="4" fontId="0" fillId="8" borderId="4" xfId="0" applyNumberFormat="1" applyFill="1" applyBorder="1" applyAlignment="1">
      <alignment horizontal="center"/>
    </xf>
    <xf numFmtId="4" fontId="0" fillId="42" borderId="4" xfId="0" applyNumberFormat="1" applyFill="1" applyBorder="1" applyAlignment="1">
      <alignment horizontal="center"/>
    </xf>
    <xf numFmtId="4" fontId="0" fillId="43" borderId="4" xfId="0" applyNumberFormat="1" applyFill="1" applyBorder="1" applyAlignment="1">
      <alignment horizontal="center"/>
    </xf>
    <xf numFmtId="4" fontId="0" fillId="20" borderId="4" xfId="0" applyNumberFormat="1" applyFill="1" applyBorder="1" applyAlignment="1">
      <alignment horizontal="center"/>
    </xf>
    <xf numFmtId="4" fontId="0" fillId="53" borderId="4" xfId="0" applyNumberFormat="1" applyFill="1" applyBorder="1" applyAlignment="1">
      <alignment horizontal="center"/>
    </xf>
    <xf numFmtId="0" fontId="0" fillId="52" borderId="0" xfId="0" applyFill="1" applyBorder="1" applyAlignment="1">
      <alignment horizontal="center" vertical="center"/>
    </xf>
    <xf numFmtId="0" fontId="0" fillId="52" borderId="0" xfId="0" applyFill="1" applyAlignment="1">
      <alignment horizontal="center" vertical="center"/>
    </xf>
    <xf numFmtId="2" fontId="0" fillId="52" borderId="0" xfId="0" applyNumberForma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4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9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4" fontId="17" fillId="10" borderId="0" xfId="0" applyNumberFormat="1" applyFont="1" applyFill="1" applyAlignment="1">
      <alignment horizontal="center" vertical="center" wrapText="1"/>
    </xf>
    <xf numFmtId="0" fontId="0" fillId="0" borderId="121" xfId="0" applyBorder="1" applyAlignment="1">
      <alignment horizontal="center" vertical="center" wrapText="1"/>
    </xf>
    <xf numFmtId="14" fontId="0" fillId="0" borderId="121" xfId="0" applyNumberFormat="1" applyBorder="1" applyAlignment="1">
      <alignment horizontal="center" vertical="center" wrapText="1"/>
    </xf>
    <xf numFmtId="14" fontId="17" fillId="10" borderId="121" xfId="0" applyNumberFormat="1" applyFont="1" applyFill="1" applyBorder="1" applyAlignment="1">
      <alignment horizontal="center" vertical="center" wrapText="1"/>
    </xf>
    <xf numFmtId="169" fontId="0" fillId="7" borderId="122" xfId="0" applyNumberFormat="1" applyFill="1" applyBorder="1" applyAlignment="1" applyProtection="1">
      <alignment horizontal="center" vertical="center" wrapText="1"/>
      <protection locked="0"/>
    </xf>
    <xf numFmtId="169" fontId="0" fillId="7" borderId="123" xfId="0" applyNumberFormat="1" applyFill="1" applyBorder="1" applyAlignment="1" applyProtection="1">
      <alignment horizontal="center" vertical="center" wrapText="1"/>
      <protection locked="0"/>
    </xf>
    <xf numFmtId="169" fontId="0" fillId="0" borderId="0" xfId="0" applyNumberFormat="1" applyAlignment="1" applyProtection="1">
      <alignment horizontal="center" vertical="center" wrapText="1"/>
      <protection locked="0"/>
    </xf>
    <xf numFmtId="169" fontId="0" fillId="7" borderId="124" xfId="0" applyNumberFormat="1" applyFill="1" applyBorder="1" applyAlignment="1" applyProtection="1">
      <alignment horizontal="center" vertical="center" wrapText="1"/>
      <protection locked="0"/>
    </xf>
    <xf numFmtId="0" fontId="0" fillId="7" borderId="125" xfId="0" applyFill="1" applyBorder="1" applyAlignment="1" applyProtection="1">
      <alignment horizontal="center" vertical="center" wrapText="1"/>
      <protection locked="0"/>
    </xf>
    <xf numFmtId="0" fontId="0" fillId="7" borderId="126" xfId="0" applyFill="1" applyBorder="1" applyAlignment="1" applyProtection="1">
      <alignment horizontal="center" vertical="center" wrapText="1"/>
      <protection locked="0"/>
    </xf>
    <xf numFmtId="0" fontId="0" fillId="7" borderId="127" xfId="0" applyFill="1" applyBorder="1" applyAlignment="1" applyProtection="1">
      <alignment horizontal="center" vertical="center" wrapText="1"/>
      <protection locked="0"/>
    </xf>
    <xf numFmtId="169" fontId="0" fillId="7" borderId="128" xfId="0" applyNumberFormat="1" applyFill="1" applyBorder="1" applyAlignment="1" applyProtection="1">
      <alignment horizontal="center" vertical="center" wrapText="1"/>
      <protection locked="0"/>
    </xf>
    <xf numFmtId="169" fontId="0" fillId="0" borderId="129" xfId="0" applyNumberFormat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0" borderId="130" xfId="0" applyBorder="1" applyAlignment="1">
      <alignment horizontal="center" vertical="center" wrapText="1"/>
    </xf>
    <xf numFmtId="169" fontId="0" fillId="0" borderId="130" xfId="0" applyNumberFormat="1" applyBorder="1" applyAlignment="1">
      <alignment horizontal="center" vertical="center" wrapText="1"/>
    </xf>
    <xf numFmtId="169" fontId="0" fillId="12" borderId="0" xfId="0" applyNumberFormat="1" applyFill="1" applyAlignment="1">
      <alignment horizontal="center" vertical="center" wrapText="1"/>
    </xf>
    <xf numFmtId="177" fontId="0" fillId="0" borderId="0" xfId="0" applyNumberFormat="1" applyAlignment="1">
      <alignment horizontal="center" vertical="center" wrapText="1"/>
    </xf>
    <xf numFmtId="169" fontId="0" fillId="9" borderId="6" xfId="0" applyNumberFormat="1" applyFill="1" applyBorder="1" applyAlignment="1" applyProtection="1">
      <alignment horizontal="center" vertical="center" wrapText="1"/>
      <protection locked="0"/>
    </xf>
    <xf numFmtId="176" fontId="0" fillId="0" borderId="0" xfId="0" applyNumberFormat="1" applyAlignment="1">
      <alignment horizontal="center" vertical="center" wrapText="1"/>
    </xf>
    <xf numFmtId="169" fontId="0" fillId="17" borderId="0" xfId="0" applyNumberFormat="1" applyFill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69" fontId="0" fillId="0" borderId="131" xfId="0" applyNumberFormat="1" applyBorder="1" applyAlignment="1">
      <alignment horizontal="center" vertical="center" wrapText="1"/>
    </xf>
    <xf numFmtId="3" fontId="24" fillId="4" borderId="47" xfId="2" applyNumberFormat="1" applyFont="1" applyFill="1" applyBorder="1" applyAlignment="1">
      <alignment horizontal="center" vertical="center" wrapText="1" readingOrder="2"/>
    </xf>
    <xf numFmtId="0" fontId="0" fillId="0" borderId="0" xfId="0" applyBorder="1" applyAlignment="1" applyProtection="1">
      <alignment horizontal="center" vertical="center"/>
    </xf>
    <xf numFmtId="0" fontId="24" fillId="7" borderId="41" xfId="0" applyFont="1" applyFill="1" applyBorder="1" applyAlignment="1">
      <alignment horizontal="center" vertical="center" wrapText="1" readingOrder="2"/>
    </xf>
    <xf numFmtId="0" fontId="39" fillId="0" borderId="0" xfId="0" applyFont="1" applyBorder="1" applyAlignment="1" applyProtection="1">
      <alignment vertical="center"/>
    </xf>
    <xf numFmtId="3" fontId="7" fillId="0" borderId="45" xfId="2" applyNumberFormat="1" applyFont="1" applyFill="1" applyBorder="1" applyAlignment="1">
      <alignment horizontal="center" vertical="center" wrapText="1" readingOrder="2"/>
    </xf>
    <xf numFmtId="0" fontId="0" fillId="0" borderId="0" xfId="0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/>
    </xf>
    <xf numFmtId="0" fontId="0" fillId="20" borderId="2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 applyProtection="1">
      <alignment horizontal="center" vertical="center" wrapText="1"/>
      <protection locked="0"/>
    </xf>
    <xf numFmtId="0" fontId="0" fillId="23" borderId="6" xfId="0" applyFill="1" applyBorder="1" applyAlignment="1">
      <alignment horizontal="center" vertical="center"/>
    </xf>
    <xf numFmtId="169" fontId="0" fillId="23" borderId="6" xfId="0" applyNumberFormat="1" applyFill="1" applyBorder="1" applyAlignment="1" applyProtection="1">
      <alignment horizontal="center" vertical="center" wrapText="1"/>
      <protection locked="0"/>
    </xf>
    <xf numFmtId="169" fontId="0" fillId="23" borderId="6" xfId="0" applyNumberFormat="1" applyFill="1" applyBorder="1" applyAlignment="1">
      <alignment horizontal="center" vertical="center"/>
    </xf>
    <xf numFmtId="0" fontId="0" fillId="24" borderId="6" xfId="0" applyFill="1" applyBorder="1" applyAlignment="1">
      <alignment horizontal="center" vertical="center"/>
    </xf>
    <xf numFmtId="169" fontId="0" fillId="24" borderId="6" xfId="0" applyNumberFormat="1" applyFill="1" applyBorder="1" applyAlignment="1" applyProtection="1">
      <alignment horizontal="center" vertical="center" wrapText="1"/>
      <protection locked="0"/>
    </xf>
    <xf numFmtId="169" fontId="0" fillId="24" borderId="6" xfId="0" applyNumberForma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42" borderId="6" xfId="0" applyFill="1" applyBorder="1" applyAlignment="1">
      <alignment horizontal="center" vertical="center"/>
    </xf>
    <xf numFmtId="0" fontId="0" fillId="43" borderId="6" xfId="0" applyFill="1" applyBorder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18" fillId="0" borderId="133" xfId="0" applyFont="1" applyBorder="1" applyAlignment="1">
      <alignment horizontal="center" vertical="center"/>
    </xf>
    <xf numFmtId="0" fontId="18" fillId="0" borderId="134" xfId="0" applyFont="1" applyBorder="1" applyAlignment="1">
      <alignment horizontal="center" vertical="center"/>
    </xf>
    <xf numFmtId="169" fontId="18" fillId="0" borderId="135" xfId="0" applyNumberFormat="1" applyFont="1" applyBorder="1" applyAlignment="1">
      <alignment horizontal="right" vertical="center"/>
    </xf>
    <xf numFmtId="0" fontId="0" fillId="24" borderId="0" xfId="0" applyFill="1" applyAlignment="1">
      <alignment horizontal="center" vertical="center"/>
    </xf>
    <xf numFmtId="0" fontId="0" fillId="23" borderId="0" xfId="0" applyFill="1" applyAlignment="1">
      <alignment horizontal="center" vertical="center"/>
    </xf>
    <xf numFmtId="0" fontId="0" fillId="0" borderId="136" xfId="0" applyBorder="1" applyAlignment="1">
      <alignment horizontal="center" vertical="center"/>
    </xf>
    <xf numFmtId="0" fontId="0" fillId="7" borderId="2" xfId="0" applyFill="1" applyBorder="1" applyAlignment="1" applyProtection="1">
      <alignment horizontal="center" vertical="center"/>
      <protection locked="0"/>
    </xf>
    <xf numFmtId="169" fontId="0" fillId="7" borderId="2" xfId="0" applyNumberFormat="1" applyFill="1" applyBorder="1" applyAlignment="1" applyProtection="1">
      <alignment horizontal="center" vertical="center"/>
      <protection locked="0"/>
    </xf>
    <xf numFmtId="0" fontId="35" fillId="0" borderId="138" xfId="0" applyFont="1" applyBorder="1" applyAlignment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/>
    </xf>
    <xf numFmtId="0" fontId="0" fillId="4" borderId="20" xfId="0" applyFill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0" fillId="6" borderId="6" xfId="0" applyFill="1" applyBorder="1" applyAlignment="1" applyProtection="1">
      <alignment horizontal="center" vertical="center"/>
    </xf>
    <xf numFmtId="169" fontId="0" fillId="6" borderId="6" xfId="0" applyNumberFormat="1" applyFill="1" applyBorder="1" applyAlignment="1" applyProtection="1">
      <alignment horizontal="center" vertical="center"/>
    </xf>
    <xf numFmtId="3" fontId="0" fillId="6" borderId="6" xfId="0" applyNumberFormat="1" applyFill="1" applyBorder="1" applyAlignment="1" applyProtection="1">
      <alignment horizontal="center" vertical="center"/>
    </xf>
    <xf numFmtId="168" fontId="0" fillId="6" borderId="6" xfId="0" applyNumberFormat="1" applyFill="1" applyBorder="1" applyAlignment="1" applyProtection="1">
      <alignment horizontal="center" vertical="center"/>
    </xf>
    <xf numFmtId="0" fontId="0" fillId="8" borderId="6" xfId="0" applyFill="1" applyBorder="1" applyAlignment="1" applyProtection="1">
      <alignment horizontal="center" vertical="center"/>
    </xf>
    <xf numFmtId="169" fontId="0" fillId="8" borderId="6" xfId="0" applyNumberFormat="1" applyFill="1" applyBorder="1" applyAlignment="1" applyProtection="1">
      <alignment horizontal="center" vertical="center"/>
    </xf>
    <xf numFmtId="3" fontId="0" fillId="8" borderId="6" xfId="0" applyNumberFormat="1" applyFill="1" applyBorder="1" applyAlignment="1" applyProtection="1">
      <alignment horizontal="center" vertical="center"/>
    </xf>
    <xf numFmtId="168" fontId="0" fillId="8" borderId="6" xfId="0" applyNumberFormat="1" applyFill="1" applyBorder="1" applyAlignment="1" applyProtection="1">
      <alignment horizontal="center" vertical="center"/>
    </xf>
    <xf numFmtId="0" fontId="0" fillId="42" borderId="6" xfId="0" applyFill="1" applyBorder="1" applyAlignment="1" applyProtection="1">
      <alignment horizontal="center" vertical="center"/>
    </xf>
    <xf numFmtId="3" fontId="0" fillId="42" borderId="6" xfId="0" applyNumberFormat="1" applyFill="1" applyBorder="1" applyAlignment="1" applyProtection="1">
      <alignment horizontal="center" vertical="center"/>
    </xf>
    <xf numFmtId="168" fontId="0" fillId="42" borderId="6" xfId="0" applyNumberFormat="1" applyFill="1" applyBorder="1" applyAlignment="1" applyProtection="1">
      <alignment horizontal="center" vertical="center"/>
    </xf>
    <xf numFmtId="0" fontId="0" fillId="43" borderId="6" xfId="0" applyFill="1" applyBorder="1" applyAlignment="1" applyProtection="1">
      <alignment horizontal="center" vertical="center"/>
    </xf>
    <xf numFmtId="169" fontId="0" fillId="43" borderId="6" xfId="0" applyNumberFormat="1" applyFill="1" applyBorder="1" applyAlignment="1" applyProtection="1">
      <alignment horizontal="center" vertical="center"/>
    </xf>
    <xf numFmtId="3" fontId="0" fillId="43" borderId="6" xfId="0" applyNumberFormat="1" applyFill="1" applyBorder="1" applyAlignment="1" applyProtection="1">
      <alignment horizontal="center" vertical="center"/>
    </xf>
    <xf numFmtId="168" fontId="0" fillId="43" borderId="6" xfId="0" applyNumberFormat="1" applyFill="1" applyBorder="1" applyAlignment="1" applyProtection="1">
      <alignment horizontal="center" vertical="center"/>
    </xf>
    <xf numFmtId="169" fontId="18" fillId="6" borderId="6" xfId="0" applyNumberFormat="1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169" fontId="18" fillId="8" borderId="6" xfId="0" applyNumberFormat="1" applyFont="1" applyFill="1" applyBorder="1" applyAlignment="1" applyProtection="1">
      <alignment horizontal="center" vertical="center"/>
    </xf>
    <xf numFmtId="0" fontId="0" fillId="8" borderId="0" xfId="0" applyFill="1" applyAlignment="1" applyProtection="1">
      <alignment horizontal="center" vertical="center"/>
    </xf>
    <xf numFmtId="169" fontId="18" fillId="42" borderId="6" xfId="0" applyNumberFormat="1" applyFont="1" applyFill="1" applyBorder="1" applyAlignment="1" applyProtection="1">
      <alignment horizontal="center" vertical="center"/>
    </xf>
    <xf numFmtId="0" fontId="0" fillId="42" borderId="0" xfId="0" applyFill="1" applyAlignment="1" applyProtection="1">
      <alignment horizontal="center" vertical="center"/>
    </xf>
    <xf numFmtId="169" fontId="18" fillId="43" borderId="6" xfId="0" applyNumberFormat="1" applyFont="1" applyFill="1" applyBorder="1" applyAlignment="1" applyProtection="1">
      <alignment horizontal="center" vertical="center"/>
    </xf>
    <xf numFmtId="0" fontId="0" fillId="43" borderId="0" xfId="0" applyFill="1" applyAlignment="1" applyProtection="1">
      <alignment horizontal="center" vertical="center"/>
    </xf>
    <xf numFmtId="169" fontId="18" fillId="23" borderId="6" xfId="0" applyNumberFormat="1" applyFont="1" applyFill="1" applyBorder="1" applyAlignment="1" applyProtection="1">
      <alignment horizontal="center" vertical="center"/>
    </xf>
    <xf numFmtId="0" fontId="0" fillId="23" borderId="0" xfId="0" applyFill="1" applyAlignment="1" applyProtection="1">
      <alignment horizontal="center" vertical="center"/>
    </xf>
    <xf numFmtId="169" fontId="18" fillId="24" borderId="6" xfId="0" applyNumberFormat="1" applyFont="1" applyFill="1" applyBorder="1" applyAlignment="1" applyProtection="1">
      <alignment horizontal="center" vertical="center"/>
    </xf>
    <xf numFmtId="0" fontId="0" fillId="24" borderId="0" xfId="0" applyFill="1" applyAlignment="1" applyProtection="1">
      <alignment horizontal="center" vertical="center"/>
    </xf>
    <xf numFmtId="169" fontId="39" fillId="0" borderId="0" xfId="0" applyNumberFormat="1" applyFont="1" applyBorder="1" applyAlignment="1" applyProtection="1">
      <alignment horizontal="center" vertical="center"/>
    </xf>
    <xf numFmtId="0" fontId="0" fillId="4" borderId="0" xfId="0" applyFill="1" applyBorder="1" applyAlignment="1" applyProtection="1">
      <alignment horizontal="center" vertical="center"/>
    </xf>
    <xf numFmtId="0" fontId="0" fillId="24" borderId="0" xfId="0" applyFill="1" applyBorder="1" applyAlignment="1" applyProtection="1">
      <alignment horizontal="center" vertical="center"/>
    </xf>
    <xf numFmtId="0" fontId="0" fillId="23" borderId="0" xfId="0" applyFill="1" applyBorder="1" applyAlignment="1" applyProtection="1">
      <alignment horizontal="center" vertical="center"/>
    </xf>
    <xf numFmtId="0" fontId="0" fillId="43" borderId="0" xfId="0" applyFill="1" applyBorder="1" applyAlignment="1" applyProtection="1">
      <alignment horizontal="center" vertical="center"/>
    </xf>
    <xf numFmtId="0" fontId="0" fillId="42" borderId="0" xfId="0" applyFill="1" applyBorder="1" applyAlignment="1" applyProtection="1">
      <alignment horizontal="center" vertical="center"/>
    </xf>
    <xf numFmtId="0" fontId="0" fillId="8" borderId="0" xfId="0" applyFill="1" applyBorder="1" applyAlignment="1" applyProtection="1">
      <alignment horizontal="center" vertical="center"/>
    </xf>
    <xf numFmtId="0" fontId="0" fillId="6" borderId="0" xfId="0" applyFill="1" applyBorder="1" applyAlignment="1" applyProtection="1">
      <alignment horizontal="center" vertical="center"/>
    </xf>
    <xf numFmtId="169" fontId="8" fillId="0" borderId="0" xfId="0" applyNumberFormat="1" applyFont="1" applyBorder="1" applyAlignment="1" applyProtection="1">
      <alignment horizontal="center" vertical="center"/>
    </xf>
    <xf numFmtId="169" fontId="8" fillId="55" borderId="0" xfId="0" applyNumberFormat="1" applyFont="1" applyFill="1" applyBorder="1" applyAlignment="1" applyProtection="1">
      <alignment horizontal="center" vertical="center"/>
    </xf>
    <xf numFmtId="169" fontId="10" fillId="55" borderId="0" xfId="0" applyNumberFormat="1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18" fillId="0" borderId="0" xfId="0" applyFont="1" applyBorder="1" applyAlignment="1" applyProtection="1">
      <alignment horizontal="center" vertical="center"/>
    </xf>
    <xf numFmtId="169" fontId="0" fillId="6" borderId="0" xfId="0" applyNumberFormat="1" applyFill="1" applyBorder="1" applyAlignment="1" applyProtection="1">
      <alignment horizontal="center" vertical="center"/>
    </xf>
    <xf numFmtId="169" fontId="0" fillId="8" borderId="0" xfId="0" applyNumberFormat="1" applyFill="1" applyBorder="1" applyAlignment="1" applyProtection="1">
      <alignment horizontal="center" vertical="center"/>
    </xf>
    <xf numFmtId="169" fontId="0" fillId="42" borderId="0" xfId="0" applyNumberFormat="1" applyFill="1" applyBorder="1" applyAlignment="1" applyProtection="1">
      <alignment horizontal="center" vertical="center"/>
    </xf>
    <xf numFmtId="169" fontId="0" fillId="43" borderId="0" xfId="0" applyNumberFormat="1" applyFill="1" applyBorder="1" applyAlignment="1" applyProtection="1">
      <alignment horizontal="center" vertical="center"/>
    </xf>
    <xf numFmtId="0" fontId="0" fillId="0" borderId="10" xfId="0" applyBorder="1" applyAlignment="1" applyProtection="1">
      <alignment horizontal="center" vertical="center"/>
    </xf>
    <xf numFmtId="169" fontId="0" fillId="23" borderId="0" xfId="0" applyNumberFormat="1" applyFill="1" applyBorder="1" applyAlignment="1" applyProtection="1">
      <alignment horizontal="center" vertical="center"/>
    </xf>
    <xf numFmtId="0" fontId="0" fillId="4" borderId="10" xfId="0" applyFill="1" applyBorder="1" applyAlignment="1" applyProtection="1">
      <alignment horizontal="center" vertical="center"/>
    </xf>
    <xf numFmtId="0" fontId="0" fillId="4" borderId="6" xfId="0" applyFill="1" applyBorder="1" applyAlignment="1" applyProtection="1">
      <alignment horizontal="center" vertical="center"/>
    </xf>
    <xf numFmtId="0" fontId="0" fillId="23" borderId="6" xfId="0" applyFill="1" applyBorder="1" applyAlignment="1" applyProtection="1">
      <alignment horizontal="center" vertical="center"/>
    </xf>
    <xf numFmtId="169" fontId="0" fillId="24" borderId="0" xfId="0" applyNumberFormat="1" applyFill="1" applyBorder="1" applyAlignment="1" applyProtection="1">
      <alignment horizontal="center" vertical="center"/>
    </xf>
    <xf numFmtId="0" fontId="0" fillId="24" borderId="6" xfId="0" applyFill="1" applyBorder="1" applyAlignment="1" applyProtection="1">
      <alignment horizontal="center" vertical="center"/>
    </xf>
    <xf numFmtId="166" fontId="0" fillId="0" borderId="0" xfId="3" applyFont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7" borderId="0" xfId="0" applyFill="1" applyAlignment="1" applyProtection="1">
      <alignment horizontal="center" vertical="center"/>
      <protection locked="0"/>
    </xf>
    <xf numFmtId="169" fontId="0" fillId="7" borderId="0" xfId="0" applyNumberFormat="1" applyFill="1" applyAlignment="1" applyProtection="1">
      <alignment horizontal="center" vertical="center"/>
      <protection locked="0"/>
    </xf>
    <xf numFmtId="3" fontId="0" fillId="14" borderId="6" xfId="0" applyNumberFormat="1" applyFill="1" applyBorder="1" applyAlignment="1" applyProtection="1">
      <alignment horizontal="center" vertical="center"/>
    </xf>
    <xf numFmtId="168" fontId="0" fillId="14" borderId="6" xfId="0" applyNumberFormat="1" applyFill="1" applyBorder="1" applyAlignment="1" applyProtection="1">
      <alignment horizontal="center" vertical="center"/>
    </xf>
    <xf numFmtId="0" fontId="2" fillId="10" borderId="6" xfId="0" applyFont="1" applyFill="1" applyBorder="1" applyAlignment="1" applyProtection="1">
      <alignment horizontal="center" vertical="center"/>
    </xf>
    <xf numFmtId="169" fontId="2" fillId="10" borderId="6" xfId="0" applyNumberFormat="1" applyFont="1" applyFill="1" applyBorder="1" applyAlignment="1" applyProtection="1">
      <alignment horizontal="center" vertical="center"/>
    </xf>
    <xf numFmtId="169" fontId="0" fillId="7" borderId="6" xfId="0" applyNumberFormat="1" applyFill="1" applyBorder="1" applyAlignment="1" applyProtection="1">
      <alignment horizontal="center" vertical="center"/>
    </xf>
    <xf numFmtId="4" fontId="2" fillId="10" borderId="6" xfId="0" applyNumberFormat="1" applyFont="1" applyFill="1" applyBorder="1" applyAlignment="1" applyProtection="1">
      <alignment horizontal="center" vertical="center"/>
    </xf>
    <xf numFmtId="169" fontId="18" fillId="14" borderId="6" xfId="0" applyNumberFormat="1" applyFont="1" applyFill="1" applyBorder="1" applyAlignment="1" applyProtection="1">
      <alignment horizontal="center" vertical="center"/>
    </xf>
    <xf numFmtId="0" fontId="0" fillId="14" borderId="0" xfId="0" applyFill="1" applyAlignment="1" applyProtection="1">
      <alignment horizontal="center" vertical="center"/>
    </xf>
    <xf numFmtId="169" fontId="18" fillId="10" borderId="6" xfId="0" applyNumberFormat="1" applyFont="1" applyFill="1" applyBorder="1" applyAlignment="1" applyProtection="1">
      <alignment horizontal="center" vertical="center"/>
    </xf>
    <xf numFmtId="169" fontId="18" fillId="55" borderId="0" xfId="0" applyNumberFormat="1" applyFont="1" applyFill="1" applyBorder="1" applyAlignment="1" applyProtection="1">
      <alignment horizontal="right" vertical="center"/>
    </xf>
    <xf numFmtId="169" fontId="0" fillId="12" borderId="0" xfId="0" applyNumberFormat="1" applyFill="1" applyBorder="1" applyAlignment="1" applyProtection="1">
      <alignment horizontal="center" vertical="center"/>
    </xf>
    <xf numFmtId="0" fontId="0" fillId="9" borderId="10" xfId="0" applyFill="1" applyBorder="1" applyAlignment="1" applyProtection="1">
      <alignment horizontal="center" vertical="center"/>
    </xf>
    <xf numFmtId="0" fontId="0" fillId="9" borderId="6" xfId="0" applyFill="1" applyBorder="1" applyAlignment="1" applyProtection="1">
      <alignment horizontal="center" vertical="center"/>
    </xf>
    <xf numFmtId="169" fontId="0" fillId="7" borderId="0" xfId="0" applyNumberFormat="1" applyFill="1" applyBorder="1" applyAlignment="1" applyProtection="1">
      <alignment horizontal="center" vertical="center"/>
    </xf>
    <xf numFmtId="0" fontId="0" fillId="7" borderId="0" xfId="0" applyFill="1" applyAlignment="1" applyProtection="1">
      <alignment horizontal="center" vertical="center"/>
    </xf>
    <xf numFmtId="0" fontId="0" fillId="0" borderId="0" xfId="0" applyAlignment="1">
      <alignment horizontal="center" vertical="center" shrinkToFit="1"/>
    </xf>
    <xf numFmtId="0" fontId="42" fillId="0" borderId="0" xfId="0" applyFont="1" applyAlignment="1">
      <alignment horizontal="center" vertical="center"/>
    </xf>
    <xf numFmtId="0" fontId="60" fillId="0" borderId="0" xfId="0" applyFont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locked="0"/>
    </xf>
    <xf numFmtId="0" fontId="43" fillId="0" borderId="0" xfId="0" applyFont="1" applyProtection="1">
      <protection locked="0"/>
    </xf>
    <xf numFmtId="0" fontId="43" fillId="0" borderId="0" xfId="0" applyFont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169" fontId="0" fillId="0" borderId="0" xfId="0" applyNumberFormat="1" applyAlignment="1" applyProtection="1">
      <alignment horizontal="center" vertical="center"/>
      <protection locked="0"/>
    </xf>
    <xf numFmtId="169" fontId="0" fillId="7" borderId="6" xfId="0" applyNumberFormat="1" applyFill="1" applyBorder="1" applyAlignment="1" applyProtection="1">
      <alignment horizontal="center" vertical="center"/>
      <protection locked="0"/>
    </xf>
    <xf numFmtId="169" fontId="0" fillId="0" borderId="0" xfId="0" applyNumberFormat="1"/>
    <xf numFmtId="169" fontId="0" fillId="46" borderId="6" xfId="0" applyNumberFormat="1" applyFill="1" applyBorder="1" applyAlignment="1" applyProtection="1">
      <alignment horizontal="center" vertical="center"/>
      <protection locked="0"/>
    </xf>
    <xf numFmtId="169" fontId="0" fillId="9" borderId="6" xfId="0" applyNumberFormat="1" applyFill="1" applyBorder="1" applyAlignment="1" applyProtection="1">
      <alignment horizontal="center" vertical="center"/>
      <protection locked="0"/>
    </xf>
    <xf numFmtId="169" fontId="18" fillId="4" borderId="6" xfId="0" applyNumberFormat="1" applyFont="1" applyFill="1" applyBorder="1" applyAlignment="1" applyProtection="1">
      <alignment horizontal="center" vertical="center"/>
      <protection locked="0"/>
    </xf>
    <xf numFmtId="169" fontId="0" fillId="0" borderId="140" xfId="0" applyNumberFormat="1" applyBorder="1" applyAlignment="1">
      <alignment horizontal="center" vertical="center"/>
    </xf>
    <xf numFmtId="0" fontId="0" fillId="0" borderId="141" xfId="0" applyBorder="1" applyAlignment="1">
      <alignment horizontal="center" vertical="center"/>
    </xf>
    <xf numFmtId="0" fontId="0" fillId="0" borderId="142" xfId="0" applyBorder="1" applyAlignment="1">
      <alignment horizontal="center" vertical="center"/>
    </xf>
    <xf numFmtId="0" fontId="0" fillId="0" borderId="143" xfId="0" applyBorder="1" applyAlignment="1">
      <alignment horizontal="center" vertical="center"/>
    </xf>
    <xf numFmtId="169" fontId="0" fillId="0" borderId="144" xfId="0" applyNumberFormat="1" applyBorder="1" applyAlignment="1">
      <alignment horizontal="center" vertical="center"/>
    </xf>
    <xf numFmtId="0" fontId="0" fillId="17" borderId="6" xfId="0" applyFill="1" applyBorder="1" applyAlignment="1">
      <alignment horizontal="center" vertical="center"/>
    </xf>
    <xf numFmtId="169" fontId="0" fillId="17" borderId="6" xfId="0" applyNumberFormat="1" applyFill="1" applyBorder="1" applyAlignment="1">
      <alignment horizontal="center" vertical="center"/>
    </xf>
    <xf numFmtId="0" fontId="0" fillId="0" borderId="145" xfId="0" applyBorder="1" applyAlignment="1" applyProtection="1">
      <alignment horizontal="center" vertical="center"/>
      <protection locked="0"/>
    </xf>
    <xf numFmtId="169" fontId="0" fillId="0" borderId="145" xfId="0" applyNumberFormat="1" applyBorder="1" applyAlignment="1" applyProtection="1">
      <alignment horizontal="center" vertical="center"/>
      <protection locked="0"/>
    </xf>
    <xf numFmtId="0" fontId="0" fillId="0" borderId="146" xfId="0" applyBorder="1" applyAlignment="1">
      <alignment horizontal="center" vertical="center"/>
    </xf>
    <xf numFmtId="169" fontId="0" fillId="0" borderId="147" xfId="0" applyNumberFormat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169" fontId="0" fillId="13" borderId="6" xfId="0" applyNumberFormat="1" applyFill="1" applyBorder="1" applyAlignment="1">
      <alignment horizontal="center" vertical="center"/>
    </xf>
    <xf numFmtId="0" fontId="0" fillId="0" borderId="148" xfId="0" applyBorder="1" applyAlignment="1">
      <alignment horizontal="center" vertical="center"/>
    </xf>
    <xf numFmtId="169" fontId="0" fillId="0" borderId="149" xfId="0" applyNumberFormat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169" fontId="0" fillId="9" borderId="6" xfId="0" applyNumberFormat="1" applyFill="1" applyBorder="1" applyAlignment="1">
      <alignment horizontal="center" vertical="center"/>
    </xf>
    <xf numFmtId="0" fontId="0" fillId="0" borderId="150" xfId="0" applyBorder="1" applyAlignment="1" applyProtection="1">
      <alignment horizontal="center" vertical="center"/>
      <protection locked="0"/>
    </xf>
    <xf numFmtId="169" fontId="0" fillId="0" borderId="150" xfId="0" applyNumberFormat="1" applyBorder="1" applyAlignment="1" applyProtection="1">
      <alignment horizontal="center" vertical="center"/>
      <protection locked="0"/>
    </xf>
    <xf numFmtId="0" fontId="0" fillId="0" borderId="151" xfId="0" applyBorder="1" applyAlignment="1">
      <alignment horizontal="center" vertical="center"/>
    </xf>
    <xf numFmtId="169" fontId="0" fillId="0" borderId="152" xfId="0" applyNumberFormat="1" applyBorder="1" applyAlignment="1">
      <alignment horizontal="center" vertical="center"/>
    </xf>
    <xf numFmtId="0" fontId="0" fillId="0" borderId="153" xfId="0" applyBorder="1" applyAlignment="1">
      <alignment horizontal="center" vertical="center"/>
    </xf>
    <xf numFmtId="169" fontId="0" fillId="0" borderId="154" xfId="0" applyNumberFormat="1" applyBorder="1" applyAlignment="1">
      <alignment horizontal="center" vertical="center"/>
    </xf>
    <xf numFmtId="169" fontId="0" fillId="0" borderId="155" xfId="0" applyNumberFormat="1" applyBorder="1" applyAlignment="1" applyProtection="1">
      <alignment horizontal="center" vertical="center"/>
      <protection locked="0"/>
    </xf>
    <xf numFmtId="169" fontId="0" fillId="0" borderId="57" xfId="0" applyNumberFormat="1" applyBorder="1" applyProtection="1">
      <protection locked="0"/>
    </xf>
    <xf numFmtId="169" fontId="0" fillId="0" borderId="57" xfId="0" applyNumberFormat="1" applyBorder="1" applyAlignment="1" applyProtection="1">
      <alignment horizontal="center" vertical="center"/>
      <protection locked="0"/>
    </xf>
    <xf numFmtId="169" fontId="0" fillId="0" borderId="156" xfId="0" applyNumberFormat="1" applyBorder="1" applyAlignment="1" applyProtection="1">
      <alignment horizontal="center" vertical="center"/>
      <protection locked="0"/>
    </xf>
    <xf numFmtId="169" fontId="0" fillId="0" borderId="54" xfId="0" applyNumberFormat="1" applyBorder="1" applyProtection="1">
      <protection locked="0"/>
    </xf>
    <xf numFmtId="169" fontId="0" fillId="0" borderId="54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9" fontId="0" fillId="0" borderId="6" xfId="0" applyNumberFormat="1" applyBorder="1" applyAlignment="1">
      <alignment horizontal="center" vertical="center"/>
    </xf>
    <xf numFmtId="0" fontId="60" fillId="0" borderId="0" xfId="0" applyFont="1" applyAlignment="1" applyProtection="1">
      <alignment horizontal="center" vertical="center"/>
      <protection locked="0"/>
    </xf>
    <xf numFmtId="169" fontId="0" fillId="0" borderId="0" xfId="0" applyNumberFormat="1" applyProtection="1">
      <protection locked="0"/>
    </xf>
    <xf numFmtId="169" fontId="0" fillId="0" borderId="140" xfId="0" applyNumberFormat="1" applyBorder="1" applyAlignment="1" applyProtection="1">
      <alignment horizontal="center" vertical="center"/>
      <protection locked="0"/>
    </xf>
    <xf numFmtId="0" fontId="0" fillId="0" borderId="157" xfId="0" applyBorder="1" applyAlignment="1">
      <alignment horizontal="center" vertical="center"/>
    </xf>
    <xf numFmtId="0" fontId="0" fillId="0" borderId="158" xfId="0" applyBorder="1" applyAlignment="1">
      <alignment horizontal="center" vertical="center"/>
    </xf>
    <xf numFmtId="169" fontId="0" fillId="17" borderId="0" xfId="0" applyNumberFormat="1" applyFill="1" applyAlignment="1">
      <alignment horizontal="center" vertical="center"/>
    </xf>
    <xf numFmtId="0" fontId="0" fillId="0" borderId="159" xfId="0" applyBorder="1" applyAlignment="1">
      <alignment horizontal="center" vertical="center"/>
    </xf>
    <xf numFmtId="0" fontId="0" fillId="0" borderId="160" xfId="0" applyBorder="1" applyAlignment="1">
      <alignment horizontal="center" vertical="center"/>
    </xf>
    <xf numFmtId="0" fontId="0" fillId="0" borderId="161" xfId="0" applyBorder="1" applyAlignment="1">
      <alignment horizontal="center" vertical="center"/>
    </xf>
    <xf numFmtId="0" fontId="44" fillId="0" borderId="0" xfId="0" applyFont="1" applyAlignment="1">
      <alignment horizontal="center" vertical="center" shrinkToFit="1"/>
    </xf>
    <xf numFmtId="0" fontId="44" fillId="46" borderId="0" xfId="0" applyFont="1" applyFill="1" applyAlignment="1">
      <alignment horizontal="center" vertical="center" shrinkToFit="1"/>
    </xf>
    <xf numFmtId="169" fontId="44" fillId="7" borderId="0" xfId="0" applyNumberFormat="1" applyFont="1" applyFill="1" applyAlignment="1" applyProtection="1">
      <alignment horizontal="center" vertical="center" shrinkToFit="1"/>
      <protection locked="0"/>
    </xf>
    <xf numFmtId="169" fontId="44" fillId="0" borderId="0" xfId="0" applyNumberFormat="1" applyFont="1" applyAlignment="1">
      <alignment horizontal="center" vertical="center" shrinkToFit="1"/>
    </xf>
    <xf numFmtId="0" fontId="44" fillId="19" borderId="0" xfId="0" applyFont="1" applyFill="1" applyAlignment="1">
      <alignment horizontal="center" vertical="center" shrinkToFit="1"/>
    </xf>
    <xf numFmtId="0" fontId="44" fillId="7" borderId="0" xfId="0" applyFont="1" applyFill="1" applyAlignment="1" applyProtection="1">
      <alignment horizontal="center" vertical="center" shrinkToFit="1"/>
      <protection locked="0"/>
    </xf>
    <xf numFmtId="2" fontId="44" fillId="7" borderId="0" xfId="0" applyNumberFormat="1" applyFont="1" applyFill="1" applyAlignment="1" applyProtection="1">
      <alignment horizontal="center" vertical="center" shrinkToFit="1"/>
      <protection locked="0"/>
    </xf>
    <xf numFmtId="0" fontId="44" fillId="20" borderId="0" xfId="0" applyFont="1" applyFill="1" applyAlignment="1">
      <alignment horizontal="center" vertical="center" shrinkToFit="1"/>
    </xf>
    <xf numFmtId="0" fontId="44" fillId="17" borderId="0" xfId="0" applyFont="1" applyFill="1" applyAlignment="1">
      <alignment horizontal="center" vertical="center" shrinkToFit="1"/>
    </xf>
    <xf numFmtId="4" fontId="62" fillId="7" borderId="6" xfId="0" applyNumberFormat="1" applyFont="1" applyFill="1" applyBorder="1" applyAlignment="1" applyProtection="1">
      <alignment horizontal="center" vertical="center" shrinkToFit="1"/>
      <protection locked="0"/>
    </xf>
    <xf numFmtId="0" fontId="44" fillId="0" borderId="0" xfId="0" quotePrefix="1" applyFont="1" applyAlignment="1">
      <alignment horizontal="center" vertical="center" shrinkToFit="1"/>
    </xf>
    <xf numFmtId="169" fontId="44" fillId="24" borderId="0" xfId="0" applyNumberFormat="1" applyFont="1" applyFill="1" applyAlignment="1">
      <alignment horizontal="center" vertical="center" shrinkToFit="1"/>
    </xf>
    <xf numFmtId="4" fontId="44" fillId="7" borderId="0" xfId="0" applyNumberFormat="1" applyFont="1" applyFill="1" applyAlignment="1" applyProtection="1">
      <alignment horizontal="center" vertical="center" shrinkToFit="1"/>
      <protection locked="0"/>
    </xf>
    <xf numFmtId="0" fontId="62" fillId="0" borderId="0" xfId="0" quotePrefix="1" applyFont="1" applyAlignment="1">
      <alignment horizontal="center" vertical="center" shrinkToFit="1"/>
    </xf>
    <xf numFmtId="4" fontId="62" fillId="24" borderId="0" xfId="0" applyNumberFormat="1" applyFont="1" applyFill="1" applyAlignment="1" applyProtection="1">
      <alignment horizontal="center" vertical="center" shrinkToFit="1"/>
      <protection locked="0"/>
    </xf>
    <xf numFmtId="0" fontId="44" fillId="7" borderId="6" xfId="0" applyFont="1" applyFill="1" applyBorder="1" applyAlignment="1" applyProtection="1">
      <alignment horizontal="center" vertical="center" shrinkToFit="1"/>
      <protection locked="0"/>
    </xf>
    <xf numFmtId="0" fontId="44" fillId="7" borderId="162" xfId="0" applyFont="1" applyFill="1" applyBorder="1" applyAlignment="1" applyProtection="1">
      <alignment horizontal="center" vertical="center" shrinkToFit="1"/>
      <protection locked="0"/>
    </xf>
    <xf numFmtId="4" fontId="44" fillId="7" borderId="163" xfId="0" applyNumberFormat="1" applyFont="1" applyFill="1" applyBorder="1" applyAlignment="1" applyProtection="1">
      <alignment horizontal="center" vertical="center" shrinkToFit="1"/>
      <protection locked="0"/>
    </xf>
    <xf numFmtId="4" fontId="44" fillId="24" borderId="0" xfId="0" applyNumberFormat="1" applyFont="1" applyFill="1" applyAlignment="1">
      <alignment horizontal="center" vertical="center" shrinkToFit="1"/>
    </xf>
    <xf numFmtId="176" fontId="44" fillId="0" borderId="0" xfId="0" applyNumberFormat="1" applyFont="1" applyAlignment="1">
      <alignment horizontal="center" vertical="center" shrinkToFit="1"/>
    </xf>
    <xf numFmtId="0" fontId="0" fillId="0" borderId="10" xfId="0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 wrapText="1"/>
    </xf>
    <xf numFmtId="0" fontId="0" fillId="0" borderId="7" xfId="0" applyBorder="1" applyAlignment="1" applyProtection="1">
      <alignment horizontal="center" vertical="center" wrapText="1"/>
    </xf>
    <xf numFmtId="0" fontId="0" fillId="0" borderId="78" xfId="0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 wrapText="1"/>
    </xf>
    <xf numFmtId="0" fontId="18" fillId="43" borderId="6" xfId="0" applyFont="1" applyFill="1" applyBorder="1" applyAlignment="1" applyProtection="1">
      <alignment horizontal="center" vertical="center" wrapText="1"/>
    </xf>
    <xf numFmtId="4" fontId="18" fillId="19" borderId="6" xfId="0" applyNumberFormat="1" applyFont="1" applyFill="1" applyBorder="1" applyAlignment="1">
      <alignment horizontal="center" vertical="center"/>
    </xf>
    <xf numFmtId="169" fontId="18" fillId="19" borderId="6" xfId="0" applyNumberFormat="1" applyFont="1" applyFill="1" applyBorder="1" applyAlignment="1">
      <alignment horizontal="center" vertical="center"/>
    </xf>
    <xf numFmtId="0" fontId="18" fillId="42" borderId="6" xfId="0" applyFont="1" applyFill="1" applyBorder="1" applyAlignment="1" applyProtection="1">
      <alignment horizontal="center" vertical="center" wrapText="1"/>
    </xf>
    <xf numFmtId="169" fontId="0" fillId="51" borderId="6" xfId="0" applyNumberFormat="1" applyFill="1" applyBorder="1" applyAlignment="1" applyProtection="1">
      <alignment horizontal="center" vertical="center" wrapText="1"/>
    </xf>
    <xf numFmtId="4" fontId="2" fillId="0" borderId="6" xfId="0" applyNumberFormat="1" applyFont="1" applyBorder="1" applyAlignment="1" applyProtection="1">
      <alignment horizontal="center" vertical="center" wrapText="1"/>
    </xf>
    <xf numFmtId="0" fontId="2" fillId="0" borderId="80" xfId="0" applyFont="1" applyBorder="1" applyAlignment="1" applyProtection="1">
      <alignment horizontal="center" vertical="center" wrapText="1"/>
    </xf>
    <xf numFmtId="0" fontId="2" fillId="0" borderId="81" xfId="0" applyFont="1" applyBorder="1" applyAlignment="1" applyProtection="1">
      <alignment horizontal="center" vertical="center" wrapText="1"/>
    </xf>
    <xf numFmtId="0" fontId="2" fillId="0" borderId="82" xfId="0" applyFont="1" applyBorder="1" applyAlignment="1" applyProtection="1">
      <alignment horizontal="center" vertical="center" wrapText="1"/>
    </xf>
    <xf numFmtId="0" fontId="2" fillId="0" borderId="30" xfId="0" applyFont="1" applyBorder="1" applyAlignment="1" applyProtection="1">
      <alignment horizontal="center" vertical="center" wrapText="1"/>
    </xf>
    <xf numFmtId="0" fontId="2" fillId="0" borderId="78" xfId="0" applyFont="1" applyBorder="1" applyAlignment="1" applyProtection="1">
      <alignment horizontal="center" vertical="center" wrapText="1"/>
    </xf>
    <xf numFmtId="0" fontId="2" fillId="0" borderId="83" xfId="0" applyFont="1" applyBorder="1" applyAlignment="1" applyProtection="1">
      <alignment horizontal="center" vertical="center" wrapText="1"/>
    </xf>
    <xf numFmtId="169" fontId="0" fillId="51" borderId="20" xfId="0" applyNumberFormat="1" applyFill="1" applyBorder="1" applyAlignment="1" applyProtection="1">
      <alignment horizontal="center" vertical="center" wrapText="1"/>
    </xf>
    <xf numFmtId="169" fontId="0" fillId="51" borderId="84" xfId="0" applyNumberFormat="1" applyFill="1" applyBorder="1" applyAlignment="1" applyProtection="1">
      <alignment horizontal="center" vertical="center" wrapText="1"/>
    </xf>
    <xf numFmtId="169" fontId="0" fillId="6" borderId="6" xfId="0" applyNumberFormat="1" applyFill="1" applyBorder="1" applyAlignment="1" applyProtection="1">
      <alignment horizontal="center" vertical="center" wrapText="1"/>
    </xf>
    <xf numFmtId="169" fontId="0" fillId="17" borderId="0" xfId="0" applyNumberFormat="1" applyFill="1" applyAlignment="1" applyProtection="1">
      <alignment horizontal="center" vertical="center"/>
    </xf>
    <xf numFmtId="169" fontId="0" fillId="48" borderId="10" xfId="0" applyNumberFormat="1" applyFill="1" applyBorder="1" applyAlignment="1" applyProtection="1">
      <alignment horizontal="center" vertical="center" wrapText="1"/>
    </xf>
    <xf numFmtId="169" fontId="0" fillId="48" borderId="6" xfId="0" applyNumberFormat="1" applyFill="1" applyBorder="1" applyAlignment="1" applyProtection="1">
      <alignment horizontal="center" vertical="center"/>
    </xf>
    <xf numFmtId="169" fontId="0" fillId="55" borderId="6" xfId="0" applyNumberFormat="1" applyFill="1" applyBorder="1" applyAlignment="1" applyProtection="1">
      <alignment horizontal="center" vertical="center" wrapText="1"/>
    </xf>
    <xf numFmtId="0" fontId="0" fillId="0" borderId="6" xfId="0" applyBorder="1" applyAlignment="1" applyProtection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44" fillId="43" borderId="6" xfId="0" applyFont="1" applyFill="1" applyBorder="1" applyAlignment="1" applyProtection="1">
      <alignment horizontal="center" vertical="center" wrapText="1"/>
    </xf>
    <xf numFmtId="4" fontId="32" fillId="19" borderId="6" xfId="0" applyNumberFormat="1" applyFont="1" applyFill="1" applyBorder="1" applyAlignment="1">
      <alignment horizontal="center" vertical="center"/>
    </xf>
    <xf numFmtId="0" fontId="32" fillId="0" borderId="164" xfId="0" applyFont="1" applyBorder="1" applyAlignment="1">
      <alignment horizontal="center" vertical="center"/>
    </xf>
    <xf numFmtId="169" fontId="32" fillId="0" borderId="165" xfId="0" applyNumberFormat="1" applyFont="1" applyBorder="1" applyAlignment="1">
      <alignment horizontal="center" vertical="center"/>
    </xf>
    <xf numFmtId="0" fontId="32" fillId="43" borderId="0" xfId="0" applyFont="1" applyFill="1" applyAlignment="1">
      <alignment horizontal="center" vertical="center"/>
    </xf>
    <xf numFmtId="169" fontId="32" fillId="19" borderId="0" xfId="0" applyNumberFormat="1" applyFont="1" applyFill="1" applyAlignment="1">
      <alignment horizontal="center" vertical="center"/>
    </xf>
    <xf numFmtId="169" fontId="32" fillId="9" borderId="166" xfId="0" applyNumberFormat="1" applyFont="1" applyFill="1" applyBorder="1" applyAlignment="1">
      <alignment horizontal="center" vertical="center"/>
    </xf>
    <xf numFmtId="169" fontId="32" fillId="9" borderId="167" xfId="0" applyNumberFormat="1" applyFont="1" applyFill="1" applyBorder="1" applyAlignment="1">
      <alignment horizontal="center" vertical="center"/>
    </xf>
    <xf numFmtId="0" fontId="32" fillId="0" borderId="168" xfId="0" applyFont="1" applyBorder="1" applyAlignment="1">
      <alignment horizontal="center" vertical="center"/>
    </xf>
    <xf numFmtId="169" fontId="32" fillId="0" borderId="169" xfId="0" applyNumberFormat="1" applyFont="1" applyBorder="1" applyAlignment="1">
      <alignment horizontal="center" vertical="center"/>
    </xf>
    <xf numFmtId="0" fontId="44" fillId="42" borderId="6" xfId="0" applyFont="1" applyFill="1" applyBorder="1" applyAlignment="1" applyProtection="1">
      <alignment horizontal="center" vertical="center" wrapText="1"/>
    </xf>
    <xf numFmtId="0" fontId="32" fillId="12" borderId="169" xfId="0" applyFont="1" applyFill="1" applyBorder="1" applyAlignment="1">
      <alignment horizontal="center" vertical="center"/>
    </xf>
    <xf numFmtId="169" fontId="32" fillId="19" borderId="6" xfId="0" applyNumberFormat="1" applyFont="1" applyFill="1" applyBorder="1" applyAlignment="1">
      <alignment horizontal="center" vertical="center"/>
    </xf>
    <xf numFmtId="0" fontId="32" fillId="0" borderId="6" xfId="0" applyFont="1" applyBorder="1" applyAlignment="1">
      <alignment horizontal="center" vertical="center"/>
    </xf>
    <xf numFmtId="0" fontId="32" fillId="0" borderId="169" xfId="0" applyFont="1" applyBorder="1" applyAlignment="1">
      <alignment horizontal="center" vertical="center"/>
    </xf>
    <xf numFmtId="0" fontId="44" fillId="4" borderId="10" xfId="0" applyFont="1" applyFill="1" applyBorder="1" applyAlignment="1">
      <alignment horizontal="center" vertical="center"/>
    </xf>
    <xf numFmtId="0" fontId="32" fillId="4" borderId="6" xfId="0" applyFont="1" applyFill="1" applyBorder="1" applyAlignment="1">
      <alignment horizontal="center" vertical="center"/>
    </xf>
    <xf numFmtId="4" fontId="32" fillId="0" borderId="169" xfId="0" applyNumberFormat="1" applyFont="1" applyBorder="1" applyAlignment="1">
      <alignment horizontal="center" vertical="center"/>
    </xf>
    <xf numFmtId="0" fontId="32" fillId="0" borderId="170" xfId="0" applyFont="1" applyBorder="1" applyAlignment="1">
      <alignment horizontal="center" vertical="center"/>
    </xf>
    <xf numFmtId="0" fontId="32" fillId="0" borderId="171" xfId="0" applyFont="1" applyBorder="1" applyAlignment="1">
      <alignment horizontal="center" vertical="center"/>
    </xf>
    <xf numFmtId="0" fontId="32" fillId="0" borderId="6" xfId="0" applyFont="1" applyBorder="1" applyAlignment="1" applyProtection="1">
      <alignment horizontal="center" vertical="center" wrapText="1"/>
    </xf>
    <xf numFmtId="3" fontId="32" fillId="4" borderId="6" xfId="0" applyNumberFormat="1" applyFont="1" applyFill="1" applyBorder="1" applyAlignment="1" applyProtection="1">
      <alignment horizontal="center" vertical="center" wrapText="1"/>
    </xf>
    <xf numFmtId="4" fontId="32" fillId="9" borderId="6" xfId="0" applyNumberFormat="1" applyFont="1" applyFill="1" applyBorder="1" applyAlignment="1" applyProtection="1">
      <alignment horizontal="center" vertical="center" wrapText="1"/>
    </xf>
    <xf numFmtId="169" fontId="32" fillId="9" borderId="0" xfId="0" applyNumberFormat="1" applyFont="1" applyFill="1" applyAlignment="1">
      <alignment horizontal="center" vertical="center"/>
    </xf>
    <xf numFmtId="4" fontId="32" fillId="11" borderId="6" xfId="0" applyNumberFormat="1" applyFont="1" applyFill="1" applyBorder="1" applyAlignment="1" applyProtection="1">
      <alignment horizontal="center" vertical="center" wrapText="1"/>
    </xf>
    <xf numFmtId="4" fontId="32" fillId="0" borderId="6" xfId="0" applyNumberFormat="1" applyFont="1" applyBorder="1" applyAlignment="1" applyProtection="1">
      <alignment horizontal="center" vertical="center" wrapText="1"/>
    </xf>
    <xf numFmtId="4" fontId="32" fillId="50" borderId="6" xfId="0" applyNumberFormat="1" applyFont="1" applyFill="1" applyBorder="1" applyAlignment="1" applyProtection="1">
      <alignment horizontal="center" vertical="center" wrapText="1"/>
    </xf>
    <xf numFmtId="10" fontId="32" fillId="50" borderId="6" xfId="0" applyNumberFormat="1" applyFont="1" applyFill="1" applyBorder="1" applyAlignment="1" applyProtection="1">
      <alignment horizontal="center" vertical="center" wrapText="1"/>
    </xf>
    <xf numFmtId="169" fontId="32" fillId="0" borderId="0" xfId="0" applyNumberFormat="1" applyFont="1" applyAlignment="1">
      <alignment horizontal="center" vertical="center"/>
    </xf>
    <xf numFmtId="4" fontId="32" fillId="0" borderId="0" xfId="0" applyNumberFormat="1" applyFont="1" applyAlignment="1">
      <alignment horizontal="center" vertical="center"/>
    </xf>
    <xf numFmtId="0" fontId="44" fillId="0" borderId="6" xfId="0" applyFont="1" applyBorder="1" applyAlignment="1" applyProtection="1">
      <alignment horizontal="center" vertical="center" wrapText="1"/>
    </xf>
    <xf numFmtId="3" fontId="44" fillId="4" borderId="6" xfId="0" applyNumberFormat="1" applyFont="1" applyFill="1" applyBorder="1" applyAlignment="1" applyProtection="1">
      <alignment horizontal="center" vertical="center" wrapText="1"/>
    </xf>
    <xf numFmtId="4" fontId="44" fillId="17" borderId="6" xfId="0" applyNumberFormat="1" applyFont="1" applyFill="1" applyBorder="1" applyAlignment="1" applyProtection="1">
      <alignment horizontal="center" vertical="center" shrinkToFit="1"/>
    </xf>
    <xf numFmtId="4" fontId="44" fillId="9" borderId="6" xfId="0" applyNumberFormat="1" applyFont="1" applyFill="1" applyBorder="1" applyAlignment="1" applyProtection="1">
      <alignment horizontal="center" vertical="center" wrapText="1"/>
    </xf>
    <xf numFmtId="4" fontId="44" fillId="11" borderId="6" xfId="0" applyNumberFormat="1" applyFont="1" applyFill="1" applyBorder="1" applyAlignment="1" applyProtection="1">
      <alignment horizontal="center" vertical="center" wrapText="1"/>
    </xf>
    <xf numFmtId="4" fontId="44" fillId="0" borderId="6" xfId="0" applyNumberFormat="1" applyFont="1" applyBorder="1" applyAlignment="1" applyProtection="1">
      <alignment horizontal="center" vertical="center" wrapText="1"/>
    </xf>
    <xf numFmtId="4" fontId="44" fillId="10" borderId="6" xfId="0" applyNumberFormat="1" applyFont="1" applyFill="1" applyBorder="1" applyAlignment="1" applyProtection="1">
      <alignment horizontal="center" vertical="center" wrapText="1"/>
    </xf>
    <xf numFmtId="4" fontId="44" fillId="50" borderId="6" xfId="0" applyNumberFormat="1" applyFont="1" applyFill="1" applyBorder="1" applyAlignment="1" applyProtection="1">
      <alignment horizontal="center" vertical="center" wrapText="1"/>
    </xf>
    <xf numFmtId="10" fontId="44" fillId="50" borderId="6" xfId="0" applyNumberFormat="1" applyFont="1" applyFill="1" applyBorder="1" applyAlignment="1" applyProtection="1">
      <alignment horizontal="center" vertical="center" wrapText="1"/>
    </xf>
    <xf numFmtId="0" fontId="44" fillId="0" borderId="0" xfId="0" applyFont="1" applyAlignment="1">
      <alignment horizontal="center" vertical="center"/>
    </xf>
    <xf numFmtId="0" fontId="0" fillId="0" borderId="10" xfId="0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0" fillId="0" borderId="79" xfId="0" applyBorder="1" applyAlignment="1" applyProtection="1">
      <alignment horizontal="center" vertical="center" wrapText="1"/>
    </xf>
    <xf numFmtId="0" fontId="0" fillId="0" borderId="7" xfId="0" applyBorder="1" applyAlignment="1" applyProtection="1">
      <alignment horizontal="center" vertical="center" wrapText="1"/>
    </xf>
    <xf numFmtId="0" fontId="0" fillId="0" borderId="6" xfId="0" applyBorder="1" applyAlignment="1" applyProtection="1">
      <alignment horizontal="center" vertical="center" wrapText="1"/>
    </xf>
    <xf numFmtId="0" fontId="32" fillId="42" borderId="172" xfId="0" applyFont="1" applyFill="1" applyBorder="1" applyAlignment="1">
      <alignment horizontal="center" vertical="center"/>
    </xf>
    <xf numFmtId="169" fontId="32" fillId="0" borderId="173" xfId="0" applyNumberFormat="1" applyFont="1" applyBorder="1" applyAlignment="1">
      <alignment horizontal="center" vertical="center"/>
    </xf>
    <xf numFmtId="0" fontId="32" fillId="42" borderId="174" xfId="0" applyFont="1" applyFill="1" applyBorder="1" applyAlignment="1">
      <alignment horizontal="center" vertical="center"/>
    </xf>
    <xf numFmtId="169" fontId="32" fillId="0" borderId="175" xfId="0" applyNumberFormat="1" applyFont="1" applyBorder="1" applyAlignment="1">
      <alignment horizontal="center" vertical="center"/>
    </xf>
    <xf numFmtId="0" fontId="32" fillId="12" borderId="175" xfId="0" applyFont="1" applyFill="1" applyBorder="1" applyAlignment="1">
      <alignment horizontal="center" vertical="center"/>
    </xf>
    <xf numFmtId="0" fontId="32" fillId="0" borderId="7" xfId="0" applyFont="1" applyBorder="1" applyAlignment="1">
      <alignment horizontal="center" vertical="center"/>
    </xf>
    <xf numFmtId="169" fontId="32" fillId="0" borderId="178" xfId="0" applyNumberFormat="1" applyFont="1" applyBorder="1" applyAlignment="1" applyProtection="1">
      <alignment horizontal="center" vertical="center"/>
      <protection locked="0"/>
    </xf>
    <xf numFmtId="0" fontId="32" fillId="0" borderId="175" xfId="0" applyFont="1" applyBorder="1" applyAlignment="1">
      <alignment horizontal="center" vertical="center"/>
    </xf>
    <xf numFmtId="4" fontId="32" fillId="0" borderId="175" xfId="0" applyNumberFormat="1" applyFont="1" applyBorder="1" applyAlignment="1">
      <alignment horizontal="center" vertical="center"/>
    </xf>
    <xf numFmtId="0" fontId="32" fillId="42" borderId="179" xfId="0" applyFont="1" applyFill="1" applyBorder="1" applyAlignment="1">
      <alignment horizontal="center" vertical="center"/>
    </xf>
    <xf numFmtId="0" fontId="32" fillId="0" borderId="180" xfId="0" applyFont="1" applyBorder="1" applyAlignment="1">
      <alignment horizontal="center" vertical="center"/>
    </xf>
    <xf numFmtId="0" fontId="32" fillId="56" borderId="0" xfId="0" applyFont="1" applyFill="1" applyAlignment="1">
      <alignment horizontal="center" vertical="center"/>
    </xf>
    <xf numFmtId="169" fontId="32" fillId="56" borderId="0" xfId="0" applyNumberFormat="1" applyFont="1" applyFill="1" applyAlignment="1">
      <alignment horizontal="center" vertical="center"/>
    </xf>
    <xf numFmtId="0" fontId="32" fillId="48" borderId="0" xfId="0" applyFont="1" applyFill="1" applyAlignment="1">
      <alignment horizontal="center" vertical="center"/>
    </xf>
    <xf numFmtId="4" fontId="32" fillId="48" borderId="0" xfId="0" applyNumberFormat="1" applyFont="1" applyFill="1" applyAlignment="1">
      <alignment horizontal="center" vertical="center"/>
    </xf>
    <xf numFmtId="0" fontId="32" fillId="6" borderId="0" xfId="0" applyFont="1" applyFill="1" applyAlignment="1">
      <alignment horizontal="center" vertical="center"/>
    </xf>
    <xf numFmtId="169" fontId="32" fillId="6" borderId="0" xfId="0" applyNumberFormat="1" applyFont="1" applyFill="1" applyAlignment="1">
      <alignment horizontal="center" vertical="center"/>
    </xf>
    <xf numFmtId="169" fontId="44" fillId="9" borderId="6" xfId="0" applyNumberFormat="1" applyFont="1" applyFill="1" applyBorder="1" applyAlignment="1" applyProtection="1">
      <alignment horizontal="center" vertical="center" wrapText="1"/>
    </xf>
    <xf numFmtId="169" fontId="44" fillId="10" borderId="6" xfId="0" applyNumberFormat="1" applyFont="1" applyFill="1" applyBorder="1" applyAlignment="1" applyProtection="1">
      <alignment horizontal="center" vertical="center" wrapText="1"/>
    </xf>
    <xf numFmtId="0" fontId="41" fillId="0" borderId="20" xfId="0" applyFont="1" applyBorder="1" applyAlignment="1" applyProtection="1">
      <alignment horizontal="center" vertical="center" shrinkToFit="1"/>
    </xf>
    <xf numFmtId="0" fontId="50" fillId="0" borderId="181" xfId="0" applyFont="1" applyBorder="1" applyAlignment="1">
      <alignment horizontal="center" vertical="center"/>
    </xf>
    <xf numFmtId="0" fontId="50" fillId="0" borderId="182" xfId="0" applyFont="1" applyBorder="1" applyAlignment="1">
      <alignment horizontal="center" vertical="center"/>
    </xf>
    <xf numFmtId="0" fontId="50" fillId="0" borderId="183" xfId="0" applyFont="1" applyBorder="1" applyAlignment="1">
      <alignment horizontal="center" vertical="center"/>
    </xf>
    <xf numFmtId="169" fontId="67" fillId="0" borderId="0" xfId="0" applyNumberFormat="1" applyFont="1" applyAlignment="1">
      <alignment horizontal="center" vertical="center"/>
    </xf>
    <xf numFmtId="0" fontId="0" fillId="0" borderId="10" xfId="0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 wrapText="1"/>
    </xf>
    <xf numFmtId="0" fontId="0" fillId="0" borderId="7" xfId="0" applyBorder="1" applyAlignment="1" applyProtection="1">
      <alignment horizontal="center" vertical="center" wrapText="1"/>
    </xf>
    <xf numFmtId="4" fontId="0" fillId="4" borderId="10" xfId="0" applyNumberFormat="1" applyFill="1" applyBorder="1" applyAlignment="1" applyProtection="1">
      <alignment horizontal="center" vertical="center" wrapText="1"/>
    </xf>
    <xf numFmtId="0" fontId="0" fillId="0" borderId="30" xfId="0" applyBorder="1" applyAlignment="1" applyProtection="1">
      <alignment horizontal="center" vertical="center" wrapText="1"/>
    </xf>
    <xf numFmtId="0" fontId="0" fillId="0" borderId="83" xfId="0" applyBorder="1" applyAlignment="1" applyProtection="1">
      <alignment horizontal="center" vertical="center" wrapText="1"/>
    </xf>
    <xf numFmtId="0" fontId="0" fillId="14" borderId="184" xfId="0" applyFill="1" applyBorder="1" applyAlignment="1" applyProtection="1">
      <alignment horizontal="center" vertical="center"/>
    </xf>
    <xf numFmtId="4" fontId="0" fillId="14" borderId="87" xfId="0" applyNumberFormat="1" applyFill="1" applyBorder="1" applyAlignment="1" applyProtection="1">
      <alignment horizontal="center" vertical="center"/>
    </xf>
    <xf numFmtId="0" fontId="0" fillId="14" borderId="88" xfId="0" applyFill="1" applyBorder="1" applyAlignment="1" applyProtection="1">
      <alignment horizontal="center" vertical="center"/>
    </xf>
    <xf numFmtId="4" fontId="0" fillId="14" borderId="89" xfId="0" applyNumberFormat="1" applyFill="1" applyBorder="1" applyAlignment="1" applyProtection="1">
      <alignment horizontal="center" vertical="center"/>
    </xf>
    <xf numFmtId="169" fontId="0" fillId="9" borderId="21" xfId="0" applyNumberFormat="1" applyFill="1" applyBorder="1" applyAlignment="1" applyProtection="1">
      <alignment horizontal="center" vertical="center" wrapText="1"/>
    </xf>
    <xf numFmtId="3" fontId="0" fillId="11" borderId="6" xfId="0" applyNumberFormat="1" applyFill="1" applyBorder="1" applyAlignment="1" applyProtection="1">
      <alignment horizontal="center" vertical="center" wrapText="1"/>
    </xf>
    <xf numFmtId="169" fontId="0" fillId="50" borderId="6" xfId="0" applyNumberFormat="1" applyFill="1" applyBorder="1" applyAlignment="1" applyProtection="1">
      <alignment horizontal="center" vertical="center" wrapText="1"/>
    </xf>
    <xf numFmtId="3" fontId="44" fillId="8" borderId="20" xfId="0" applyNumberFormat="1" applyFont="1" applyFill="1" applyBorder="1" applyAlignment="1" applyProtection="1">
      <alignment horizontal="center" vertical="center" wrapText="1"/>
    </xf>
    <xf numFmtId="3" fontId="44" fillId="8" borderId="94" xfId="0" applyNumberFormat="1" applyFont="1" applyFill="1" applyBorder="1" applyAlignment="1" applyProtection="1">
      <alignment horizontal="center" vertical="center" wrapText="1"/>
    </xf>
    <xf numFmtId="3" fontId="44" fillId="0" borderId="7" xfId="0" applyNumberFormat="1" applyFont="1" applyBorder="1" applyAlignment="1" applyProtection="1">
      <alignment horizontal="center" vertical="center" wrapText="1"/>
    </xf>
    <xf numFmtId="3" fontId="0" fillId="20" borderId="11" xfId="0" applyNumberFormat="1" applyFill="1" applyBorder="1" applyAlignment="1" applyProtection="1">
      <alignment horizontal="center" vertical="center" wrapText="1"/>
    </xf>
    <xf numFmtId="3" fontId="44" fillId="48" borderId="95" xfId="0" applyNumberFormat="1" applyFont="1" applyFill="1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left" vertical="center"/>
    </xf>
    <xf numFmtId="0" fontId="0" fillId="0" borderId="96" xfId="0" applyBorder="1" applyAlignment="1" applyProtection="1">
      <alignment horizontal="left" vertical="center"/>
    </xf>
    <xf numFmtId="4" fontId="45" fillId="48" borderId="6" xfId="0" applyNumberFormat="1" applyFont="1" applyFill="1" applyBorder="1" applyAlignment="1" applyProtection="1">
      <alignment horizontal="center" vertical="center" wrapText="1"/>
    </xf>
    <xf numFmtId="169" fontId="43" fillId="48" borderId="6" xfId="0" applyNumberFormat="1" applyFont="1" applyFill="1" applyBorder="1" applyAlignment="1" applyProtection="1">
      <alignment horizontal="center" vertical="center" wrapText="1"/>
    </xf>
    <xf numFmtId="4" fontId="18" fillId="19" borderId="6" xfId="0" applyNumberFormat="1" applyFont="1" applyFill="1" applyBorder="1" applyAlignment="1" applyProtection="1">
      <alignment horizontal="center" vertical="center" wrapText="1"/>
    </xf>
    <xf numFmtId="3" fontId="0" fillId="42" borderId="6" xfId="0" applyNumberFormat="1" applyFill="1" applyBorder="1" applyAlignment="1" applyProtection="1">
      <alignment horizontal="center" vertical="center" wrapText="1"/>
    </xf>
    <xf numFmtId="3" fontId="0" fillId="17" borderId="6" xfId="0" applyNumberForma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24" fillId="7" borderId="187" xfId="0" applyFont="1" applyFill="1" applyBorder="1" applyAlignment="1">
      <alignment horizontal="center" vertical="center" wrapText="1" readingOrder="2"/>
    </xf>
    <xf numFmtId="0" fontId="0" fillId="39" borderId="6" xfId="0" applyFill="1" applyBorder="1" applyAlignment="1">
      <alignment horizontal="center" vertical="center"/>
    </xf>
    <xf numFmtId="169" fontId="0" fillId="39" borderId="6" xfId="0" applyNumberFormat="1" applyFill="1" applyBorder="1" applyAlignment="1" applyProtection="1">
      <alignment horizontal="center" vertical="center" wrapText="1"/>
      <protection locked="0"/>
    </xf>
    <xf numFmtId="169" fontId="0" fillId="39" borderId="6" xfId="0" applyNumberFormat="1" applyFill="1" applyBorder="1" applyAlignment="1">
      <alignment horizontal="center" vertical="center"/>
    </xf>
    <xf numFmtId="0" fontId="0" fillId="33" borderId="6" xfId="0" applyFill="1" applyBorder="1" applyAlignment="1">
      <alignment horizontal="center" vertical="center"/>
    </xf>
    <xf numFmtId="169" fontId="0" fillId="33" borderId="6" xfId="0" applyNumberFormat="1" applyFill="1" applyBorder="1" applyAlignment="1">
      <alignment horizontal="center" vertical="center"/>
    </xf>
    <xf numFmtId="0" fontId="0" fillId="25" borderId="6" xfId="0" applyFill="1" applyBorder="1" applyAlignment="1">
      <alignment horizontal="center" vertical="center"/>
    </xf>
    <xf numFmtId="169" fontId="0" fillId="25" borderId="6" xfId="0" applyNumberFormat="1" applyFill="1" applyBorder="1" applyAlignment="1">
      <alignment horizontal="center" vertical="center"/>
    </xf>
    <xf numFmtId="0" fontId="0" fillId="32" borderId="6" xfId="0" applyFill="1" applyBorder="1" applyAlignment="1">
      <alignment horizontal="center" vertical="center"/>
    </xf>
    <xf numFmtId="169" fontId="0" fillId="32" borderId="6" xfId="0" applyNumberFormat="1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169" fontId="0" fillId="16" borderId="6" xfId="0" applyNumberFormat="1" applyFill="1" applyBorder="1" applyAlignment="1">
      <alignment horizontal="center" vertical="center"/>
    </xf>
    <xf numFmtId="0" fontId="0" fillId="57" borderId="6" xfId="0" applyFill="1" applyBorder="1" applyAlignment="1">
      <alignment horizontal="center" vertical="center"/>
    </xf>
    <xf numFmtId="169" fontId="0" fillId="57" borderId="6" xfId="0" applyNumberFormat="1" applyFill="1" applyBorder="1" applyAlignment="1">
      <alignment horizontal="center" vertical="center"/>
    </xf>
    <xf numFmtId="169" fontId="0" fillId="57" borderId="6" xfId="0" applyNumberFormat="1" applyFill="1" applyBorder="1" applyAlignment="1" applyProtection="1">
      <alignment horizontal="center" vertical="center" wrapText="1"/>
      <protection locked="0"/>
    </xf>
    <xf numFmtId="0" fontId="0" fillId="58" borderId="6" xfId="0" applyFill="1" applyBorder="1" applyAlignment="1">
      <alignment horizontal="center" vertical="center"/>
    </xf>
    <xf numFmtId="169" fontId="0" fillId="58" borderId="6" xfId="0" applyNumberFormat="1" applyFill="1" applyBorder="1" applyAlignment="1">
      <alignment horizontal="center" vertical="center"/>
    </xf>
    <xf numFmtId="0" fontId="0" fillId="29" borderId="6" xfId="0" applyFill="1" applyBorder="1" applyAlignment="1">
      <alignment horizontal="center" vertical="center"/>
    </xf>
    <xf numFmtId="169" fontId="0" fillId="29" borderId="6" xfId="0" applyNumberFormat="1" applyFill="1" applyBorder="1" applyAlignment="1">
      <alignment horizontal="center" vertical="center"/>
    </xf>
    <xf numFmtId="0" fontId="0" fillId="0" borderId="6" xfId="0" applyFill="1" applyBorder="1" applyAlignment="1" applyProtection="1">
      <alignment horizontal="center" vertical="center"/>
    </xf>
    <xf numFmtId="169" fontId="0" fillId="0" borderId="6" xfId="0" applyNumberFormat="1" applyFill="1" applyBorder="1" applyAlignment="1" applyProtection="1">
      <alignment horizontal="center" vertical="center"/>
    </xf>
    <xf numFmtId="3" fontId="0" fillId="0" borderId="6" xfId="0" applyNumberFormat="1" applyFill="1" applyBorder="1" applyAlignment="1" applyProtection="1">
      <alignment horizontal="center" vertical="center"/>
    </xf>
    <xf numFmtId="168" fontId="0" fillId="0" borderId="6" xfId="0" applyNumberFormat="1" applyFill="1" applyBorder="1" applyAlignment="1" applyProtection="1">
      <alignment horizontal="center" vertical="center"/>
    </xf>
    <xf numFmtId="0" fontId="0" fillId="0" borderId="6" xfId="0" applyFill="1" applyBorder="1" applyAlignment="1">
      <alignment horizontal="center" vertical="center"/>
    </xf>
    <xf numFmtId="169" fontId="0" fillId="0" borderId="6" xfId="0" applyNumberFormat="1" applyFill="1" applyBorder="1" applyAlignment="1" applyProtection="1">
      <alignment horizontal="center" vertical="center" wrapText="1"/>
      <protection locked="0"/>
    </xf>
    <xf numFmtId="169" fontId="0" fillId="0" borderId="6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4" borderId="2" xfId="0" applyFont="1" applyFill="1" applyBorder="1" applyAlignment="1" applyProtection="1">
      <alignment horizontal="center" vertical="center"/>
    </xf>
    <xf numFmtId="0" fontId="33" fillId="0" borderId="0" xfId="0" applyFont="1"/>
    <xf numFmtId="0" fontId="22" fillId="0" borderId="0" xfId="1" applyFont="1" applyBorder="1"/>
    <xf numFmtId="0" fontId="22" fillId="0" borderId="0" xfId="1" applyFont="1" applyBorder="1" applyAlignment="1">
      <alignment horizontal="center" vertical="top"/>
    </xf>
    <xf numFmtId="0" fontId="24" fillId="0" borderId="0" xfId="1" applyFont="1" applyBorder="1" applyAlignment="1">
      <alignment horizontal="center" vertical="center"/>
    </xf>
    <xf numFmtId="0" fontId="2" fillId="0" borderId="0" xfId="1"/>
    <xf numFmtId="0" fontId="7" fillId="0" borderId="0" xfId="1" applyFont="1" applyBorder="1"/>
    <xf numFmtId="0" fontId="7" fillId="0" borderId="0" xfId="1" applyFont="1" applyBorder="1" applyAlignment="1">
      <alignment horizontal="center" vertical="top" readingOrder="2"/>
    </xf>
    <xf numFmtId="0" fontId="7" fillId="0" borderId="0" xfId="1" applyFont="1" applyBorder="1" applyAlignment="1">
      <alignment vertical="top" readingOrder="2"/>
    </xf>
    <xf numFmtId="17" fontId="7" fillId="0" borderId="0" xfId="1" applyNumberFormat="1" applyFont="1" applyBorder="1" applyAlignment="1">
      <alignment horizontal="center" vertical="top" readingOrder="2"/>
    </xf>
    <xf numFmtId="173" fontId="7" fillId="0" borderId="0" xfId="1" applyNumberFormat="1" applyFont="1" applyBorder="1" applyAlignment="1">
      <alignment horizontal="center" vertical="top" readingOrder="2"/>
    </xf>
    <xf numFmtId="0" fontId="7" fillId="0" borderId="0" xfId="1" applyFont="1" applyBorder="1" applyAlignment="1">
      <alignment horizontal="center" vertical="top"/>
    </xf>
    <xf numFmtId="0" fontId="7" fillId="0" borderId="0" xfId="1" applyFont="1" applyBorder="1" applyAlignment="1"/>
    <xf numFmtId="17" fontId="7" fillId="0" borderId="0" xfId="1" applyNumberFormat="1" applyFont="1" applyBorder="1" applyAlignment="1">
      <alignment horizontal="center" vertical="top"/>
    </xf>
    <xf numFmtId="0" fontId="8" fillId="0" borderId="0" xfId="1" applyFont="1" applyBorder="1"/>
    <xf numFmtId="0" fontId="8" fillId="0" borderId="0" xfId="1" applyFont="1" applyBorder="1" applyAlignment="1">
      <alignment horizontal="center" vertical="top"/>
    </xf>
    <xf numFmtId="0" fontId="8" fillId="0" borderId="0" xfId="1" applyFont="1" applyBorder="1" applyAlignment="1"/>
    <xf numFmtId="17" fontId="8" fillId="0" borderId="0" xfId="1" applyNumberFormat="1" applyFont="1" applyBorder="1" applyAlignment="1">
      <alignment horizontal="center" vertical="top"/>
    </xf>
    <xf numFmtId="0" fontId="24" fillId="7" borderId="40" xfId="1" applyFont="1" applyFill="1" applyBorder="1" applyAlignment="1">
      <alignment horizontal="center" vertical="center" wrapText="1" readingOrder="2"/>
    </xf>
    <xf numFmtId="0" fontId="24" fillId="7" borderId="40" xfId="1" applyFont="1" applyFill="1" applyBorder="1" applyAlignment="1">
      <alignment vertical="center" wrapText="1" readingOrder="2"/>
    </xf>
    <xf numFmtId="17" fontId="24" fillId="7" borderId="40" xfId="1" applyNumberFormat="1" applyFont="1" applyFill="1" applyBorder="1" applyAlignment="1">
      <alignment horizontal="center" vertical="center" wrapText="1" readingOrder="2"/>
    </xf>
    <xf numFmtId="0" fontId="24" fillId="7" borderId="41" xfId="1" applyFont="1" applyFill="1" applyBorder="1" applyAlignment="1">
      <alignment horizontal="center" vertical="center" wrapText="1" readingOrder="2"/>
    </xf>
    <xf numFmtId="0" fontId="24" fillId="7" borderId="2" xfId="1" applyNumberFormat="1" applyFont="1" applyFill="1" applyBorder="1" applyAlignment="1">
      <alignment horizontal="center" vertical="center" wrapText="1" readingOrder="2"/>
    </xf>
    <xf numFmtId="174" fontId="24" fillId="7" borderId="2" xfId="1" applyNumberFormat="1" applyFont="1" applyFill="1" applyBorder="1" applyAlignment="1">
      <alignment horizontal="center" vertical="center" wrapText="1" readingOrder="2"/>
    </xf>
    <xf numFmtId="174" fontId="24" fillId="7" borderId="43" xfId="1" applyNumberFormat="1" applyFont="1" applyFill="1" applyBorder="1" applyAlignment="1">
      <alignment horizontal="center" vertical="center" wrapText="1" readingOrder="2"/>
    </xf>
    <xf numFmtId="174" fontId="24" fillId="7" borderId="40" xfId="1" applyNumberFormat="1" applyFont="1" applyFill="1" applyBorder="1" applyAlignment="1">
      <alignment horizontal="center" vertical="center" wrapText="1" readingOrder="2"/>
    </xf>
    <xf numFmtId="3" fontId="7" fillId="4" borderId="45" xfId="1" applyNumberFormat="1" applyFont="1" applyFill="1" applyBorder="1" applyAlignment="1">
      <alignment horizontal="center" vertical="center" wrapText="1" readingOrder="2"/>
    </xf>
    <xf numFmtId="175" fontId="7" fillId="4" borderId="45" xfId="1" applyNumberFormat="1" applyFont="1" applyFill="1" applyBorder="1" applyAlignment="1">
      <alignment horizontal="center" vertical="center" wrapText="1" readingOrder="2"/>
    </xf>
    <xf numFmtId="0" fontId="25" fillId="0" borderId="47" xfId="1" applyFont="1" applyBorder="1" applyAlignment="1">
      <alignment vertical="center" wrapText="1" readingOrder="2"/>
    </xf>
    <xf numFmtId="0" fontId="26" fillId="0" borderId="49" xfId="1" applyFont="1" applyBorder="1" applyAlignment="1">
      <alignment horizontal="center" vertical="center" wrapText="1"/>
    </xf>
    <xf numFmtId="0" fontId="26" fillId="0" borderId="50" xfId="1" applyFont="1" applyBorder="1" applyAlignment="1">
      <alignment vertical="center" wrapText="1"/>
    </xf>
    <xf numFmtId="0" fontId="8" fillId="0" borderId="47" xfId="1" applyFont="1" applyBorder="1" applyAlignment="1">
      <alignment horizontal="center" vertical="top" wrapText="1"/>
    </xf>
    <xf numFmtId="17" fontId="8" fillId="0" borderId="47" xfId="1" applyNumberFormat="1" applyFont="1" applyBorder="1" applyAlignment="1">
      <alignment horizontal="center" vertical="top" wrapText="1"/>
    </xf>
    <xf numFmtId="3" fontId="24" fillId="0" borderId="47" xfId="1" applyNumberFormat="1" applyFont="1" applyBorder="1" applyAlignment="1">
      <alignment horizontal="center" vertical="center" wrapText="1" readingOrder="2"/>
    </xf>
    <xf numFmtId="3" fontId="24" fillId="0" borderId="47" xfId="1" applyNumberFormat="1" applyFont="1" applyBorder="1" applyAlignment="1">
      <alignment horizontal="center" vertical="center" wrapText="1"/>
    </xf>
    <xf numFmtId="0" fontId="8" fillId="0" borderId="51" xfId="1" applyFont="1" applyBorder="1" applyAlignment="1">
      <alignment vertical="top" wrapText="1"/>
    </xf>
    <xf numFmtId="0" fontId="8" fillId="0" borderId="51" xfId="1" applyFont="1" applyBorder="1" applyAlignment="1">
      <alignment horizontal="center" vertical="top" wrapText="1"/>
    </xf>
    <xf numFmtId="17" fontId="8" fillId="0" borderId="51" xfId="1" applyNumberFormat="1" applyFont="1" applyBorder="1" applyAlignment="1">
      <alignment horizontal="center" vertical="top" wrapText="1"/>
    </xf>
    <xf numFmtId="3" fontId="24" fillId="0" borderId="51" xfId="1" applyNumberFormat="1" applyFont="1" applyBorder="1" applyAlignment="1">
      <alignment horizontal="center" vertical="center" wrapText="1"/>
    </xf>
    <xf numFmtId="174" fontId="25" fillId="0" borderId="51" xfId="1" applyNumberFormat="1" applyFont="1" applyBorder="1" applyAlignment="1">
      <alignment horizontal="center" vertical="center" wrapText="1"/>
    </xf>
    <xf numFmtId="17" fontId="2" fillId="0" borderId="0" xfId="1" applyNumberFormat="1"/>
    <xf numFmtId="17" fontId="7" fillId="4" borderId="45" xfId="1" applyNumberFormat="1" applyFont="1" applyFill="1" applyBorder="1" applyAlignment="1">
      <alignment horizontal="center" vertical="center" wrapText="1" readingOrder="2"/>
    </xf>
    <xf numFmtId="0" fontId="68" fillId="15" borderId="189" xfId="1" applyFont="1" applyFill="1" applyBorder="1" applyAlignment="1">
      <alignment horizontal="right" vertical="top" wrapText="1" readingOrder="2"/>
    </xf>
    <xf numFmtId="0" fontId="14" fillId="15" borderId="189" xfId="1" applyFont="1" applyFill="1" applyBorder="1" applyAlignment="1">
      <alignment horizontal="right" vertical="top" wrapText="1" readingOrder="2"/>
    </xf>
    <xf numFmtId="0" fontId="68" fillId="15" borderId="190" xfId="1" applyFont="1" applyFill="1" applyBorder="1" applyAlignment="1">
      <alignment horizontal="right" vertical="top" wrapText="1" readingOrder="2"/>
    </xf>
    <xf numFmtId="0" fontId="68" fillId="15" borderId="0" xfId="1" applyFont="1" applyFill="1" applyBorder="1" applyAlignment="1">
      <alignment horizontal="right" vertical="top" wrapText="1" readingOrder="2"/>
    </xf>
    <xf numFmtId="0" fontId="14" fillId="15" borderId="0" xfId="1" applyFont="1" applyFill="1" applyBorder="1" applyAlignment="1">
      <alignment horizontal="right" vertical="top" wrapText="1" readingOrder="2"/>
    </xf>
    <xf numFmtId="0" fontId="23" fillId="0" borderId="0" xfId="1" applyFont="1" applyBorder="1" applyAlignment="1">
      <alignment vertical="center"/>
    </xf>
    <xf numFmtId="0" fontId="25" fillId="0" borderId="49" xfId="1" applyFont="1" applyBorder="1" applyAlignment="1">
      <alignment vertical="center" wrapText="1" readingOrder="2"/>
    </xf>
    <xf numFmtId="0" fontId="3" fillId="27" borderId="0" xfId="0" applyFont="1" applyFill="1" applyAlignment="1">
      <alignment vertical="top" wrapText="1"/>
    </xf>
    <xf numFmtId="0" fontId="68" fillId="2" borderId="188" xfId="1" applyFont="1" applyFill="1" applyBorder="1" applyAlignment="1">
      <alignment horizontal="right" vertical="top" wrapText="1" readingOrder="2"/>
    </xf>
    <xf numFmtId="0" fontId="68" fillId="2" borderId="189" xfId="1" applyFont="1" applyFill="1" applyBorder="1" applyAlignment="1">
      <alignment horizontal="right" vertical="top" wrapText="1" readingOrder="2"/>
    </xf>
    <xf numFmtId="0" fontId="8" fillId="0" borderId="0" xfId="1" applyFont="1" applyBorder="1" applyAlignment="1">
      <alignment horizontal="center" vertical="top" wrapText="1"/>
    </xf>
    <xf numFmtId="178" fontId="0" fillId="0" borderId="2" xfId="0" applyNumberFormat="1" applyBorder="1"/>
    <xf numFmtId="0" fontId="3" fillId="2" borderId="2" xfId="0" applyFont="1" applyFill="1" applyBorder="1" applyAlignment="1">
      <alignment vertical="top" wrapText="1"/>
    </xf>
    <xf numFmtId="0" fontId="6" fillId="4" borderId="2" xfId="0" applyFont="1" applyFill="1" applyBorder="1" applyAlignment="1" applyProtection="1">
      <alignment horizontal="center" vertical="center"/>
    </xf>
    <xf numFmtId="0" fontId="26" fillId="0" borderId="49" xfId="0" applyFont="1" applyBorder="1" applyAlignment="1">
      <alignment vertical="center" wrapText="1"/>
    </xf>
    <xf numFmtId="178" fontId="7" fillId="4" borderId="45" xfId="2" applyNumberFormat="1" applyFont="1" applyFill="1" applyBorder="1" applyAlignment="1">
      <alignment horizontal="center" vertical="center" wrapText="1" readingOrder="2"/>
    </xf>
    <xf numFmtId="0" fontId="24" fillId="7" borderId="2" xfId="1" applyFont="1" applyFill="1" applyBorder="1" applyAlignment="1">
      <alignment horizontal="center" vertical="center" wrapText="1" readingOrder="2"/>
    </xf>
    <xf numFmtId="0" fontId="3" fillId="25" borderId="0" xfId="0" applyFont="1" applyFill="1" applyAlignment="1">
      <alignment vertical="center" wrapText="1"/>
    </xf>
    <xf numFmtId="0" fontId="24" fillId="7" borderId="26" xfId="1" applyFont="1" applyFill="1" applyBorder="1" applyAlignment="1">
      <alignment horizontal="center" vertical="center" wrapText="1" readingOrder="2"/>
    </xf>
    <xf numFmtId="0" fontId="2" fillId="0" borderId="2" xfId="1" applyBorder="1"/>
    <xf numFmtId="0" fontId="3" fillId="2" borderId="0" xfId="0" applyFont="1" applyFill="1" applyAlignment="1">
      <alignment horizontal="center" vertical="top" wrapText="1"/>
    </xf>
    <xf numFmtId="0" fontId="3" fillId="59" borderId="0" xfId="0" applyFont="1" applyFill="1" applyAlignment="1">
      <alignment vertical="top" wrapText="1"/>
    </xf>
    <xf numFmtId="174" fontId="24" fillId="30" borderId="26" xfId="1" applyNumberFormat="1" applyFont="1" applyFill="1" applyBorder="1" applyAlignment="1">
      <alignment horizontal="center" vertical="center" wrapText="1" readingOrder="2"/>
    </xf>
    <xf numFmtId="0" fontId="2" fillId="0" borderId="0" xfId="1" applyAlignment="1">
      <alignment horizontal="center" vertical="center"/>
    </xf>
    <xf numFmtId="1" fontId="24" fillId="7" borderId="26" xfId="0" applyNumberFormat="1" applyFont="1" applyFill="1" applyBorder="1" applyAlignment="1">
      <alignment horizontal="center" vertical="center" wrapText="1" readingOrder="2"/>
    </xf>
    <xf numFmtId="0" fontId="69" fillId="7" borderId="2" xfId="0" applyFont="1" applyFill="1" applyBorder="1" applyAlignment="1" applyProtection="1">
      <alignment horizontal="center" vertical="center" wrapText="1"/>
    </xf>
    <xf numFmtId="0" fontId="4" fillId="58" borderId="0" xfId="0" applyFont="1" applyFill="1" applyAlignment="1">
      <alignment horizontal="center" vertical="center" wrapText="1"/>
    </xf>
    <xf numFmtId="0" fontId="9" fillId="45" borderId="2" xfId="0" applyFont="1" applyFill="1" applyBorder="1" applyAlignment="1" applyProtection="1">
      <alignment horizontal="center" vertical="center" wrapText="1"/>
    </xf>
    <xf numFmtId="3" fontId="7" fillId="0" borderId="2" xfId="0" applyNumberFormat="1" applyFont="1" applyBorder="1" applyAlignment="1">
      <alignment horizontal="center" vertical="center"/>
    </xf>
    <xf numFmtId="3" fontId="0" fillId="0" borderId="0" xfId="0" applyNumberFormat="1"/>
    <xf numFmtId="3" fontId="2" fillId="0" borderId="2" xfId="1" applyNumberFormat="1" applyBorder="1" applyAlignment="1">
      <alignment horizontal="center" vertical="center"/>
    </xf>
    <xf numFmtId="3" fontId="2" fillId="0" borderId="0" xfId="1" applyNumberFormat="1" applyAlignment="1">
      <alignment horizontal="center" vertical="center"/>
    </xf>
    <xf numFmtId="3" fontId="0" fillId="0" borderId="2" xfId="0" applyNumberFormat="1" applyBorder="1"/>
    <xf numFmtId="3" fontId="0" fillId="0" borderId="2" xfId="0" applyNumberFormat="1" applyBorder="1" applyAlignment="1">
      <alignment horizontal="center" vertical="center"/>
    </xf>
    <xf numFmtId="0" fontId="0" fillId="0" borderId="6" xfId="0" applyFill="1" applyBorder="1" applyAlignment="1" applyProtection="1">
      <alignment horizontal="center" vertical="center" wrapText="1"/>
    </xf>
    <xf numFmtId="0" fontId="70" fillId="28" borderId="2" xfId="0" applyFont="1" applyFill="1" applyBorder="1" applyAlignment="1" applyProtection="1">
      <alignment horizontal="center" vertical="center" wrapText="1"/>
    </xf>
    <xf numFmtId="1" fontId="7" fillId="4" borderId="45" xfId="1" applyNumberFormat="1" applyFont="1" applyFill="1" applyBorder="1" applyAlignment="1">
      <alignment horizontal="center" vertical="center" wrapText="1" readingOrder="2"/>
    </xf>
    <xf numFmtId="0" fontId="73" fillId="0" borderId="0" xfId="0" applyFont="1" applyBorder="1" applyAlignment="1"/>
    <xf numFmtId="0" fontId="2" fillId="0" borderId="0" xfId="0" applyFont="1" applyAlignment="1">
      <alignment wrapText="1"/>
    </xf>
    <xf numFmtId="179" fontId="7" fillId="4" borderId="45" xfId="2" applyNumberFormat="1" applyFont="1" applyFill="1" applyBorder="1" applyAlignment="1">
      <alignment horizontal="center" vertical="center" wrapText="1" readingOrder="2"/>
    </xf>
    <xf numFmtId="0" fontId="74" fillId="0" borderId="0" xfId="5" applyAlignment="1" applyProtection="1"/>
    <xf numFmtId="0" fontId="8" fillId="0" borderId="2" xfId="0" applyFont="1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 wrapText="1"/>
    </xf>
    <xf numFmtId="14" fontId="8" fillId="0" borderId="2" xfId="0" applyNumberFormat="1" applyFont="1" applyFill="1" applyBorder="1" applyAlignment="1" applyProtection="1">
      <alignment horizontal="center" vertical="center"/>
      <protection locked="0"/>
    </xf>
    <xf numFmtId="14" fontId="7" fillId="4" borderId="45" xfId="2" applyNumberFormat="1" applyFont="1" applyFill="1" applyBorder="1" applyAlignment="1">
      <alignment horizontal="center" vertical="center" wrapText="1" readingOrder="2"/>
    </xf>
    <xf numFmtId="0" fontId="39" fillId="0" borderId="0" xfId="0" applyFont="1" applyBorder="1" applyAlignment="1">
      <alignment wrapText="1"/>
    </xf>
    <xf numFmtId="2" fontId="39" fillId="0" borderId="0" xfId="0" applyNumberFormat="1" applyFont="1" applyBorder="1" applyAlignment="1"/>
    <xf numFmtId="0" fontId="76" fillId="60" borderId="2" xfId="0" applyFont="1" applyFill="1" applyBorder="1" applyAlignment="1" applyProtection="1">
      <alignment horizontal="center" vertical="center" wrapText="1"/>
    </xf>
    <xf numFmtId="0" fontId="76" fillId="57" borderId="2" xfId="0" applyFont="1" applyFill="1" applyBorder="1" applyAlignment="1" applyProtection="1">
      <alignment horizontal="center" vertical="center" wrapText="1"/>
    </xf>
    <xf numFmtId="0" fontId="76" fillId="61" borderId="2" xfId="0" applyFont="1" applyFill="1" applyBorder="1" applyAlignment="1" applyProtection="1">
      <alignment horizontal="center" vertical="center" wrapText="1"/>
    </xf>
    <xf numFmtId="0" fontId="11" fillId="15" borderId="2" xfId="0" applyFont="1" applyFill="1" applyBorder="1" applyAlignment="1" applyProtection="1">
      <alignment horizontal="center" vertical="center" wrapText="1"/>
    </xf>
    <xf numFmtId="0" fontId="76" fillId="35" borderId="2" xfId="0" applyFont="1" applyFill="1" applyBorder="1" applyAlignment="1" applyProtection="1">
      <alignment horizontal="center" vertical="center" wrapText="1"/>
    </xf>
    <xf numFmtId="2" fontId="0" fillId="0" borderId="0" xfId="0" applyNumberFormat="1"/>
    <xf numFmtId="14" fontId="0" fillId="0" borderId="0" xfId="0" applyNumberFormat="1"/>
    <xf numFmtId="14" fontId="3" fillId="2" borderId="0" xfId="0" applyNumberFormat="1" applyFont="1" applyFill="1" applyAlignment="1">
      <alignment vertical="top" wrapText="1"/>
    </xf>
    <xf numFmtId="14" fontId="3" fillId="2" borderId="0" xfId="0" applyNumberFormat="1" applyFont="1" applyFill="1" applyAlignment="1">
      <alignment wrapText="1"/>
    </xf>
    <xf numFmtId="14" fontId="3" fillId="2" borderId="0" xfId="0" applyNumberFormat="1" applyFont="1" applyFill="1" applyAlignment="1">
      <alignment horizontal="right" vertical="top" wrapText="1"/>
    </xf>
    <xf numFmtId="14" fontId="3" fillId="2" borderId="1" xfId="0" applyNumberFormat="1" applyFont="1" applyFill="1" applyBorder="1" applyAlignment="1">
      <alignment horizontal="right" vertical="center" wrapText="1"/>
    </xf>
    <xf numFmtId="14" fontId="10" fillId="0" borderId="0" xfId="0" applyNumberFormat="1" applyFont="1"/>
    <xf numFmtId="14" fontId="68" fillId="15" borderId="189" xfId="1" applyNumberFormat="1" applyFont="1" applyFill="1" applyBorder="1" applyAlignment="1">
      <alignment horizontal="right" vertical="top" wrapText="1" readingOrder="2"/>
    </xf>
    <xf numFmtId="14" fontId="68" fillId="2" borderId="189" xfId="1" applyNumberFormat="1" applyFont="1" applyFill="1" applyBorder="1" applyAlignment="1">
      <alignment horizontal="right" vertical="top" wrapText="1" readingOrder="2"/>
    </xf>
    <xf numFmtId="14" fontId="14" fillId="15" borderId="189" xfId="1" applyNumberFormat="1" applyFont="1" applyFill="1" applyBorder="1" applyAlignment="1">
      <alignment horizontal="right" vertical="top" wrapText="1" readingOrder="2"/>
    </xf>
    <xf numFmtId="14" fontId="7" fillId="0" borderId="0" xfId="0" applyNumberFormat="1" applyFont="1" applyBorder="1" applyAlignment="1">
      <alignment horizontal="center" readingOrder="2"/>
    </xf>
    <xf numFmtId="2" fontId="27" fillId="0" borderId="54" xfId="0" applyNumberFormat="1" applyFont="1" applyBorder="1" applyAlignment="1">
      <alignment horizontal="center" vertical="center"/>
    </xf>
    <xf numFmtId="2" fontId="24" fillId="7" borderId="55" xfId="0" applyNumberFormat="1" applyFont="1" applyFill="1" applyBorder="1" applyAlignment="1">
      <alignment horizontal="center" vertical="center" wrapText="1" readingOrder="2"/>
    </xf>
    <xf numFmtId="2" fontId="25" fillId="4" borderId="45" xfId="2" applyNumberFormat="1" applyFont="1" applyFill="1" applyBorder="1" applyAlignment="1">
      <alignment horizontal="center" vertical="center" wrapText="1" readingOrder="2"/>
    </xf>
    <xf numFmtId="2" fontId="24" fillId="4" borderId="58" xfId="2" applyNumberFormat="1" applyFont="1" applyFill="1" applyBorder="1" applyAlignment="1">
      <alignment horizontal="center" vertical="center" wrapText="1" readingOrder="2"/>
    </xf>
    <xf numFmtId="2" fontId="25" fillId="4" borderId="0" xfId="2" applyNumberFormat="1" applyFont="1" applyFill="1" applyBorder="1" applyAlignment="1">
      <alignment horizontal="center" vertical="center" wrapText="1" readingOrder="2"/>
    </xf>
    <xf numFmtId="2" fontId="0" fillId="0" borderId="0" xfId="0" applyNumberFormat="1" applyBorder="1"/>
    <xf numFmtId="0" fontId="27" fillId="0" borderId="54" xfId="0" applyFont="1" applyBorder="1" applyAlignment="1">
      <alignment horizontal="center" vertical="center"/>
    </xf>
    <xf numFmtId="0" fontId="2" fillId="0" borderId="0" xfId="0" applyFont="1" applyBorder="1" applyAlignment="1" applyProtection="1">
      <alignment horizontal="center" vertical="center" wrapText="1"/>
    </xf>
    <xf numFmtId="14" fontId="73" fillId="0" borderId="0" xfId="0" applyNumberFormat="1" applyFont="1" applyBorder="1" applyAlignment="1"/>
    <xf numFmtId="0" fontId="6" fillId="5" borderId="2" xfId="0" applyFont="1" applyFill="1" applyBorder="1" applyAlignment="1" applyProtection="1">
      <alignment horizontal="center" vertical="center"/>
    </xf>
    <xf numFmtId="0" fontId="9" fillId="0" borderId="2" xfId="0" applyFont="1" applyFill="1" applyBorder="1" applyAlignment="1" applyProtection="1">
      <alignment horizontal="center" vertical="center" wrapText="1"/>
    </xf>
    <xf numFmtId="0" fontId="24" fillId="7" borderId="26" xfId="0" applyFont="1" applyFill="1" applyBorder="1" applyAlignment="1">
      <alignment horizontal="center" vertical="center" wrapText="1" readingOrder="2"/>
    </xf>
    <xf numFmtId="0" fontId="0" fillId="0" borderId="2" xfId="0" applyBorder="1" applyAlignment="1">
      <alignment horizontal="center" vertical="center"/>
    </xf>
    <xf numFmtId="0" fontId="3" fillId="2" borderId="192" xfId="0" applyFont="1" applyFill="1" applyBorder="1" applyAlignment="1">
      <alignment horizontal="right" vertical="center" wrapText="1"/>
    </xf>
    <xf numFmtId="3" fontId="7" fillId="0" borderId="2" xfId="0" applyNumberFormat="1" applyFont="1" applyBorder="1" applyAlignment="1" applyProtection="1">
      <alignment horizontal="center" vertical="center"/>
    </xf>
    <xf numFmtId="2" fontId="29" fillId="0" borderId="2" xfId="0" applyNumberFormat="1" applyFont="1" applyBorder="1" applyAlignment="1" applyProtection="1">
      <alignment horizontal="center" vertical="center"/>
    </xf>
    <xf numFmtId="3" fontId="29" fillId="0" borderId="2" xfId="0" applyNumberFormat="1" applyFont="1" applyBorder="1" applyAlignment="1" applyProtection="1">
      <alignment horizontal="center" vertical="center"/>
    </xf>
    <xf numFmtId="3" fontId="24" fillId="4" borderId="47" xfId="2" applyNumberFormat="1" applyFont="1" applyFill="1" applyBorder="1" applyAlignment="1">
      <alignment horizontal="center" vertical="center" wrapText="1" readingOrder="2"/>
    </xf>
    <xf numFmtId="3" fontId="24" fillId="4" borderId="48" xfId="2" applyNumberFormat="1" applyFont="1" applyFill="1" applyBorder="1" applyAlignment="1">
      <alignment horizontal="center" vertical="center" wrapText="1" readingOrder="2"/>
    </xf>
    <xf numFmtId="3" fontId="24" fillId="4" borderId="58" xfId="2" applyNumberFormat="1" applyFont="1" applyFill="1" applyBorder="1" applyAlignment="1">
      <alignment horizontal="center" vertical="center" wrapText="1" readingOrder="2"/>
    </xf>
    <xf numFmtId="0" fontId="2" fillId="0" borderId="7" xfId="0" applyFont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wrapText="1"/>
    </xf>
    <xf numFmtId="0" fontId="0" fillId="0" borderId="10" xfId="0" applyBorder="1" applyAlignment="1" applyProtection="1">
      <alignment horizontal="center" vertical="center" wrapText="1"/>
    </xf>
    <xf numFmtId="0" fontId="2" fillId="0" borderId="11" xfId="0" applyFont="1" applyBorder="1" applyAlignment="1" applyProtection="1">
      <alignment horizontal="center" vertical="center" wrapText="1"/>
    </xf>
    <xf numFmtId="0" fontId="2" fillId="0" borderId="10" xfId="0" applyFont="1" applyBorder="1" applyAlignment="1" applyProtection="1">
      <alignment horizontal="center" vertical="center" wrapText="1"/>
    </xf>
    <xf numFmtId="0" fontId="0" fillId="0" borderId="22" xfId="0" applyBorder="1" applyAlignment="1" applyProtection="1">
      <alignment horizontal="left" vertical="center" wrapText="1"/>
    </xf>
    <xf numFmtId="0" fontId="0" fillId="0" borderId="23" xfId="0" applyBorder="1" applyAlignment="1" applyProtection="1">
      <alignment horizontal="left" vertical="center" wrapText="1"/>
    </xf>
    <xf numFmtId="0" fontId="8" fillId="0" borderId="2" xfId="0" applyFont="1" applyBorder="1" applyAlignment="1" applyProtection="1">
      <alignment horizontal="center" vertical="center"/>
    </xf>
    <xf numFmtId="0" fontId="6" fillId="13" borderId="2" xfId="0" applyFont="1" applyFill="1" applyBorder="1" applyAlignment="1" applyProtection="1">
      <alignment horizontal="center" vertical="center"/>
    </xf>
    <xf numFmtId="0" fontId="6" fillId="7" borderId="2" xfId="0" applyFont="1" applyFill="1" applyBorder="1" applyAlignment="1" applyProtection="1">
      <alignment horizontal="center" vertical="center"/>
    </xf>
    <xf numFmtId="0" fontId="6" fillId="9" borderId="2" xfId="0" applyFont="1" applyFill="1" applyBorder="1" applyAlignment="1" applyProtection="1">
      <alignment horizontal="center" vertical="center"/>
    </xf>
    <xf numFmtId="0" fontId="6" fillId="2" borderId="2" xfId="0" applyFont="1" applyFill="1" applyBorder="1" applyAlignment="1" applyProtection="1">
      <alignment horizontal="center" vertical="center"/>
    </xf>
    <xf numFmtId="0" fontId="6" fillId="11" borderId="2" xfId="0" applyFont="1" applyFill="1" applyBorder="1" applyAlignment="1" applyProtection="1">
      <alignment horizontal="center" vertical="center"/>
    </xf>
    <xf numFmtId="0" fontId="6" fillId="12" borderId="2" xfId="0" applyFont="1" applyFill="1" applyBorder="1" applyAlignment="1" applyProtection="1">
      <alignment horizontal="center" vertical="center"/>
    </xf>
    <xf numFmtId="0" fontId="75" fillId="34" borderId="3" xfId="0" applyFont="1" applyFill="1" applyBorder="1" applyAlignment="1" applyProtection="1">
      <alignment horizontal="center" vertical="center"/>
    </xf>
    <xf numFmtId="0" fontId="75" fillId="34" borderId="4" xfId="0" applyFont="1" applyFill="1" applyBorder="1" applyAlignment="1" applyProtection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7" fillId="0" borderId="3" xfId="0" applyFont="1" applyBorder="1" applyAlignment="1" applyProtection="1">
      <alignment horizontal="center" vertical="center"/>
    </xf>
    <xf numFmtId="0" fontId="77" fillId="0" borderId="4" xfId="0" applyFont="1" applyBorder="1" applyAlignment="1" applyProtection="1">
      <alignment horizontal="center" vertical="center"/>
    </xf>
    <xf numFmtId="0" fontId="77" fillId="0" borderId="5" xfId="0" applyFont="1" applyBorder="1" applyAlignment="1" applyProtection="1">
      <alignment horizontal="center" vertical="center"/>
    </xf>
    <xf numFmtId="0" fontId="6" fillId="4" borderId="2" xfId="0" applyFont="1" applyFill="1" applyBorder="1" applyAlignment="1" applyProtection="1">
      <alignment horizontal="center" vertical="center"/>
    </xf>
    <xf numFmtId="0" fontId="6" fillId="5" borderId="2" xfId="0" applyFont="1" applyFill="1" applyBorder="1" applyAlignment="1" applyProtection="1">
      <alignment horizontal="center" vertical="center"/>
    </xf>
    <xf numFmtId="0" fontId="6" fillId="5" borderId="3" xfId="0" applyFont="1" applyFill="1" applyBorder="1" applyAlignment="1" applyProtection="1">
      <alignment horizontal="center" vertical="center"/>
    </xf>
    <xf numFmtId="0" fontId="6" fillId="5" borderId="4" xfId="0" applyFont="1" applyFill="1" applyBorder="1" applyAlignment="1" applyProtection="1">
      <alignment horizontal="center" vertical="center"/>
    </xf>
    <xf numFmtId="0" fontId="6" fillId="5" borderId="5" xfId="0" applyFont="1" applyFill="1" applyBorder="1" applyAlignment="1" applyProtection="1">
      <alignment horizontal="center" vertical="center"/>
    </xf>
    <xf numFmtId="0" fontId="7" fillId="5" borderId="3" xfId="0" applyFont="1" applyFill="1" applyBorder="1" applyAlignment="1" applyProtection="1">
      <alignment horizontal="center" vertical="center"/>
    </xf>
    <xf numFmtId="0" fontId="7" fillId="5" borderId="4" xfId="0" applyFont="1" applyFill="1" applyBorder="1" applyAlignment="1" applyProtection="1">
      <alignment horizontal="center" vertical="center"/>
    </xf>
    <xf numFmtId="0" fontId="23" fillId="0" borderId="0" xfId="0" applyFont="1" applyBorder="1" applyAlignment="1">
      <alignment vertical="center"/>
    </xf>
    <xf numFmtId="3" fontId="24" fillId="4" borderId="47" xfId="2" applyNumberFormat="1" applyFont="1" applyFill="1" applyBorder="1" applyAlignment="1">
      <alignment horizontal="center" vertical="center" wrapText="1" readingOrder="2"/>
    </xf>
    <xf numFmtId="0" fontId="2" fillId="29" borderId="0" xfId="0" applyFont="1" applyFill="1" applyBorder="1" applyAlignment="1" applyProtection="1">
      <alignment horizontal="center" vertical="center"/>
    </xf>
    <xf numFmtId="0" fontId="0" fillId="29" borderId="0" xfId="0" applyFill="1" applyAlignment="1">
      <alignment horizontal="center" vertical="center"/>
    </xf>
    <xf numFmtId="0" fontId="2" fillId="39" borderId="0" xfId="0" applyFont="1" applyFill="1" applyBorder="1" applyAlignment="1" applyProtection="1">
      <alignment horizontal="center" vertical="center"/>
    </xf>
    <xf numFmtId="0" fontId="0" fillId="39" borderId="0" xfId="0" applyFill="1" applyAlignment="1">
      <alignment horizontal="center" vertical="center"/>
    </xf>
    <xf numFmtId="0" fontId="2" fillId="30" borderId="0" xfId="0" applyFont="1" applyFill="1" applyBorder="1" applyAlignment="1" applyProtection="1">
      <alignment horizontal="center" vertical="center"/>
    </xf>
    <xf numFmtId="0" fontId="0" fillId="30" borderId="0" xfId="0" applyFill="1" applyAlignment="1">
      <alignment horizontal="center" vertical="center"/>
    </xf>
    <xf numFmtId="3" fontId="24" fillId="4" borderId="48" xfId="2" applyNumberFormat="1" applyFont="1" applyFill="1" applyBorder="1" applyAlignment="1">
      <alignment horizontal="center" vertical="center" wrapText="1" readingOrder="2"/>
    </xf>
    <xf numFmtId="3" fontId="24" fillId="4" borderId="49" xfId="2" applyNumberFormat="1" applyFont="1" applyFill="1" applyBorder="1" applyAlignment="1">
      <alignment horizontal="center" vertical="center" wrapText="1" readingOrder="2"/>
    </xf>
    <xf numFmtId="3" fontId="24" fillId="4" borderId="50" xfId="2" applyNumberFormat="1" applyFont="1" applyFill="1" applyBorder="1" applyAlignment="1">
      <alignment horizontal="center" vertical="center" wrapText="1" readingOrder="2"/>
    </xf>
    <xf numFmtId="0" fontId="27" fillId="0" borderId="54" xfId="0" applyFont="1" applyBorder="1" applyAlignment="1">
      <alignment horizontal="center" vertical="center"/>
    </xf>
    <xf numFmtId="0" fontId="0" fillId="0" borderId="54" xfId="0" applyBorder="1" applyAlignment="1" applyProtection="1">
      <alignment horizontal="center"/>
    </xf>
    <xf numFmtId="0" fontId="0" fillId="0" borderId="0" xfId="0" applyBorder="1" applyAlignment="1" applyProtection="1">
      <alignment horizontal="center" vertical="center" wrapText="1"/>
    </xf>
    <xf numFmtId="0" fontId="23" fillId="0" borderId="0" xfId="1" applyFont="1" applyBorder="1" applyAlignment="1">
      <alignment vertical="center"/>
    </xf>
    <xf numFmtId="0" fontId="30" fillId="0" borderId="0" xfId="0" applyFont="1" applyAlignment="1" applyProtection="1">
      <alignment horizontal="center" vertical="center" wrapText="1"/>
      <protection hidden="1"/>
    </xf>
    <xf numFmtId="0" fontId="4" fillId="40" borderId="59" xfId="0" applyFont="1" applyFill="1" applyBorder="1" applyAlignment="1">
      <alignment horizontal="center" vertical="center" wrapText="1"/>
    </xf>
    <xf numFmtId="0" fontId="4" fillId="40" borderId="60" xfId="0" applyFont="1" applyFill="1" applyBorder="1" applyAlignment="1">
      <alignment horizontal="center" vertical="center" wrapText="1"/>
    </xf>
    <xf numFmtId="0" fontId="4" fillId="40" borderId="61" xfId="0" applyFont="1" applyFill="1" applyBorder="1" applyAlignment="1">
      <alignment horizontal="center" vertical="center" wrapText="1"/>
    </xf>
    <xf numFmtId="0" fontId="4" fillId="40" borderId="62" xfId="0" applyFont="1" applyFill="1" applyBorder="1" applyAlignment="1">
      <alignment horizontal="center" vertical="center" wrapText="1"/>
    </xf>
    <xf numFmtId="0" fontId="4" fillId="40" borderId="63" xfId="0" applyFont="1" applyFill="1" applyBorder="1" applyAlignment="1">
      <alignment horizontal="center" vertical="center" wrapText="1"/>
    </xf>
    <xf numFmtId="0" fontId="4" fillId="40" borderId="64" xfId="0" applyFont="1" applyFill="1" applyBorder="1" applyAlignment="1">
      <alignment horizontal="center" vertical="center" wrapText="1"/>
    </xf>
    <xf numFmtId="0" fontId="32" fillId="0" borderId="2" xfId="0" applyFont="1" applyBorder="1" applyAlignment="1" applyProtection="1">
      <alignment horizontal="center" vertical="center"/>
      <protection hidden="1"/>
    </xf>
    <xf numFmtId="0" fontId="4" fillId="2" borderId="67" xfId="0" applyFont="1" applyFill="1" applyBorder="1" applyAlignment="1">
      <alignment horizontal="center" vertical="center"/>
    </xf>
    <xf numFmtId="0" fontId="4" fillId="2" borderId="68" xfId="0" applyFont="1" applyFill="1" applyBorder="1" applyAlignment="1">
      <alignment horizontal="center" vertical="center"/>
    </xf>
    <xf numFmtId="0" fontId="4" fillId="2" borderId="69" xfId="0" applyFont="1" applyFill="1" applyBorder="1" applyAlignment="1">
      <alignment horizontal="center" vertical="center"/>
    </xf>
    <xf numFmtId="169" fontId="35" fillId="12" borderId="0" xfId="0" applyNumberFormat="1" applyFont="1" applyFill="1" applyAlignment="1" applyProtection="1">
      <alignment horizontal="center" vertical="center"/>
    </xf>
    <xf numFmtId="0" fontId="0" fillId="0" borderId="132" xfId="0" applyBorder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5" fillId="0" borderId="137" xfId="0" applyFont="1" applyBorder="1" applyAlignment="1">
      <alignment horizontal="left" vertical="center"/>
    </xf>
    <xf numFmtId="0" fontId="35" fillId="0" borderId="138" xfId="0" applyFont="1" applyBorder="1" applyAlignment="1">
      <alignment horizontal="left" vertical="center"/>
    </xf>
    <xf numFmtId="0" fontId="35" fillId="0" borderId="138" xfId="0" applyFont="1" applyBorder="1" applyAlignment="1">
      <alignment horizontal="right" vertical="center"/>
    </xf>
    <xf numFmtId="169" fontId="35" fillId="0" borderId="138" xfId="0" applyNumberFormat="1" applyFont="1" applyBorder="1" applyAlignment="1">
      <alignment horizontal="right" vertical="center"/>
    </xf>
    <xf numFmtId="169" fontId="35" fillId="0" borderId="139" xfId="0" applyNumberFormat="1" applyFont="1" applyBorder="1" applyAlignment="1">
      <alignment horizontal="right" vertical="center"/>
    </xf>
    <xf numFmtId="0" fontId="58" fillId="0" borderId="0" xfId="0" applyFont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59" fillId="0" borderId="0" xfId="0" applyFont="1" applyBorder="1" applyAlignment="1" applyProtection="1">
      <alignment horizontal="center" vertical="center"/>
    </xf>
    <xf numFmtId="0" fontId="61" fillId="0" borderId="0" xfId="0" applyFont="1" applyAlignment="1">
      <alignment horizontal="center" vertical="center"/>
    </xf>
    <xf numFmtId="0" fontId="60" fillId="0" borderId="0" xfId="0" applyFont="1" applyAlignment="1">
      <alignment horizontal="center" vertical="center"/>
    </xf>
    <xf numFmtId="0" fontId="60" fillId="0" borderId="0" xfId="0" applyFont="1" applyAlignment="1" applyProtection="1">
      <alignment horizontal="center" vertical="center"/>
      <protection locked="0"/>
    </xf>
    <xf numFmtId="169" fontId="59" fillId="47" borderId="0" xfId="0" applyNumberFormat="1" applyFont="1" applyFill="1" applyAlignment="1">
      <alignment horizontal="center" vertical="center"/>
    </xf>
    <xf numFmtId="169" fontId="59" fillId="24" borderId="0" xfId="0" applyNumberFormat="1" applyFont="1" applyFill="1" applyAlignment="1">
      <alignment horizontal="center" vertical="center"/>
    </xf>
    <xf numFmtId="0" fontId="60" fillId="0" borderId="0" xfId="0" applyFont="1" applyAlignment="1" applyProtection="1">
      <alignment horizontal="center" vertical="center"/>
    </xf>
    <xf numFmtId="0" fontId="44" fillId="0" borderId="0" xfId="0" applyFont="1" applyAlignment="1">
      <alignment horizontal="center" vertical="center" shrinkToFit="1"/>
    </xf>
    <xf numFmtId="0" fontId="0" fillId="0" borderId="79" xfId="0" applyBorder="1" applyAlignment="1" applyProtection="1">
      <alignment horizontal="center" vertical="center" wrapText="1"/>
    </xf>
    <xf numFmtId="0" fontId="0" fillId="0" borderId="78" xfId="0" applyBorder="1" applyAlignment="1" applyProtection="1">
      <alignment horizontal="center" vertical="center"/>
    </xf>
    <xf numFmtId="4" fontId="0" fillId="4" borderId="7" xfId="0" applyNumberFormat="1" applyFill="1" applyBorder="1" applyAlignment="1" applyProtection="1">
      <alignment horizontal="center" vertical="center" wrapText="1"/>
    </xf>
    <xf numFmtId="4" fontId="0" fillId="4" borderId="10" xfId="0" applyNumberFormat="1" applyFill="1" applyBorder="1" applyAlignment="1" applyProtection="1">
      <alignment horizontal="center" vertical="center" wrapText="1"/>
    </xf>
    <xf numFmtId="0" fontId="0" fillId="0" borderId="7" xfId="0" applyBorder="1" applyAlignment="1" applyProtection="1">
      <alignment horizontal="center" vertical="center" wrapText="1"/>
    </xf>
    <xf numFmtId="0" fontId="46" fillId="13" borderId="7" xfId="0" applyFont="1" applyFill="1" applyBorder="1" applyAlignment="1" applyProtection="1">
      <alignment horizontal="center" vertical="center" wrapText="1"/>
    </xf>
    <xf numFmtId="0" fontId="46" fillId="13" borderId="11" xfId="0" applyFont="1" applyFill="1" applyBorder="1" applyAlignment="1" applyProtection="1">
      <alignment horizontal="center" vertical="center" wrapText="1"/>
    </xf>
    <xf numFmtId="0" fontId="46" fillId="13" borderId="10" xfId="0" applyFont="1" applyFill="1" applyBorder="1" applyAlignment="1" applyProtection="1">
      <alignment horizontal="center" vertical="center" wrapText="1"/>
    </xf>
    <xf numFmtId="0" fontId="43" fillId="0" borderId="7" xfId="0" applyFont="1" applyBorder="1" applyAlignment="1" applyProtection="1">
      <alignment horizontal="center" vertical="center" wrapText="1"/>
    </xf>
    <xf numFmtId="0" fontId="46" fillId="0" borderId="7" xfId="0" applyFont="1" applyBorder="1" applyAlignment="1" applyProtection="1">
      <alignment horizontal="center" vertical="center" wrapText="1"/>
    </xf>
    <xf numFmtId="0" fontId="46" fillId="0" borderId="11" xfId="0" applyFont="1" applyBorder="1" applyAlignment="1" applyProtection="1">
      <alignment horizontal="center" vertical="center" wrapText="1"/>
    </xf>
    <xf numFmtId="0" fontId="46" fillId="0" borderId="10" xfId="0" applyFont="1" applyBorder="1" applyAlignment="1" applyProtection="1">
      <alignment horizontal="center" vertical="center" wrapText="1"/>
    </xf>
    <xf numFmtId="0" fontId="41" fillId="0" borderId="7" xfId="0" applyFont="1" applyBorder="1" applyAlignment="1" applyProtection="1">
      <alignment horizontal="center" vertical="center" wrapText="1"/>
    </xf>
    <xf numFmtId="0" fontId="41" fillId="0" borderId="11" xfId="0" applyFont="1" applyBorder="1" applyAlignment="1" applyProtection="1">
      <alignment horizontal="center" vertical="center" wrapText="1"/>
    </xf>
    <xf numFmtId="0" fontId="41" fillId="0" borderId="10" xfId="0" applyFont="1" applyBorder="1" applyAlignment="1" applyProtection="1">
      <alignment horizontal="center" vertical="center" wrapText="1"/>
    </xf>
    <xf numFmtId="0" fontId="0" fillId="0" borderId="6" xfId="0" applyBorder="1" applyAlignment="1" applyProtection="1">
      <alignment horizontal="center" vertical="center" wrapText="1"/>
    </xf>
    <xf numFmtId="164" fontId="21" fillId="17" borderId="6" xfId="0" applyNumberFormat="1" applyFont="1" applyFill="1" applyBorder="1" applyAlignment="1" applyProtection="1">
      <alignment horizontal="center" vertical="center" wrapText="1"/>
    </xf>
    <xf numFmtId="0" fontId="0" fillId="0" borderId="79" xfId="0" applyBorder="1" applyAlignment="1" applyProtection="1">
      <alignment horizontal="center" vertical="center"/>
    </xf>
    <xf numFmtId="0" fontId="40" fillId="0" borderId="7" xfId="0" applyFont="1" applyBorder="1" applyAlignment="1" applyProtection="1">
      <alignment horizontal="center" vertical="center" wrapText="1"/>
    </xf>
    <xf numFmtId="0" fontId="40" fillId="0" borderId="11" xfId="0" applyFont="1" applyBorder="1" applyAlignment="1" applyProtection="1">
      <alignment horizontal="center" vertical="center" wrapText="1"/>
    </xf>
    <xf numFmtId="0" fontId="40" fillId="0" borderId="10" xfId="0" applyFont="1" applyBorder="1" applyAlignment="1" applyProtection="1">
      <alignment horizontal="center" vertical="center" wrapText="1"/>
    </xf>
    <xf numFmtId="0" fontId="45" fillId="0" borderId="6" xfId="0" applyFont="1" applyBorder="1" applyAlignment="1" applyProtection="1">
      <alignment horizontal="center" vertical="center" wrapText="1"/>
    </xf>
    <xf numFmtId="0" fontId="0" fillId="4" borderId="7" xfId="0" applyFill="1" applyBorder="1" applyAlignment="1" applyProtection="1">
      <alignment horizontal="center" vertical="center" wrapText="1"/>
    </xf>
    <xf numFmtId="0" fontId="0" fillId="4" borderId="10" xfId="0" applyFill="1" applyBorder="1" applyAlignment="1" applyProtection="1">
      <alignment horizontal="center" vertical="center" wrapText="1"/>
    </xf>
    <xf numFmtId="0" fontId="48" fillId="13" borderId="7" xfId="0" applyFont="1" applyFill="1" applyBorder="1" applyAlignment="1" applyProtection="1">
      <alignment horizontal="center" vertical="center" wrapText="1"/>
    </xf>
    <xf numFmtId="0" fontId="0" fillId="13" borderId="11" xfId="0" applyFill="1" applyBorder="1" applyAlignment="1" applyProtection="1">
      <alignment horizontal="center" vertical="center" wrapText="1"/>
    </xf>
    <xf numFmtId="0" fontId="0" fillId="13" borderId="10" xfId="0" applyFill="1" applyBorder="1" applyAlignment="1" applyProtection="1">
      <alignment horizontal="center" vertical="center" wrapText="1"/>
    </xf>
    <xf numFmtId="0" fontId="41" fillId="19" borderId="7" xfId="0" applyFont="1" applyFill="1" applyBorder="1" applyAlignment="1" applyProtection="1">
      <alignment horizontal="center" vertical="center" wrapText="1"/>
    </xf>
    <xf numFmtId="0" fontId="41" fillId="19" borderId="11" xfId="0" applyFont="1" applyFill="1" applyBorder="1" applyAlignment="1" applyProtection="1">
      <alignment horizontal="center" vertical="center" wrapText="1"/>
    </xf>
    <xf numFmtId="0" fontId="41" fillId="19" borderId="10" xfId="0" applyFont="1" applyFill="1" applyBorder="1" applyAlignment="1" applyProtection="1">
      <alignment horizontal="center" vertical="center" wrapText="1"/>
    </xf>
    <xf numFmtId="0" fontId="63" fillId="0" borderId="0" xfId="0" applyFont="1" applyAlignment="1">
      <alignment horizontal="center" vertical="center"/>
    </xf>
    <xf numFmtId="0" fontId="64" fillId="0" borderId="0" xfId="0" applyFont="1" applyAlignment="1">
      <alignment horizontal="center" vertical="center"/>
    </xf>
    <xf numFmtId="0" fontId="32" fillId="0" borderId="78" xfId="0" applyFont="1" applyBorder="1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center" vertical="center"/>
    </xf>
    <xf numFmtId="169" fontId="32" fillId="0" borderId="0" xfId="0" applyNumberFormat="1" applyFont="1" applyAlignment="1">
      <alignment horizontal="center" vertical="center"/>
    </xf>
    <xf numFmtId="0" fontId="32" fillId="0" borderId="176" xfId="0" applyFont="1" applyBorder="1" applyAlignment="1">
      <alignment horizontal="center" vertical="center"/>
    </xf>
    <xf numFmtId="0" fontId="32" fillId="0" borderId="177" xfId="0" applyFont="1" applyBorder="1" applyAlignment="1">
      <alignment horizontal="center" vertical="center"/>
    </xf>
    <xf numFmtId="0" fontId="18" fillId="42" borderId="7" xfId="0" applyFont="1" applyFill="1" applyBorder="1" applyAlignment="1" applyProtection="1">
      <alignment horizontal="center" vertical="center" wrapText="1"/>
    </xf>
    <xf numFmtId="0" fontId="18" fillId="42" borderId="10" xfId="0" applyFont="1" applyFill="1" applyBorder="1" applyAlignment="1" applyProtection="1">
      <alignment horizontal="center" vertical="center" wrapText="1"/>
    </xf>
    <xf numFmtId="0" fontId="18" fillId="43" borderId="7" xfId="0" applyFont="1" applyFill="1" applyBorder="1" applyAlignment="1" applyProtection="1">
      <alignment horizontal="center" vertical="center" wrapText="1"/>
    </xf>
    <xf numFmtId="0" fontId="18" fillId="43" borderId="10" xfId="0" applyFont="1" applyFill="1" applyBorder="1" applyAlignment="1" applyProtection="1">
      <alignment horizontal="center" vertical="center" wrapText="1"/>
    </xf>
    <xf numFmtId="0" fontId="44" fillId="8" borderId="7" xfId="0" applyFont="1" applyFill="1" applyBorder="1" applyAlignment="1" applyProtection="1">
      <alignment horizontal="center" vertical="center" wrapText="1"/>
    </xf>
    <xf numFmtId="0" fontId="44" fillId="8" borderId="10" xfId="0" applyFont="1" applyFill="1" applyBorder="1" applyAlignment="1" applyProtection="1">
      <alignment horizontal="center" vertical="center" wrapText="1"/>
    </xf>
    <xf numFmtId="0" fontId="0" fillId="0" borderId="79" xfId="0" applyBorder="1" applyAlignment="1" applyProtection="1">
      <alignment horizontal="left" vertical="center"/>
    </xf>
    <xf numFmtId="0" fontId="0" fillId="0" borderId="0" xfId="0" applyBorder="1" applyAlignment="1" applyProtection="1">
      <alignment horizontal="left" vertical="center"/>
    </xf>
    <xf numFmtId="0" fontId="0" fillId="0" borderId="96" xfId="0" applyBorder="1" applyAlignment="1" applyProtection="1">
      <alignment horizontal="left" vertical="center"/>
    </xf>
    <xf numFmtId="0" fontId="59" fillId="0" borderId="7" xfId="0" applyFont="1" applyBorder="1" applyAlignment="1" applyProtection="1">
      <alignment horizontal="center" vertical="center" wrapText="1"/>
    </xf>
    <xf numFmtId="0" fontId="59" fillId="0" borderId="11" xfId="0" applyFont="1" applyBorder="1" applyAlignment="1" applyProtection="1">
      <alignment horizontal="center" vertical="center" wrapText="1"/>
    </xf>
    <xf numFmtId="0" fontId="59" fillId="0" borderId="10" xfId="0" applyFont="1" applyBorder="1" applyAlignment="1" applyProtection="1">
      <alignment horizontal="center" vertical="center" wrapText="1"/>
    </xf>
    <xf numFmtId="0" fontId="46" fillId="52" borderId="7" xfId="0" applyFont="1" applyFill="1" applyBorder="1" applyAlignment="1" applyProtection="1">
      <alignment horizontal="center" vertical="center" wrapText="1"/>
    </xf>
    <xf numFmtId="0" fontId="46" fillId="52" borderId="11" xfId="0" applyFont="1" applyFill="1" applyBorder="1" applyAlignment="1" applyProtection="1">
      <alignment horizontal="center" vertical="center" wrapText="1"/>
    </xf>
    <xf numFmtId="0" fontId="46" fillId="52" borderId="10" xfId="0" applyFont="1" applyFill="1" applyBorder="1" applyAlignment="1" applyProtection="1">
      <alignment horizontal="center" vertical="center" wrapText="1"/>
    </xf>
    <xf numFmtId="0" fontId="41" fillId="52" borderId="7" xfId="0" applyFont="1" applyFill="1" applyBorder="1" applyAlignment="1" applyProtection="1">
      <alignment horizontal="center" vertical="center" wrapText="1"/>
    </xf>
    <xf numFmtId="0" fontId="41" fillId="52" borderId="11" xfId="0" applyFont="1" applyFill="1" applyBorder="1" applyAlignment="1" applyProtection="1">
      <alignment horizontal="center" vertical="center" wrapText="1"/>
    </xf>
    <xf numFmtId="0" fontId="41" fillId="52" borderId="10" xfId="0" applyFont="1" applyFill="1" applyBorder="1" applyAlignment="1" applyProtection="1">
      <alignment horizontal="center" vertical="center" wrapText="1"/>
    </xf>
    <xf numFmtId="0" fontId="0" fillId="0" borderId="7" xfId="0" applyBorder="1" applyAlignment="1" applyProtection="1">
      <alignment horizontal="center" vertical="center"/>
    </xf>
    <xf numFmtId="0" fontId="0" fillId="0" borderId="11" xfId="0" applyBorder="1" applyAlignment="1" applyProtection="1">
      <alignment horizontal="center" vertical="center"/>
    </xf>
    <xf numFmtId="0" fontId="51" fillId="14" borderId="86" xfId="0" applyFont="1" applyFill="1" applyBorder="1" applyAlignment="1" applyProtection="1">
      <alignment horizontal="center" vertical="center" textRotation="117" shrinkToFit="1"/>
    </xf>
    <xf numFmtId="0" fontId="51" fillId="14" borderId="0" xfId="0" applyFont="1" applyFill="1" applyBorder="1" applyAlignment="1" applyProtection="1">
      <alignment horizontal="center" vertical="center" textRotation="117" shrinkToFit="1"/>
    </xf>
    <xf numFmtId="0" fontId="51" fillId="14" borderId="92" xfId="0" applyFont="1" applyFill="1" applyBorder="1" applyAlignment="1" applyProtection="1">
      <alignment horizontal="center" vertical="center" textRotation="117" shrinkToFit="1"/>
    </xf>
    <xf numFmtId="0" fontId="0" fillId="0" borderId="185" xfId="0" applyBorder="1" applyAlignment="1" applyProtection="1">
      <alignment horizontal="center" vertical="center" wrapText="1"/>
    </xf>
    <xf numFmtId="0" fontId="0" fillId="0" borderId="186" xfId="0" applyBorder="1" applyAlignment="1" applyProtection="1">
      <alignment horizontal="center" vertical="center" wrapText="1"/>
    </xf>
    <xf numFmtId="0" fontId="0" fillId="11" borderId="7" xfId="0" applyFill="1" applyBorder="1" applyAlignment="1" applyProtection="1">
      <alignment horizontal="center" vertical="center" wrapText="1"/>
    </xf>
    <xf numFmtId="0" fontId="0" fillId="11" borderId="11" xfId="0" applyFill="1" applyBorder="1" applyAlignment="1" applyProtection="1">
      <alignment horizontal="center" vertical="center" wrapText="1"/>
    </xf>
    <xf numFmtId="0" fontId="0" fillId="11" borderId="10" xfId="0" applyFill="1" applyBorder="1" applyAlignment="1" applyProtection="1">
      <alignment horizontal="center" vertical="center" wrapText="1"/>
    </xf>
    <xf numFmtId="0" fontId="0" fillId="11" borderId="7" xfId="0" applyFill="1" applyBorder="1" applyAlignment="1" applyProtection="1">
      <alignment horizontal="center" vertical="center"/>
    </xf>
    <xf numFmtId="0" fontId="0" fillId="11" borderId="11" xfId="0" applyFill="1" applyBorder="1" applyAlignment="1" applyProtection="1">
      <alignment horizontal="center" vertical="center"/>
    </xf>
    <xf numFmtId="0" fontId="0" fillId="11" borderId="10" xfId="0" applyFill="1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/>
    </xf>
    <xf numFmtId="0" fontId="0" fillId="0" borderId="30" xfId="0" applyBorder="1" applyAlignment="1" applyProtection="1">
      <alignment horizontal="center" vertical="center" wrapText="1"/>
    </xf>
    <xf numFmtId="0" fontId="0" fillId="0" borderId="83" xfId="0" applyBorder="1" applyAlignment="1" applyProtection="1">
      <alignment horizontal="center" vertical="center" wrapText="1"/>
    </xf>
    <xf numFmtId="0" fontId="52" fillId="13" borderId="7" xfId="0" applyFont="1" applyFill="1" applyBorder="1" applyAlignment="1" applyProtection="1">
      <alignment horizontal="center" vertical="center" wrapText="1"/>
    </xf>
    <xf numFmtId="0" fontId="46" fillId="7" borderId="7" xfId="0" applyFont="1" applyFill="1" applyBorder="1" applyAlignment="1" applyProtection="1">
      <alignment horizontal="center" vertical="center" wrapText="1"/>
    </xf>
    <xf numFmtId="0" fontId="46" fillId="7" borderId="11" xfId="0" applyFont="1" applyFill="1" applyBorder="1" applyAlignment="1" applyProtection="1">
      <alignment horizontal="center" vertical="center" wrapText="1"/>
    </xf>
    <xf numFmtId="0" fontId="46" fillId="7" borderId="10" xfId="0" applyFont="1" applyFill="1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center" vertical="center"/>
    </xf>
    <xf numFmtId="169" fontId="0" fillId="0" borderId="7" xfId="0" applyNumberFormat="1" applyBorder="1" applyAlignment="1" applyProtection="1">
      <alignment horizontal="center" vertical="center" wrapText="1"/>
    </xf>
    <xf numFmtId="169" fontId="0" fillId="0" borderId="10" xfId="0" applyNumberFormat="1" applyBorder="1" applyAlignment="1" applyProtection="1">
      <alignment horizontal="center" vertical="center" wrapText="1"/>
    </xf>
    <xf numFmtId="0" fontId="0" fillId="0" borderId="96" xfId="0" applyBorder="1" applyAlignment="1" applyProtection="1">
      <alignment horizontal="center" vertical="center"/>
    </xf>
    <xf numFmtId="0" fontId="41" fillId="0" borderId="81" xfId="0" applyFont="1" applyBorder="1" applyAlignment="1" applyProtection="1">
      <alignment horizontal="center" vertical="center"/>
    </xf>
    <xf numFmtId="0" fontId="41" fillId="0" borderId="103" xfId="0" applyFont="1" applyBorder="1" applyAlignment="1" applyProtection="1">
      <alignment horizontal="center" vertical="center"/>
    </xf>
    <xf numFmtId="0" fontId="41" fillId="0" borderId="0" xfId="0" applyFont="1" applyBorder="1" applyAlignment="1" applyProtection="1">
      <alignment horizontal="center" vertical="center"/>
    </xf>
    <xf numFmtId="0" fontId="41" fillId="0" borderId="104" xfId="0" applyFont="1" applyBorder="1" applyAlignment="1" applyProtection="1">
      <alignment horizontal="center" vertical="center"/>
    </xf>
    <xf numFmtId="164" fontId="54" fillId="20" borderId="6" xfId="0" applyNumberFormat="1" applyFont="1" applyFill="1" applyBorder="1" applyAlignment="1" applyProtection="1">
      <alignment horizontal="center" vertical="center" wrapText="1"/>
    </xf>
    <xf numFmtId="164" fontId="54" fillId="17" borderId="6" xfId="0" applyNumberFormat="1" applyFont="1" applyFill="1" applyBorder="1" applyAlignment="1" applyProtection="1">
      <alignment horizontal="center" vertical="center" wrapText="1"/>
    </xf>
    <xf numFmtId="4" fontId="0" fillId="47" borderId="0" xfId="0" applyNumberFormat="1" applyFill="1" applyAlignment="1">
      <alignment horizontal="center"/>
    </xf>
    <xf numFmtId="4" fontId="0" fillId="0" borderId="0" xfId="0" applyNumberFormat="1" applyAlignment="1">
      <alignment horizontal="center"/>
    </xf>
    <xf numFmtId="4" fontId="57" fillId="0" borderId="0" xfId="0" applyNumberFormat="1" applyFont="1" applyAlignment="1">
      <alignment horizontal="center"/>
    </xf>
    <xf numFmtId="0" fontId="43" fillId="46" borderId="0" xfId="0" applyFont="1" applyFill="1" applyAlignment="1">
      <alignment horizontal="center" vertical="center" wrapText="1"/>
    </xf>
    <xf numFmtId="0" fontId="0" fillId="52" borderId="0" xfId="0" applyFill="1" applyAlignment="1">
      <alignment horizontal="center" vertical="center"/>
    </xf>
    <xf numFmtId="0" fontId="0" fillId="0" borderId="0" xfId="0" applyAlignment="1">
      <alignment horizontal="center" vertical="center" shrinkToFit="1"/>
    </xf>
    <xf numFmtId="0" fontId="3" fillId="26" borderId="191" xfId="0" applyFont="1" applyFill="1" applyBorder="1" applyAlignment="1"/>
    <xf numFmtId="0" fontId="3" fillId="16" borderId="191" xfId="0" applyFont="1" applyFill="1" applyBorder="1" applyAlignment="1"/>
  </cellXfs>
  <cellStyles count="6">
    <cellStyle name="Comma 2" xfId="2"/>
    <cellStyle name="Currency 2" xfId="3"/>
    <cellStyle name="Hyperlink" xfId="5" builtinId="8"/>
    <cellStyle name="Normal" xfId="0" builtinId="0"/>
    <cellStyle name="Normal 2" xfId="4"/>
    <cellStyle name="Normal 3" xfId="1"/>
  </cellStyles>
  <dxfs count="2">
    <dxf>
      <font>
        <color theme="0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71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pivotCacheDefinition" Target="pivotCache/pivotCacheDefinition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7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חד פעמי נטו</a:t>
            </a:r>
          </a:p>
        </c:rich>
      </c:tx>
      <c:layout>
        <c:manualLayout>
          <c:xMode val="edge"/>
          <c:yMode val="edge"/>
          <c:x val="0.49837190401962789"/>
          <c:y val="2.4390348038686949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36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53420280404303877"/>
          <c:y val="0.14412432455256174"/>
          <c:w val="0.42996811057122636"/>
          <c:h val="0.68957946055150265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0"/>
            <c:showCatName val="1"/>
            <c:showSerName val="0"/>
            <c:showPercent val="0"/>
            <c:showBubbleSize val="0"/>
            <c:showLeaderLines val="0"/>
          </c:dLbls>
          <c:val>
            <c:numRef>
              <c:f>'השוואה בחירתית'!$D$5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בחירתית'!$D$6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בחירתית'!$D$7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בחירתית'!$D$8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בחירתית'!$D$9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בחירתית'!$D$10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3290496"/>
        <c:axId val="203390976"/>
        <c:axId val="0"/>
      </c:bar3DChart>
      <c:catAx>
        <c:axId val="203290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אפשרות</a:t>
                </a:r>
              </a:p>
            </c:rich>
          </c:tx>
          <c:layout>
            <c:manualLayout>
              <c:xMode val="edge"/>
              <c:yMode val="edge"/>
              <c:x val="0.66449598305289903"/>
              <c:y val="0.729490705785064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390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3390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800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חד 
פעמי
 נטו</a:t>
                </a:r>
              </a:p>
            </c:rich>
          </c:tx>
          <c:layout>
            <c:manualLayout>
              <c:xMode val="edge"/>
              <c:yMode val="edge"/>
              <c:x val="0.11400702133045551"/>
              <c:y val="0.3902444450436848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2904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סה"כ ע"נ 1.5</a:t>
            </a:r>
          </a:p>
        </c:rich>
      </c:tx>
      <c:layout>
        <c:manualLayout>
          <c:xMode val="edge"/>
          <c:yMode val="edge"/>
          <c:x val="0.24550923541100231"/>
          <c:y val="4.591832516998368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40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6946107784431977"/>
          <c:y val="6.3775510204081634E-2"/>
          <c:w val="0.68263473053892265"/>
          <c:h val="0.87244897959183765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מזעור'!$A$56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מזעור'!$A$57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מזעור'!$A$58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מזעור'!$A$59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מזעור'!$A$60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מזעור'!$A$61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3151488"/>
        <c:axId val="143153024"/>
        <c:axId val="0"/>
      </c:bar3DChart>
      <c:catAx>
        <c:axId val="14315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153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153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151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סה"כ ע"נ 2.5</a:t>
            </a:r>
          </a:p>
        </c:rich>
      </c:tx>
      <c:layout>
        <c:manualLayout>
          <c:xMode val="edge"/>
          <c:yMode val="edge"/>
          <c:x val="0.27108486439196655"/>
          <c:y val="3.836326289253368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52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6506102062847275"/>
          <c:y val="2.0460383607216592E-2"/>
          <c:w val="0.63253198104521857"/>
          <c:h val="0.94629274183375856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מזעור'!$B$56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מזעור'!$B$57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מזעור'!$B$58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מזעור'!$B$59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מזעור'!$B$60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מזעור'!$B$61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3234944"/>
        <c:axId val="143236480"/>
        <c:axId val="0"/>
      </c:bar3DChart>
      <c:catAx>
        <c:axId val="143234944"/>
        <c:scaling>
          <c:orientation val="minMax"/>
        </c:scaling>
        <c:delete val="1"/>
        <c:axPos val="b"/>
        <c:majorTickMark val="out"/>
        <c:minorTickMark val="none"/>
        <c:tickLblPos val="none"/>
        <c:crossAx val="143236480"/>
        <c:crosses val="autoZero"/>
        <c:auto val="1"/>
        <c:lblAlgn val="ctr"/>
        <c:lblOffset val="100"/>
        <c:noMultiLvlLbl val="0"/>
      </c:catAx>
      <c:valAx>
        <c:axId val="143236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2349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סה"כ ע"נ 3.5</a:t>
            </a:r>
          </a:p>
        </c:rich>
      </c:tx>
      <c:layout>
        <c:manualLayout>
          <c:xMode val="edge"/>
          <c:yMode val="edge"/>
          <c:x val="0.23750095558444054"/>
          <c:y val="3.350508726249857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49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5000076294178142"/>
          <c:y val="7.7319684932355082E-2"/>
          <c:w val="0.65625200272217665"/>
          <c:h val="0.85824850274912212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מזעור'!$D$56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מזעור'!$D$57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מזעור'!$D$58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מזעור'!$D$59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מזעור'!$D$60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מזעור'!$D$61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3277440"/>
        <c:axId val="143291520"/>
        <c:axId val="0"/>
      </c:bar3DChart>
      <c:catAx>
        <c:axId val="14327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291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291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2774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סה"כ ע"נ 4.5</a:t>
            </a:r>
          </a:p>
        </c:rich>
      </c:tx>
      <c:layout>
        <c:manualLayout>
          <c:xMode val="edge"/>
          <c:yMode val="edge"/>
          <c:x val="0.25294131811505211"/>
          <c:y val="3.350508726249857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2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5294117647058773"/>
          <c:y val="6.1855747945881334E-2"/>
          <c:w val="0.71764705882355551"/>
          <c:h val="0.87628976256665114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מזעור'!$F$56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מזעור'!$F$57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מזעור'!$F$58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מזעור'!$F$59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מזעור'!$F$60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מזעור'!$F$61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3324288"/>
        <c:axId val="143325824"/>
        <c:axId val="0"/>
      </c:bar3DChart>
      <c:catAx>
        <c:axId val="14332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2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25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325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242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סה"כ ע"נ 5.5</a:t>
            </a:r>
          </a:p>
        </c:rich>
      </c:tx>
      <c:layout>
        <c:manualLayout>
          <c:xMode val="edge"/>
          <c:yMode val="edge"/>
          <c:x val="0.27071906959906633"/>
          <c:y val="3.36786433759908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1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3756970166204924"/>
          <c:y val="5.9585492227979313E-2"/>
          <c:w val="0.7127091049861477"/>
          <c:h val="0.87564766839382036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מזעור'!$G$56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מזעור'!$G$57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מזעור'!$G$58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מזעור'!$G$59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מזעור'!$G$60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מזעור'!$G$61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3571584"/>
        <c:axId val="143585664"/>
        <c:axId val="0"/>
      </c:bar3DChart>
      <c:catAx>
        <c:axId val="14357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85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585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715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סה"כ ע"נ 6.5</a:t>
            </a:r>
          </a:p>
        </c:rich>
      </c:tx>
      <c:layout>
        <c:manualLayout>
          <c:xMode val="edge"/>
          <c:yMode val="edge"/>
          <c:x val="0.25581465778316181"/>
          <c:y val="3.3591609432054519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28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3837276972647656"/>
          <c:y val="6.459964621600002E-2"/>
          <c:w val="0.69767639919944369"/>
          <c:h val="0.87855518853760028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מזעור'!$H$56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מזעור'!$H$57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מזעור'!$H$58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מזעור'!$H$59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מזעור'!$H$60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מזעור'!$H$61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3683968"/>
        <c:axId val="143685504"/>
        <c:axId val="0"/>
      </c:bar3DChart>
      <c:catAx>
        <c:axId val="14368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85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685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839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השוואת באופציות השונות עם החלוקה הפנימית</a:t>
            </a:r>
          </a:p>
        </c:rich>
      </c:tx>
      <c:layout>
        <c:manualLayout>
          <c:xMode val="edge"/>
          <c:yMode val="edge"/>
          <c:x val="0.32959667159510203"/>
          <c:y val="3.132523937301134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42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4663690630961538"/>
          <c:y val="9.3976014184881246E-2"/>
          <c:w val="0.74775825685690844"/>
          <c:h val="0.67710923040905335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'השוואות מזעור'!$L$4</c:f>
              <c:strCache>
                <c:ptCount val="1"/>
                <c:pt idx="0">
                  <c:v>פיצויים נטו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'השוואות מזעור'!$K$5:$K$8</c:f>
              <c:strCache>
                <c:ptCount val="4"/>
                <c:pt idx="0">
                  <c:v>פיצויים פטורים והוני</c:v>
                </c:pt>
                <c:pt idx="1">
                  <c:v>פיצויים פטורים וקצבה</c:v>
                </c:pt>
                <c:pt idx="2">
                  <c:v>קצבה פטורה והוני</c:v>
                </c:pt>
                <c:pt idx="3">
                  <c:v>קצבה פטורה וקצבה</c:v>
                </c:pt>
              </c:strCache>
            </c:strRef>
          </c:cat>
          <c:val>
            <c:numRef>
              <c:f>'השוואות מזעור'!$L$5:$L$8</c:f>
              <c:numCache>
                <c:formatCode>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'השוואות מזעור'!$M$4</c:f>
              <c:strCache>
                <c:ptCount val="1"/>
                <c:pt idx="0">
                  <c:v>כספים הפטורים במשיכה ח"פ בפרישה</c:v>
                </c:pt>
              </c:strCache>
            </c:strRef>
          </c:tx>
          <c:spPr>
            <a:solidFill>
              <a:srgbClr val="FF99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'השוואות מזעור'!$K$5:$K$8</c:f>
              <c:strCache>
                <c:ptCount val="4"/>
                <c:pt idx="0">
                  <c:v>פיצויים פטורים והוני</c:v>
                </c:pt>
                <c:pt idx="1">
                  <c:v>פיצויים פטורים וקצבה</c:v>
                </c:pt>
                <c:pt idx="2">
                  <c:v>קצבה פטורה והוני</c:v>
                </c:pt>
                <c:pt idx="3">
                  <c:v>קצבה פטורה וקצבה</c:v>
                </c:pt>
              </c:strCache>
            </c:strRef>
          </c:cat>
          <c:val>
            <c:numRef>
              <c:f>'השוואות מזעור'!$M$5:$M$8</c:f>
              <c:numCache>
                <c:formatCode>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'השוואות מזעור'!$N$4</c:f>
              <c:strCache>
                <c:ptCount val="1"/>
                <c:pt idx="0">
                  <c:v>ע"נ של הקצבה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'השוואות מזעור'!$K$5:$K$8</c:f>
              <c:strCache>
                <c:ptCount val="4"/>
                <c:pt idx="0">
                  <c:v>פיצויים פטורים והוני</c:v>
                </c:pt>
                <c:pt idx="1">
                  <c:v>פיצויים פטורים וקצבה</c:v>
                </c:pt>
                <c:pt idx="2">
                  <c:v>קצבה פטורה והוני</c:v>
                </c:pt>
                <c:pt idx="3">
                  <c:v>קצבה פטורה וקצבה</c:v>
                </c:pt>
              </c:strCache>
            </c:strRef>
          </c:cat>
          <c:val>
            <c:numRef>
              <c:f>'השוואות מזעור'!$N$5:$N$8</c:f>
              <c:numCache>
                <c:formatCode>#,##0_ ;[Red]\-#,##0\ 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3695232"/>
        <c:axId val="143729792"/>
        <c:axId val="0"/>
      </c:bar3DChart>
      <c:catAx>
        <c:axId val="14369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729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729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FFD9D9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95232"/>
        <c:crosses val="autoZero"/>
        <c:crossBetween val="between"/>
        <c:majorUnit val="202380.7243598261"/>
        <c:minorUnit val="202380.7243598261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100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סה"כ ע"נ 3.0</a:t>
            </a:r>
          </a:p>
        </c:rich>
      </c:tx>
      <c:layout>
        <c:manualLayout>
          <c:xMode val="edge"/>
          <c:yMode val="edge"/>
          <c:x val="0.23750095558444054"/>
          <c:y val="3.350508726249857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50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500083923597063"/>
          <c:y val="7.4742362101273191E-2"/>
          <c:w val="0.65000198364865314"/>
          <c:h val="0.85824850274912212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מזעור'!$C$56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מזעור'!$C$57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מזעור'!$C$58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מזעור'!$C$59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מזעור'!$C$60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מזעור'!$C$61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3743616"/>
        <c:axId val="143782272"/>
        <c:axId val="0"/>
      </c:bar3DChart>
      <c:catAx>
        <c:axId val="14374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2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782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782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7436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סה"כ ע"נ 4.0
</a:t>
            </a:r>
          </a:p>
        </c:rich>
      </c:tx>
      <c:layout>
        <c:manualLayout>
          <c:xMode val="edge"/>
          <c:yMode val="edge"/>
          <c:x val="0.23750095558444054"/>
          <c:y val="3.350508726249857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44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812508583095043"/>
          <c:y val="7.4742362101273191E-2"/>
          <c:w val="0.67500205994280993"/>
          <c:h val="0.86082582558021103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מזעור'!$E$56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מזעור'!$E$57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מזעור'!$E$58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מזעור'!$E$59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מזעור'!$E$60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מזעור'!$E$61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3827328"/>
        <c:axId val="143828864"/>
        <c:axId val="0"/>
      </c:bar3DChart>
      <c:catAx>
        <c:axId val="14382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828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828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8273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864332899772959"/>
          <c:y val="3.26634049384603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50" b="0" i="0" u="none" strike="noStrike" baseline="0">
              <a:solidFill>
                <a:srgbClr val="969696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46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262263410343229"/>
          <c:y val="0.13316582914572864"/>
          <c:w val="0.72976095362441729"/>
          <c:h val="0.71859296482412049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'השוואות מזעור'!$B$4</c:f>
              <c:strCache>
                <c:ptCount val="1"/>
                <c:pt idx="0">
                  <c:v>פיצויים נטו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solidFill>
                <a:srgbClr val="FF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solidFill>
                <a:srgbClr val="99FF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'השוואות מזעור'!$A$5:$A$8</c:f>
              <c:strCache>
                <c:ptCount val="4"/>
                <c:pt idx="0">
                  <c:v>פיצויים פטורים והוני</c:v>
                </c:pt>
                <c:pt idx="1">
                  <c:v>פיצויים פטורים וקצבה</c:v>
                </c:pt>
                <c:pt idx="2">
                  <c:v>קצבה פטורה והוני</c:v>
                </c:pt>
                <c:pt idx="3">
                  <c:v>קצבה פטורה וקצבה</c:v>
                </c:pt>
              </c:strCache>
            </c:strRef>
          </c:cat>
          <c:val>
            <c:numRef>
              <c:f>'השוואות מזעור'!$B$5:$B$8</c:f>
              <c:numCache>
                <c:formatCode>#,##0.00_ ;[Red]\-#,##0.00\ 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3854976"/>
        <c:axId val="143864960"/>
        <c:axId val="0"/>
      </c:bar3DChart>
      <c:catAx>
        <c:axId val="14385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864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864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8549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9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4378610262820175"/>
          <c:y val="0.4447236180904523"/>
          <c:w val="0.14595219072487844"/>
          <c:h val="0.213567839195985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20" b="0" i="0" u="none" strike="noStrike" baseline="0">
              <a:solidFill>
                <a:srgbClr val="969696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7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קצבה נטו</a:t>
            </a:r>
          </a:p>
        </c:rich>
      </c:tx>
      <c:layout>
        <c:manualLayout>
          <c:xMode val="edge"/>
          <c:yMode val="edge"/>
          <c:x val="0.35275193875324778"/>
          <c:y val="5.077262099916906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39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48867468356432087"/>
          <c:y val="0.13245061665850558"/>
          <c:w val="0.47249340265158074"/>
          <c:h val="0.68874320662428246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בחירתית'!$E$5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בחירתית'!$E$6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בחירתית'!$E$7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בחירתית'!$E$8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בחירתית'!$E$9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בחירתית'!$E$10</c:f>
              <c:numCache>
                <c:formatCode>#,##0.00_ ;[Red]\-#,##0.00\ 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3692672"/>
        <c:axId val="263694592"/>
        <c:axId val="0"/>
      </c:bar3DChart>
      <c:catAx>
        <c:axId val="263692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אפשרויות</a:t>
                </a:r>
              </a:p>
            </c:rich>
          </c:tx>
          <c:layout>
            <c:manualLayout>
              <c:xMode val="edge"/>
              <c:yMode val="edge"/>
              <c:x val="0.62783375314863021"/>
              <c:y val="0.739515868963478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3694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3694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 sz="1450" b="1" i="0" u="none" strike="noStrike" baseline="0">
                    <a:solidFill>
                      <a:srgbClr val="969696"/>
                    </a:solidFill>
                    <a:latin typeface="Arial"/>
                    <a:cs typeface="Arial"/>
                  </a:rPr>
                  <a:t>חודשי</a:t>
                </a:r>
              </a:p>
              <a:p>
                <a:pPr algn="ctr"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 sz="1450" b="1" i="0" u="none" strike="noStrike" baseline="0">
                    <a:solidFill>
                      <a:srgbClr val="969696"/>
                    </a:solidFill>
                    <a:latin typeface="Arial"/>
                    <a:cs typeface="Arial"/>
                  </a:rPr>
                  <a:t> נטו</a:t>
                </a:r>
                <a:r>
                  <a:rPr lang="he-IL" sz="1650" b="1" i="0" u="none" strike="noStrike" baseline="0">
                    <a:solidFill>
                      <a:srgbClr val="969696"/>
                    </a:solidFill>
                    <a:latin typeface="Arial"/>
                    <a:cs typeface="Arial"/>
                  </a:rPr>
                  <a:t> </a:t>
                </a:r>
              </a:p>
            </c:rich>
          </c:tx>
          <c:layout>
            <c:manualLayout>
              <c:xMode val="edge"/>
              <c:yMode val="edge"/>
              <c:x val="0.12945020726313489"/>
              <c:y val="0.4260494208701727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36926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37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פיצויים נטו</a:t>
            </a:r>
          </a:p>
        </c:rich>
      </c:tx>
      <c:layout>
        <c:manualLayout>
          <c:xMode val="edge"/>
          <c:yMode val="edge"/>
          <c:x val="0.52736437071579556"/>
          <c:y val="2.428247023729542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6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45273741822483826"/>
          <c:y val="0.18984588387720955"/>
          <c:w val="0.29104548314453887"/>
          <c:h val="0.61368785718445606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אחרת'!$B$5</c:f>
              <c:numCache>
                <c:formatCode>#,##0.00_ ;[Red]\-#,##0.00\ </c:formatCode>
                <c:ptCount val="1"/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אחרת'!$B$6</c:f>
              <c:numCache>
                <c:formatCode>#,##0.00_ ;[Red]\-#,##0.00\ </c:formatCode>
                <c:ptCount val="1"/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אחרת'!$B$7</c:f>
              <c:numCache>
                <c:formatCode>#,##0.00_ ;[Red]\-#,##0.00\ </c:formatCode>
                <c:ptCount val="1"/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אחרת'!$B$8</c:f>
              <c:numCache>
                <c:formatCode>#,##0.00_ ;[Red]\-#,##0.00\ </c:formatCode>
                <c:ptCount val="1"/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אחרת'!$B$9</c:f>
              <c:numCache>
                <c:formatCode>#,##0.00_ ;[Red]\-#,##0.00\ </c:formatCode>
                <c:ptCount val="1"/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אחרת'!$B$10</c:f>
              <c:numCache>
                <c:formatCode>#,##0.00_ ;[Red]\-#,##0.00\ </c:formatCode>
                <c:ptCount val="1"/>
              </c:numCache>
            </c:numRef>
          </c:val>
        </c:ser>
        <c:ser>
          <c:idx val="6"/>
          <c:order val="6"/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אחרת'!$B$11</c:f>
              <c:numCache>
                <c:formatCode>#,##0.00_ ;[Red]\-#,##0.00\ </c:formatCode>
                <c:ptCount val="1"/>
              </c:numCache>
            </c:numRef>
          </c:val>
        </c:ser>
        <c:ser>
          <c:idx val="7"/>
          <c:order val="7"/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אחרת'!$B$12</c:f>
              <c:numCache>
                <c:formatCode>#,##0.00_ ;[Red]\-#,##0.00\ 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4655872"/>
        <c:axId val="144657792"/>
        <c:axId val="0"/>
      </c:bar3DChart>
      <c:catAx>
        <c:axId val="14465587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אפשרות</a:t>
                </a:r>
              </a:p>
            </c:rich>
          </c:tx>
          <c:layout>
            <c:manualLayout>
              <c:xMode val="edge"/>
              <c:yMode val="edge"/>
              <c:x val="0.48756338710089575"/>
              <c:y val="0.73068604265763704"/>
            </c:manualLayout>
          </c:layout>
          <c:overlay val="0"/>
          <c:spPr>
            <a:noFill/>
            <a:ln w="25400">
              <a:noFill/>
            </a:ln>
          </c:spPr>
        </c:title>
        <c:majorTickMark val="out"/>
        <c:minorTickMark val="none"/>
        <c:tickLblPos val="none"/>
        <c:crossAx val="144657792"/>
        <c:crosses val="autoZero"/>
        <c:auto val="0"/>
        <c:lblAlgn val="ctr"/>
        <c:lblOffset val="100"/>
        <c:noMultiLvlLbl val="0"/>
      </c:catAx>
      <c:valAx>
        <c:axId val="144657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25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נטו בש"ח</a:t>
                </a:r>
              </a:p>
            </c:rich>
          </c:tx>
          <c:layout>
            <c:manualLayout>
              <c:xMode val="edge"/>
              <c:yMode val="edge"/>
              <c:x val="5.4726702851465879E-2"/>
              <c:y val="0.5187650605107807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6558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37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קצבה נטו</a:t>
            </a:r>
          </a:p>
        </c:rich>
      </c:tx>
      <c:layout>
        <c:manualLayout>
          <c:xMode val="edge"/>
          <c:yMode val="edge"/>
          <c:x val="0.3832343468730483"/>
          <c:y val="5.0549443204149565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93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9720636306756218"/>
          <c:y val="9.6703296703296707E-2"/>
          <c:w val="0.46507076680773651"/>
          <c:h val="0.69890109890109964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אחרת'!$E$5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אחרת'!$E$6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אחרת'!$E$7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אחרת'!$E$8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אחרת'!$E$9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אחרת'!$E$10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אחרת'!$E$11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אחרת'!$E$12</c:f>
              <c:numCache>
                <c:formatCode>#,##0.00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7947392"/>
        <c:axId val="157948928"/>
        <c:axId val="0"/>
      </c:bar3DChart>
      <c:catAx>
        <c:axId val="157947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9489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57948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25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חודשי נטו</a:t>
                </a:r>
              </a:p>
            </c:rich>
          </c:tx>
          <c:layout>
            <c:manualLayout>
              <c:xMode val="edge"/>
              <c:yMode val="edge"/>
              <c:x val="0.12375266855251379"/>
              <c:y val="0.4351648106805061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9473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350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סה"כ בערך נוכחי</a:t>
            </a:r>
          </a:p>
        </c:rich>
      </c:tx>
      <c:layout>
        <c:manualLayout>
          <c:xMode val="edge"/>
          <c:yMode val="edge"/>
          <c:x val="0.28787940466083628"/>
          <c:y val="3.097337191825498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8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49810698187993996"/>
          <c:y val="0.18362831858407094"/>
          <c:w val="0.29734903481045138"/>
          <c:h val="0.5995575221238937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אחרת'!$G$5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אחרת'!$G$6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אחרת'!$G$7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אחרת'!$G$8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אחרת'!$G$9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אחרת'!$G$10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אחרת'!$G$11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אחרת'!$G$12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7996160"/>
        <c:axId val="157998080"/>
        <c:axId val="0"/>
      </c:bar3DChart>
      <c:catAx>
        <c:axId val="15799616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האפשרויות</a:t>
                </a:r>
              </a:p>
            </c:rich>
          </c:tx>
          <c:layout>
            <c:manualLayout>
              <c:xMode val="edge"/>
              <c:yMode val="edge"/>
              <c:x val="0.54545547943879635"/>
              <c:y val="0.71902662808174622"/>
            </c:manualLayout>
          </c:layout>
          <c:overlay val="0"/>
          <c:spPr>
            <a:noFill/>
            <a:ln w="25400">
              <a:noFill/>
            </a:ln>
          </c:spPr>
        </c:title>
        <c:majorTickMark val="out"/>
        <c:minorTickMark val="none"/>
        <c:tickLblPos val="none"/>
        <c:crossAx val="157998080"/>
        <c:crosses val="autoZero"/>
        <c:auto val="0"/>
        <c:lblAlgn val="ctr"/>
        <c:lblOffset val="100"/>
        <c:noMultiLvlLbl val="0"/>
      </c:catAx>
      <c:valAx>
        <c:axId val="157998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75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ע"נ נטו</a:t>
                </a:r>
              </a:p>
            </c:rich>
          </c:tx>
          <c:layout>
            <c:manualLayout>
              <c:xMode val="edge"/>
              <c:yMode val="edge"/>
              <c:x val="0.15909117342607437"/>
              <c:y val="0.5066372793144446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996160"/>
        <c:crosses val="autoZero"/>
        <c:crossBetween val="between"/>
        <c:minorUnit val="9686.297677409013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t>סה"כ ע"נ 1.5</a:t>
            </a:r>
          </a:p>
        </c:rich>
      </c:tx>
      <c:layout>
        <c:manualLayout>
          <c:xMode val="edge"/>
          <c:yMode val="edge"/>
          <c:x val="0.24550923541100225"/>
          <c:y val="4.591832516998368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40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5748502994011985"/>
          <c:y val="5.1020408163265286E-2"/>
          <c:w val="0.68263473053892265"/>
          <c:h val="0.87244897959183765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אחרת'!$A$57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אחרת'!$A$58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אחרת'!$A$59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אחרת'!$A$60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אחרת'!$A$61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אחרת'!$A$62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אחרת'!$A$63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אחרת'!$A$64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0636416"/>
        <c:axId val="170637952"/>
        <c:axId val="0"/>
      </c:bar3DChart>
      <c:catAx>
        <c:axId val="17063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637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0637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6364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t>סה"כ ע"נ 2.5</a:t>
            </a:r>
          </a:p>
        </c:rich>
      </c:tx>
      <c:layout>
        <c:manualLayout>
          <c:xMode val="edge"/>
          <c:yMode val="edge"/>
          <c:x val="0.27108486439196644"/>
          <c:y val="3.836326289253368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52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6506102062847275"/>
          <c:y val="2.0460383607216592E-2"/>
          <c:w val="0.63253198104521857"/>
          <c:h val="0.94885028978466857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אחרת'!$B$57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אחרת'!$B$58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אחרת'!$B$59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אחרת'!$B$60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אחרת'!$B$61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אחרת'!$B$62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אחרת'!$B$63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אחרת'!$B$64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2179840"/>
        <c:axId val="172181376"/>
        <c:axId val="0"/>
      </c:bar3DChart>
      <c:catAx>
        <c:axId val="172179840"/>
        <c:scaling>
          <c:orientation val="minMax"/>
        </c:scaling>
        <c:delete val="1"/>
        <c:axPos val="b"/>
        <c:majorTickMark val="out"/>
        <c:minorTickMark val="none"/>
        <c:tickLblPos val="none"/>
        <c:crossAx val="172181376"/>
        <c:crosses val="autoZero"/>
        <c:auto val="1"/>
        <c:lblAlgn val="ctr"/>
        <c:lblOffset val="100"/>
        <c:noMultiLvlLbl val="0"/>
      </c:catAx>
      <c:valAx>
        <c:axId val="172181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1798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t>סה"כ ע"נ 3.5</a:t>
            </a:r>
          </a:p>
        </c:rich>
      </c:tx>
      <c:layout>
        <c:manualLayout>
          <c:xMode val="edge"/>
          <c:yMode val="edge"/>
          <c:x val="0.23750095558444051"/>
          <c:y val="3.350526760695669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49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5000076294178142"/>
          <c:y val="7.4742362101273191E-2"/>
          <c:w val="0.65625200272217665"/>
          <c:h val="0.86082582558021092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אחרת'!$D$57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אחרת'!$D$58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אחרת'!$D$59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אחרת'!$D$60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אחרת'!$D$61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אחרת'!$D$62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אחרת'!$D$63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אחרת'!$D$64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2223872"/>
        <c:axId val="172225664"/>
        <c:axId val="0"/>
      </c:bar3DChart>
      <c:catAx>
        <c:axId val="17222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225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2225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2238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t>סה"כ ע"נ 4.5</a:t>
            </a:r>
          </a:p>
        </c:rich>
      </c:tx>
      <c:layout>
        <c:manualLayout>
          <c:xMode val="edge"/>
          <c:yMode val="edge"/>
          <c:x val="0.25294131811505211"/>
          <c:y val="3.350508726249857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2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5294117647058773"/>
          <c:y val="6.1855747945881334E-2"/>
          <c:w val="0.71764705882355528"/>
          <c:h val="0.87628976256665114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אחרת'!$F$57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אחרת'!$F$58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אחרת'!$F$59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אחרת'!$F$60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אחרת'!$F$61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אחרת'!$F$62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אחרת'!$F$63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אחרת'!$F$64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2763776"/>
        <c:axId val="172765568"/>
        <c:axId val="0"/>
      </c:bar3DChart>
      <c:catAx>
        <c:axId val="17276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2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765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2765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7637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t>סה"כ ע"נ 5.5</a:t>
            </a:r>
          </a:p>
        </c:rich>
      </c:tx>
      <c:layout>
        <c:manualLayout>
          <c:xMode val="edge"/>
          <c:yMode val="edge"/>
          <c:x val="0.27071906959906628"/>
          <c:y val="3.36786433759908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1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3756970166204924"/>
          <c:y val="5.9585492227979313E-2"/>
          <c:w val="0.7127091049861477"/>
          <c:h val="0.87564766839382013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אחרת'!$G$57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אחרת'!$G$58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אחרת'!$G$59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אחרת'!$G$60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אחרת'!$G$61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אחרת'!$G$62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אחרת'!$G$63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אחרת'!$G$64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2922752"/>
        <c:axId val="172924288"/>
        <c:axId val="0"/>
      </c:bar3DChart>
      <c:catAx>
        <c:axId val="17292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924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2924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9227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t>סה"כ ע"נ 6.5</a:t>
            </a:r>
          </a:p>
        </c:rich>
      </c:tx>
      <c:layout>
        <c:manualLayout>
          <c:xMode val="edge"/>
          <c:yMode val="edge"/>
          <c:x val="0.25581484132666593"/>
          <c:y val="3.367874015748031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28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3837276972647656"/>
          <c:y val="6.4766839378239932E-2"/>
          <c:w val="0.69767639919944369"/>
          <c:h val="0.87823834196891148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אחרת'!$H$57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אחרת'!$H$58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אחרת'!$H$59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אחרת'!$H$60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אחרת'!$H$61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אחרת'!$H$62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אחרת'!$H$63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אחרת'!$H$64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3229184"/>
        <c:axId val="173230720"/>
        <c:axId val="0"/>
      </c:bar3DChart>
      <c:catAx>
        <c:axId val="173229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230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3230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2291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t>סה"כ ע"נ 3.0</a:t>
            </a:r>
          </a:p>
        </c:rich>
      </c:tx>
      <c:layout>
        <c:manualLayout>
          <c:xMode val="edge"/>
          <c:yMode val="edge"/>
          <c:x val="0.23750080020485237"/>
          <c:y val="3.350508726249857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50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500083923597057"/>
          <c:y val="7.2165039270194797E-2"/>
          <c:w val="0.65000198364865303"/>
          <c:h val="0.86082582558021092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אחרת'!$C$57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אחרת'!$C$58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אחרת'!$C$59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אחרת'!$C$60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אחרת'!$C$61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אחרת'!$C$62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אחרת'!$C$63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אחרת'!$C$64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3318528"/>
        <c:axId val="173320064"/>
        <c:axId val="0"/>
      </c:bar3DChart>
      <c:catAx>
        <c:axId val="173318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2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320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3320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3185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סה"כ בערך נוכחי</a:t>
            </a:r>
          </a:p>
        </c:rich>
      </c:tx>
      <c:layout>
        <c:manualLayout>
          <c:xMode val="edge"/>
          <c:yMode val="edge"/>
          <c:x val="0.25342495318058988"/>
          <c:y val="3.125011313241021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63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54452145849184463"/>
          <c:y val="0.14285729855924678"/>
          <c:w val="0.41780891783652102"/>
          <c:h val="0.7433043815660545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בחירתית'!$G$5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בחירתית'!$G$6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בחירתית'!$G$7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בחירתית'!$G$8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בחירתית'!$G$9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בחירתית'!$G$10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93472128"/>
        <c:axId val="293789696"/>
        <c:axId val="0"/>
      </c:bar3DChart>
      <c:catAx>
        <c:axId val="293472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00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האפשרויות</a:t>
                </a:r>
              </a:p>
            </c:rich>
          </c:tx>
          <c:layout>
            <c:manualLayout>
              <c:xMode val="edge"/>
              <c:yMode val="edge"/>
              <c:x val="0.68150789838272852"/>
              <c:y val="0.761161643587654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3789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93789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200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ע"נ נטו</a:t>
                </a:r>
              </a:p>
            </c:rich>
          </c:tx>
          <c:layout>
            <c:manualLayout>
              <c:xMode val="edge"/>
              <c:yMode val="edge"/>
              <c:x val="0.10616449800538859"/>
              <c:y val="0.4687505656620619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34721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t>סה"כ ע"נ 4.0
</a:t>
            </a:r>
          </a:p>
        </c:rich>
      </c:tx>
      <c:layout>
        <c:manualLayout>
          <c:xMode val="edge"/>
          <c:yMode val="edge"/>
          <c:x val="0.23750080020485237"/>
          <c:y val="3.350526760695669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44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812508583095043"/>
          <c:y val="7.4742362101273191E-2"/>
          <c:w val="0.67500205994280993"/>
          <c:h val="0.86082582558021092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אחרת'!$E$57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אחרת'!$E$58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אחרת'!$E$59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אחרת'!$E$60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אחרת'!$E$61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אחרת'!$E$62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אחרת'!$E$63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אחרת'!$E$64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6033152"/>
        <c:axId val="176047232"/>
        <c:axId val="0"/>
      </c:bar3DChart>
      <c:catAx>
        <c:axId val="176033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047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6047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0331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864332899772959"/>
          <c:y val="3.26634049384603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50" b="0" i="0" u="none" strike="noStrike" baseline="0">
              <a:solidFill>
                <a:srgbClr val="969696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46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262263410343229"/>
          <c:y val="0.13316582914572864"/>
          <c:w val="0.72976095362441706"/>
          <c:h val="0.71859296482412049"/>
        </c:manualLayout>
      </c:layout>
      <c:bar3DChart>
        <c:barDir val="col"/>
        <c:grouping val="stacked"/>
        <c:varyColors val="0"/>
        <c:ser>
          <c:idx val="0"/>
          <c:order val="0"/>
          <c:tx>
            <c:v>פיצויים נטו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solidFill>
                <a:srgbClr val="FF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solidFill>
                <a:srgbClr val="99FF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Lit>
              <c:ptCount val="4"/>
              <c:pt idx="0">
                <c:v>פיצויים פטורים והוני</c:v>
              </c:pt>
              <c:pt idx="1">
                <c:v>פיצויים פטורים וקצבה</c:v>
              </c:pt>
              <c:pt idx="2">
                <c:v>קצבה פטורה והוני</c:v>
              </c:pt>
              <c:pt idx="3">
                <c:v>קצבה פטורה וקצבה</c:v>
              </c:pt>
            </c:strLit>
          </c:cat>
          <c: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6089728"/>
        <c:axId val="176091520"/>
        <c:axId val="0"/>
      </c:bar3DChart>
      <c:catAx>
        <c:axId val="17608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091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6091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0897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9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4378610262820175"/>
          <c:y val="0.4447236180904523"/>
          <c:w val="0.14595219072487844"/>
          <c:h val="0.2135678391959858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20" b="0" i="0" u="none" strike="noStrike" baseline="0">
              <a:solidFill>
                <a:srgbClr val="969696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7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חד פעמי נטו</a:t>
            </a:r>
          </a:p>
        </c:rich>
      </c:tx>
      <c:layout>
        <c:manualLayout>
          <c:xMode val="edge"/>
          <c:yMode val="edge"/>
          <c:x val="0.49837190401962789"/>
          <c:y val="2.4390348038686949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3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53746013821403249"/>
          <c:y val="0.15521081105660794"/>
          <c:w val="0.42345344222923831"/>
          <c:h val="0.67627567674665512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בחירתית'!$D$58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בחירתית'!$D$59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בחירתית'!$D$60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בחירתית'!$D$61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בחירתית'!$D$62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בחירתית'!$D$63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98030976"/>
        <c:axId val="298091648"/>
        <c:axId val="0"/>
      </c:bar3DChart>
      <c:catAx>
        <c:axId val="29803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אפשרות</a:t>
                </a:r>
              </a:p>
            </c:rich>
          </c:tx>
          <c:layout>
            <c:manualLayout>
              <c:xMode val="edge"/>
              <c:yMode val="edge"/>
              <c:x val="0.66449598305289903"/>
              <c:y val="0.729490705785064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8091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98091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800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חד 
פעמי
 נטו</a:t>
                </a:r>
              </a:p>
            </c:rich>
          </c:tx>
          <c:layout>
            <c:manualLayout>
              <c:xMode val="edge"/>
              <c:yMode val="edge"/>
              <c:x val="0.11726421253181335"/>
              <c:y val="0.394678972063438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80309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7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קצבה נטו</a:t>
            </a:r>
          </a:p>
        </c:rich>
      </c:tx>
      <c:layout>
        <c:manualLayout>
          <c:xMode val="edge"/>
          <c:yMode val="edge"/>
          <c:x val="0.36893300805913115"/>
          <c:y val="5.077262099916906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40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48867468356432087"/>
          <c:y val="0.13024310638086894"/>
          <c:w val="0.46925714646902672"/>
          <c:h val="0.69095071690190002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בחירתית'!$E$58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בחירתית'!$E$59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בחירתית'!$E$60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בחירתית'!$E$61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בחירתית'!$E$62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בחירתית'!$E$63</c:f>
              <c:numCache>
                <c:formatCode>#,##0.00_ ;[Red]\-#,##0.00\ 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99821312"/>
        <c:axId val="300692224"/>
        <c:axId val="0"/>
      </c:bar3DChart>
      <c:catAx>
        <c:axId val="29982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אפשרויות</a:t>
                </a:r>
              </a:p>
            </c:rich>
          </c:tx>
          <c:layout>
            <c:manualLayout>
              <c:xMode val="edge"/>
              <c:yMode val="edge"/>
              <c:x val="0.624597539287438"/>
              <c:y val="0.739515868963478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0692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00692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 sz="1425" b="1" i="0" u="none" strike="noStrike" baseline="0">
                    <a:solidFill>
                      <a:srgbClr val="969696"/>
                    </a:solidFill>
                    <a:latin typeface="Arial"/>
                    <a:cs typeface="Arial"/>
                  </a:rPr>
                  <a:t>חודשי</a:t>
                </a:r>
              </a:p>
              <a:p>
                <a:pPr algn="ctr"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 sz="1425" b="1" i="0" u="none" strike="noStrike" baseline="0">
                    <a:solidFill>
                      <a:srgbClr val="969696"/>
                    </a:solidFill>
                    <a:latin typeface="Arial"/>
                    <a:cs typeface="Arial"/>
                  </a:rPr>
                  <a:t> נטו</a:t>
                </a:r>
                <a:r>
                  <a:rPr lang="he-IL" sz="1625" b="1" i="0" u="none" strike="noStrike" baseline="0">
                    <a:solidFill>
                      <a:srgbClr val="969696"/>
                    </a:solidFill>
                    <a:latin typeface="Arial"/>
                    <a:cs typeface="Arial"/>
                  </a:rPr>
                  <a:t> </a:t>
                </a:r>
              </a:p>
            </c:rich>
          </c:tx>
          <c:layout>
            <c:manualLayout>
              <c:xMode val="edge"/>
              <c:yMode val="edge"/>
              <c:x val="0.12945020726313489"/>
              <c:y val="0.4260494208701727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98213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סה"כ בערך נוכחי</a:t>
            </a:r>
          </a:p>
        </c:rich>
      </c:tx>
      <c:layout>
        <c:manualLayout>
          <c:xMode val="edge"/>
          <c:yMode val="edge"/>
          <c:x val="0.25342495318058988"/>
          <c:y val="3.125011313241021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63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54794612175279656"/>
          <c:y val="0.14955373442920641"/>
          <c:w val="0.41095959131461768"/>
          <c:h val="0.7343758004061256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בחירתית'!$G$58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בחירתית'!$G$59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בחירתית'!$G$60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בחירתית'!$G$61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בחירתית'!$G$62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בחירתית'!$G$63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2731136"/>
        <c:axId val="142802944"/>
        <c:axId val="0"/>
      </c:bar3DChart>
      <c:catAx>
        <c:axId val="142731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00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האפשרויות</a:t>
                </a:r>
              </a:p>
            </c:rich>
          </c:tx>
          <c:layout>
            <c:manualLayout>
              <c:xMode val="edge"/>
              <c:yMode val="edge"/>
              <c:x val="0.68493250346360002"/>
              <c:y val="0.75892954113494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02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802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200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ע"נ נטו</a:t>
                </a:r>
              </a:p>
            </c:rich>
          </c:tx>
          <c:layout>
            <c:manualLayout>
              <c:xMode val="edge"/>
              <c:yMode val="edge"/>
              <c:x val="0.10958945118597577"/>
              <c:y val="0.4687505656620619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7311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37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פיצויים נטו</a:t>
            </a:r>
          </a:p>
        </c:rich>
      </c:tx>
      <c:layout>
        <c:manualLayout>
          <c:xMode val="edge"/>
          <c:yMode val="edge"/>
          <c:x val="0.52736449368247573"/>
          <c:y val="2.428247023729542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6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45273741822483826"/>
          <c:y val="0.18763837359955676"/>
          <c:w val="0.29104548314453887"/>
          <c:h val="0.61810287773971662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מזעור'!$B$5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מזעור'!$B$6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מזעור'!$B$7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מזעור'!$B$8</c:f>
              <c:numCache>
                <c:formatCode>#,##0.00_ ;[Red]\-#,##0.00\ </c:formatCode>
                <c:ptCount val="1"/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מזעור'!$B$9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מזעור'!$B$10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2882688"/>
        <c:axId val="142884864"/>
        <c:axId val="0"/>
      </c:bar3DChart>
      <c:catAx>
        <c:axId val="142882688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אפשרות</a:t>
                </a:r>
              </a:p>
            </c:rich>
          </c:tx>
          <c:layout>
            <c:manualLayout>
              <c:xMode val="edge"/>
              <c:yMode val="edge"/>
              <c:x val="0.48507599340781443"/>
              <c:y val="0.73068604265763704"/>
            </c:manualLayout>
          </c:layout>
          <c:overlay val="0"/>
          <c:spPr>
            <a:noFill/>
            <a:ln w="25400">
              <a:noFill/>
            </a:ln>
          </c:spPr>
        </c:title>
        <c:majorTickMark val="out"/>
        <c:minorTickMark val="none"/>
        <c:tickLblPos val="none"/>
        <c:crossAx val="142884864"/>
        <c:crosses val="autoZero"/>
        <c:auto val="0"/>
        <c:lblAlgn val="ctr"/>
        <c:lblOffset val="100"/>
        <c:noMultiLvlLbl val="0"/>
      </c:catAx>
      <c:valAx>
        <c:axId val="142884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25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נטו בש"ח</a:t>
                </a:r>
              </a:p>
            </c:rich>
          </c:tx>
          <c:layout>
            <c:manualLayout>
              <c:xMode val="edge"/>
              <c:yMode val="edge"/>
              <c:x val="5.4726698406887327E-2"/>
              <c:y val="0.5209725170872405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826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37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קצבה נטו</a:t>
            </a:r>
          </a:p>
        </c:rich>
      </c:tx>
      <c:layout>
        <c:manualLayout>
          <c:xMode val="edge"/>
          <c:yMode val="edge"/>
          <c:x val="0.3832343468730483"/>
          <c:y val="5.0549443204149565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93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972063630675623"/>
          <c:y val="9.6703296703296707E-2"/>
          <c:w val="0.46507076680773657"/>
          <c:h val="0.69890109890109964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מזעור'!$E$5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מזעור'!$E$6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מזעור'!$E$7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מזעור'!$E$8</c:f>
              <c:numCache>
                <c:formatCode>#,##0.00_ ;[Red]\-#,##0.00\ </c:formatCode>
                <c:ptCount val="1"/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מזעור'!$E$9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מזעור'!$E$10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2909824"/>
        <c:axId val="142911360"/>
        <c:axId val="0"/>
      </c:bar3DChart>
      <c:catAx>
        <c:axId val="14290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9113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2911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25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חודשי נטו</a:t>
                </a:r>
              </a:p>
            </c:rich>
          </c:tx>
          <c:layout>
            <c:manualLayout>
              <c:xMode val="edge"/>
              <c:yMode val="edge"/>
              <c:x val="0.12375266855251379"/>
              <c:y val="0.4395603563136998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9098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350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סה"כ בערך נוכחי</a:t>
            </a:r>
          </a:p>
        </c:rich>
      </c:tx>
      <c:layout>
        <c:manualLayout>
          <c:xMode val="edge"/>
          <c:yMode val="edge"/>
          <c:x val="0.28787947413652937"/>
          <c:y val="3.0973371918254989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74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7878857937638277"/>
          <c:y val="0.18141592920353983"/>
          <c:w val="0.4166674373140134"/>
          <c:h val="0.60176991150444392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מזעור'!$G$5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מזעור'!$G$6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מזעור'!$G$7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מזעור'!$G$8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מזעור'!$G$9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מזעור'!$G$10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3013760"/>
        <c:axId val="143020032"/>
        <c:axId val="0"/>
      </c:bar3DChart>
      <c:catAx>
        <c:axId val="14301376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האפשרויות</a:t>
                </a:r>
              </a:p>
            </c:rich>
          </c:tx>
          <c:layout>
            <c:manualLayout>
              <c:xMode val="edge"/>
              <c:yMode val="edge"/>
              <c:x val="0.47727355430128754"/>
              <c:y val="0.74557529667765965"/>
            </c:manualLayout>
          </c:layout>
          <c:overlay val="0"/>
          <c:spPr>
            <a:noFill/>
            <a:ln w="25400">
              <a:noFill/>
            </a:ln>
          </c:spPr>
        </c:title>
        <c:majorTickMark val="out"/>
        <c:minorTickMark val="none"/>
        <c:tickLblPos val="none"/>
        <c:crossAx val="143020032"/>
        <c:crosses val="autoZero"/>
        <c:auto val="0"/>
        <c:lblAlgn val="ctr"/>
        <c:lblOffset val="100"/>
        <c:noMultiLvlLbl val="0"/>
      </c:catAx>
      <c:valAx>
        <c:axId val="143020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75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ע"נ נטו</a:t>
                </a:r>
              </a:p>
            </c:rich>
          </c:tx>
          <c:layout>
            <c:manualLayout>
              <c:xMode val="edge"/>
              <c:yMode val="edge"/>
              <c:x val="3.9772683281846404E-2"/>
              <c:y val="0.517699037620327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013760"/>
        <c:crosses val="autoZero"/>
        <c:crossBetween val="between"/>
        <c:minorUnit val="9686.297677409013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13" Type="http://schemas.openxmlformats.org/officeDocument/2006/relationships/chart" Target="../charts/chart19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12" Type="http://schemas.openxmlformats.org/officeDocument/2006/relationships/chart" Target="../charts/chart18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28575</xdr:rowOff>
    </xdr:from>
    <xdr:to>
      <xdr:col>2</xdr:col>
      <xdr:colOff>647700</xdr:colOff>
      <xdr:row>38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771525</xdr:colOff>
      <xdr:row>12</xdr:row>
      <xdr:rowOff>28575</xdr:rowOff>
    </xdr:from>
    <xdr:to>
      <xdr:col>5</xdr:col>
      <xdr:colOff>333375</xdr:colOff>
      <xdr:row>38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409575</xdr:colOff>
      <xdr:row>12</xdr:row>
      <xdr:rowOff>28575</xdr:rowOff>
    </xdr:from>
    <xdr:to>
      <xdr:col>7</xdr:col>
      <xdr:colOff>742950</xdr:colOff>
      <xdr:row>38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65</xdr:row>
      <xdr:rowOff>28575</xdr:rowOff>
    </xdr:from>
    <xdr:to>
      <xdr:col>2</xdr:col>
      <xdr:colOff>647700</xdr:colOff>
      <xdr:row>91</xdr:row>
      <xdr:rowOff>114300</xdr:rowOff>
    </xdr:to>
    <xdr:graphicFrame macro="">
      <xdr:nvGraphicFramePr>
        <xdr:cNvPr id="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771525</xdr:colOff>
      <xdr:row>65</xdr:row>
      <xdr:rowOff>28575</xdr:rowOff>
    </xdr:from>
    <xdr:to>
      <xdr:col>5</xdr:col>
      <xdr:colOff>333375</xdr:colOff>
      <xdr:row>91</xdr:row>
      <xdr:rowOff>133350</xdr:rowOff>
    </xdr:to>
    <xdr:graphicFrame macro="">
      <xdr:nvGraphicFramePr>
        <xdr:cNvPr id="6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409575</xdr:colOff>
      <xdr:row>65</xdr:row>
      <xdr:rowOff>28575</xdr:rowOff>
    </xdr:from>
    <xdr:to>
      <xdr:col>7</xdr:col>
      <xdr:colOff>742950</xdr:colOff>
      <xdr:row>91</xdr:row>
      <xdr:rowOff>85725</xdr:rowOff>
    </xdr:to>
    <xdr:graphicFrame macro="">
      <xdr:nvGraphicFramePr>
        <xdr:cNvPr id="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180975</xdr:colOff>
      <xdr:row>3</xdr:row>
      <xdr:rowOff>238125</xdr:rowOff>
    </xdr:from>
    <xdr:to>
      <xdr:col>12</xdr:col>
      <xdr:colOff>190500</xdr:colOff>
      <xdr:row>65</xdr:row>
      <xdr:rowOff>38100</xdr:rowOff>
    </xdr:to>
    <xdr:sp macro="" textlink="">
      <xdr:nvSpPr>
        <xdr:cNvPr id="8" name="Line 21"/>
        <xdr:cNvSpPr>
          <a:spLocks noChangeShapeType="1"/>
        </xdr:cNvSpPr>
      </xdr:nvSpPr>
      <xdr:spPr bwMode="auto">
        <a:xfrm>
          <a:off x="9980180700" y="723900"/>
          <a:ext cx="3981450" cy="11153775"/>
        </a:xfrm>
        <a:prstGeom prst="line">
          <a:avLst/>
        </a:prstGeom>
        <a:noFill/>
        <a:ln w="38100">
          <a:solidFill>
            <a:srgbClr val="FF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57150</xdr:colOff>
      <xdr:row>65</xdr:row>
      <xdr:rowOff>152400</xdr:rowOff>
    </xdr:from>
    <xdr:to>
      <xdr:col>9</xdr:col>
      <xdr:colOff>971550</xdr:colOff>
      <xdr:row>71</xdr:row>
      <xdr:rowOff>95250</xdr:rowOff>
    </xdr:to>
    <xdr:sp macro="" textlink="">
      <xdr:nvSpPr>
        <xdr:cNvPr id="9" name="AutoShape 22"/>
        <xdr:cNvSpPr>
          <a:spLocks noChangeArrowheads="1"/>
        </xdr:cNvSpPr>
      </xdr:nvSpPr>
      <xdr:spPr bwMode="auto">
        <a:xfrm>
          <a:off x="9983371575" y="11991975"/>
          <a:ext cx="914400" cy="914400"/>
        </a:xfrm>
        <a:prstGeom prst="smileyFace">
          <a:avLst>
            <a:gd name="adj" fmla="val 4653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12</xdr:row>
      <xdr:rowOff>0</xdr:rowOff>
    </xdr:from>
    <xdr:to>
      <xdr:col>2</xdr:col>
      <xdr:colOff>409575</xdr:colOff>
      <xdr:row>38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619125</xdr:colOff>
      <xdr:row>11</xdr:row>
      <xdr:rowOff>133350</xdr:rowOff>
    </xdr:from>
    <xdr:to>
      <xdr:col>5</xdr:col>
      <xdr:colOff>247650</xdr:colOff>
      <xdr:row>38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485775</xdr:colOff>
      <xdr:row>12</xdr:row>
      <xdr:rowOff>19050</xdr:rowOff>
    </xdr:from>
    <xdr:to>
      <xdr:col>8</xdr:col>
      <xdr:colOff>371475</xdr:colOff>
      <xdr:row>38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63</xdr:row>
      <xdr:rowOff>9525</xdr:rowOff>
    </xdr:from>
    <xdr:to>
      <xdr:col>0</xdr:col>
      <xdr:colOff>1657350</xdr:colOff>
      <xdr:row>86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38100</xdr:colOff>
      <xdr:row>62</xdr:row>
      <xdr:rowOff>152400</xdr:rowOff>
    </xdr:from>
    <xdr:to>
      <xdr:col>1</xdr:col>
      <xdr:colOff>1619250</xdr:colOff>
      <xdr:row>85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114300</xdr:colOff>
      <xdr:row>63</xdr:row>
      <xdr:rowOff>0</xdr:rowOff>
    </xdr:from>
    <xdr:to>
      <xdr:col>3</xdr:col>
      <xdr:colOff>1638300</xdr:colOff>
      <xdr:row>85</xdr:row>
      <xdr:rowOff>133350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38100</xdr:colOff>
      <xdr:row>63</xdr:row>
      <xdr:rowOff>9525</xdr:rowOff>
    </xdr:from>
    <xdr:to>
      <xdr:col>5</xdr:col>
      <xdr:colOff>1657350</xdr:colOff>
      <xdr:row>85</xdr:row>
      <xdr:rowOff>142875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1695450</xdr:colOff>
      <xdr:row>63</xdr:row>
      <xdr:rowOff>28575</xdr:rowOff>
    </xdr:from>
    <xdr:to>
      <xdr:col>6</xdr:col>
      <xdr:colOff>1704975</xdr:colOff>
      <xdr:row>85</xdr:row>
      <xdr:rowOff>142875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28575</xdr:colOff>
      <xdr:row>63</xdr:row>
      <xdr:rowOff>28575</xdr:rowOff>
    </xdr:from>
    <xdr:to>
      <xdr:col>7</xdr:col>
      <xdr:colOff>1666875</xdr:colOff>
      <xdr:row>85</xdr:row>
      <xdr:rowOff>152400</xdr:rowOff>
    </xdr:to>
    <xdr:graphicFrame macro="">
      <xdr:nvGraphicFramePr>
        <xdr:cNvPr id="10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10</xdr:col>
      <xdr:colOff>66675</xdr:colOff>
      <xdr:row>12</xdr:row>
      <xdr:rowOff>133350</xdr:rowOff>
    </xdr:from>
    <xdr:to>
      <xdr:col>14</xdr:col>
      <xdr:colOff>1704975</xdr:colOff>
      <xdr:row>37</xdr:row>
      <xdr:rowOff>38100</xdr:rowOff>
    </xdr:to>
    <xdr:graphicFrame macro="">
      <xdr:nvGraphicFramePr>
        <xdr:cNvPr id="11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114300</xdr:colOff>
      <xdr:row>63</xdr:row>
      <xdr:rowOff>0</xdr:rowOff>
    </xdr:from>
    <xdr:to>
      <xdr:col>2</xdr:col>
      <xdr:colOff>1638300</xdr:colOff>
      <xdr:row>85</xdr:row>
      <xdr:rowOff>133350</xdr:rowOff>
    </xdr:to>
    <xdr:graphicFrame macro="">
      <xdr:nvGraphicFramePr>
        <xdr:cNvPr id="1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114300</xdr:colOff>
      <xdr:row>63</xdr:row>
      <xdr:rowOff>0</xdr:rowOff>
    </xdr:from>
    <xdr:to>
      <xdr:col>4</xdr:col>
      <xdr:colOff>1638300</xdr:colOff>
      <xdr:row>85</xdr:row>
      <xdr:rowOff>133350</xdr:rowOff>
    </xdr:to>
    <xdr:graphicFrame macro="">
      <xdr:nvGraphicFramePr>
        <xdr:cNvPr id="13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276225</xdr:colOff>
      <xdr:row>71</xdr:row>
      <xdr:rowOff>85725</xdr:rowOff>
    </xdr:from>
    <xdr:to>
      <xdr:col>15</xdr:col>
      <xdr:colOff>57150</xdr:colOff>
      <xdr:row>94</xdr:row>
      <xdr:rowOff>152400</xdr:rowOff>
    </xdr:to>
    <xdr:graphicFrame macro="">
      <xdr:nvGraphicFramePr>
        <xdr:cNvPr id="14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14</xdr:row>
      <xdr:rowOff>28575</xdr:rowOff>
    </xdr:from>
    <xdr:to>
      <xdr:col>2</xdr:col>
      <xdr:colOff>485775</xdr:colOff>
      <xdr:row>40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647700</xdr:colOff>
      <xdr:row>14</xdr:row>
      <xdr:rowOff>9525</xdr:rowOff>
    </xdr:from>
    <xdr:to>
      <xdr:col>5</xdr:col>
      <xdr:colOff>276225</xdr:colOff>
      <xdr:row>40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600075</xdr:colOff>
      <xdr:row>14</xdr:row>
      <xdr:rowOff>28575</xdr:rowOff>
    </xdr:from>
    <xdr:to>
      <xdr:col>8</xdr:col>
      <xdr:colOff>485775</xdr:colOff>
      <xdr:row>40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</xdr:colOff>
      <xdr:row>66</xdr:row>
      <xdr:rowOff>142875</xdr:rowOff>
    </xdr:from>
    <xdr:to>
      <xdr:col>0</xdr:col>
      <xdr:colOff>1647825</xdr:colOff>
      <xdr:row>89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47625</xdr:colOff>
      <xdr:row>66</xdr:row>
      <xdr:rowOff>142875</xdr:rowOff>
    </xdr:from>
    <xdr:to>
      <xdr:col>1</xdr:col>
      <xdr:colOff>1628775</xdr:colOff>
      <xdr:row>89</xdr:row>
      <xdr:rowOff>142875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114300</xdr:colOff>
      <xdr:row>66</xdr:row>
      <xdr:rowOff>142875</xdr:rowOff>
    </xdr:from>
    <xdr:to>
      <xdr:col>3</xdr:col>
      <xdr:colOff>1638300</xdr:colOff>
      <xdr:row>89</xdr:row>
      <xdr:rowOff>114300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85725</xdr:colOff>
      <xdr:row>67</xdr:row>
      <xdr:rowOff>9525</xdr:rowOff>
    </xdr:from>
    <xdr:to>
      <xdr:col>5</xdr:col>
      <xdr:colOff>1704975</xdr:colOff>
      <xdr:row>89</xdr:row>
      <xdr:rowOff>142875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95250</xdr:colOff>
      <xdr:row>67</xdr:row>
      <xdr:rowOff>28575</xdr:rowOff>
    </xdr:from>
    <xdr:to>
      <xdr:col>7</xdr:col>
      <xdr:colOff>104775</xdr:colOff>
      <xdr:row>89</xdr:row>
      <xdr:rowOff>142875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257175</xdr:colOff>
      <xdr:row>67</xdr:row>
      <xdr:rowOff>9525</xdr:rowOff>
    </xdr:from>
    <xdr:to>
      <xdr:col>8</xdr:col>
      <xdr:colOff>180975</xdr:colOff>
      <xdr:row>89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66675</xdr:colOff>
      <xdr:row>66</xdr:row>
      <xdr:rowOff>152400</xdr:rowOff>
    </xdr:from>
    <xdr:to>
      <xdr:col>2</xdr:col>
      <xdr:colOff>1590675</xdr:colOff>
      <xdr:row>89</xdr:row>
      <xdr:rowOff>123825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104775</xdr:colOff>
      <xdr:row>66</xdr:row>
      <xdr:rowOff>142875</xdr:rowOff>
    </xdr:from>
    <xdr:to>
      <xdr:col>4</xdr:col>
      <xdr:colOff>1628775</xdr:colOff>
      <xdr:row>89</xdr:row>
      <xdr:rowOff>114300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276225</xdr:colOff>
      <xdr:row>72</xdr:row>
      <xdr:rowOff>85725</xdr:rowOff>
    </xdr:from>
    <xdr:to>
      <xdr:col>15</xdr:col>
      <xdr:colOff>57150</xdr:colOff>
      <xdr:row>95</xdr:row>
      <xdr:rowOff>152400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723900</xdr:colOff>
      <xdr:row>33</xdr:row>
      <xdr:rowOff>114300</xdr:rowOff>
    </xdr:from>
    <xdr:to>
      <xdr:col>6</xdr:col>
      <xdr:colOff>723900</xdr:colOff>
      <xdr:row>46</xdr:row>
      <xdr:rowOff>47625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9988610325" y="7029450"/>
          <a:ext cx="0" cy="2962275"/>
        </a:xfrm>
        <a:prstGeom prst="line">
          <a:avLst/>
        </a:prstGeom>
        <a:noFill/>
        <a:ln w="76200">
          <a:solidFill>
            <a:srgbClr val="FF0000"/>
          </a:solidFill>
          <a:round/>
          <a:headEnd/>
          <a:tailEnd type="triangle" w="med" len="med"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ropbox/insur/excel/simulator_new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פתיחה"/>
      <sheetName val="נתוני יסוד"/>
      <sheetName val="ב.ל."/>
      <sheetName val="חישובי מקורות א"/>
      <sheetName val="גיליון2"/>
      <sheetName val="דווח ביטוחים"/>
      <sheetName val="הערות"/>
      <sheetName val="תחזית"/>
      <sheetName val="תחזית ה"/>
      <sheetName val="קה&quot;ש"/>
      <sheetName val="קצבה מזכה 2016"/>
      <sheetName val="סיכומי מקורות"/>
      <sheetName val="השוואה בחירתית"/>
      <sheetName val="השוואות מזעור"/>
      <sheetName val="כולל מקס אחרת"/>
      <sheetName val="זקיפות מס"/>
      <sheetName val="חישוב פתוח"/>
      <sheetName val="חישובי מיסוי פנסיה פתוחים"/>
      <sheetName val="קצבה מוכרת וקצבה"/>
      <sheetName val="מקסימום פנסיה עם קצבה פטורה"/>
      <sheetName val="קצבה פטורה וקצבה"/>
      <sheetName val="מקסימום הון"/>
      <sheetName val="פיצויים פטורים והוני"/>
      <sheetName val="פיצויים פטורים וקצבה"/>
      <sheetName val="פיצויים פטורים והוני מיכאל"/>
      <sheetName val="קצבה פטורה והוני"/>
      <sheetName val="מקס פטור וקצבה"/>
      <sheetName val="חישוביי ביניים"/>
      <sheetName val="מיסוי פנסיה"/>
      <sheetName val="פנסיות מול ח&quot;פ"/>
      <sheetName val="הדדית"/>
      <sheetName val="תוס' פיצויים"/>
      <sheetName val="הצעה לסיעוד"/>
      <sheetName val="תעריפי סיעוד"/>
      <sheetName val="תעריפי בריאות "/>
      <sheetName val="הצעה לבריאות "/>
      <sheetName val="יע"/>
    </sheetNames>
    <sheetDataSet>
      <sheetData sheetId="0"/>
      <sheetData sheetId="1">
        <row r="1">
          <cell r="B1">
            <v>0</v>
          </cell>
          <cell r="I1">
            <v>178</v>
          </cell>
          <cell r="L1">
            <v>4806</v>
          </cell>
        </row>
        <row r="2">
          <cell r="L2">
            <v>400.5</v>
          </cell>
        </row>
        <row r="4">
          <cell r="B4">
            <v>0</v>
          </cell>
          <cell r="I4">
            <v>3850</v>
          </cell>
        </row>
        <row r="6">
          <cell r="B6">
            <v>45874.826249999998</v>
          </cell>
          <cell r="E6">
            <v>0</v>
          </cell>
          <cell r="M6">
            <v>1318783.5061601643</v>
          </cell>
        </row>
        <row r="9">
          <cell r="E9">
            <v>7200</v>
          </cell>
        </row>
        <row r="10">
          <cell r="E10">
            <v>7400</v>
          </cell>
        </row>
        <row r="23">
          <cell r="E23">
            <v>0</v>
          </cell>
        </row>
        <row r="24">
          <cell r="E24">
            <v>0</v>
          </cell>
        </row>
        <row r="26">
          <cell r="B26">
            <v>0</v>
          </cell>
        </row>
        <row r="27">
          <cell r="B27">
            <v>0</v>
          </cell>
          <cell r="E27">
            <v>0</v>
          </cell>
        </row>
        <row r="28">
          <cell r="B28">
            <v>0</v>
          </cell>
        </row>
        <row r="29">
          <cell r="B29">
            <v>0</v>
          </cell>
        </row>
        <row r="30">
          <cell r="B30">
            <v>0</v>
          </cell>
        </row>
        <row r="33">
          <cell r="B33">
            <v>0</v>
          </cell>
        </row>
        <row r="34">
          <cell r="B34">
            <v>0</v>
          </cell>
        </row>
        <row r="35">
          <cell r="B35">
            <v>0</v>
          </cell>
        </row>
        <row r="36">
          <cell r="B36">
            <v>0</v>
          </cell>
        </row>
        <row r="38">
          <cell r="A38" t="str">
            <v>כספים ממקורות הפטורים במשיכה ח"פ בפרישה</v>
          </cell>
          <cell r="B38">
            <v>0</v>
          </cell>
        </row>
      </sheetData>
      <sheetData sheetId="2"/>
      <sheetData sheetId="3">
        <row r="1">
          <cell r="BZ1">
            <v>0</v>
          </cell>
        </row>
        <row r="3">
          <cell r="BZ3">
            <v>0</v>
          </cell>
        </row>
        <row r="6">
          <cell r="BC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U6">
            <v>0</v>
          </cell>
          <cell r="BV6">
            <v>0</v>
          </cell>
          <cell r="BW6">
            <v>0</v>
          </cell>
          <cell r="BX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</row>
      </sheetData>
      <sheetData sheetId="4"/>
      <sheetData sheetId="5">
        <row r="46">
          <cell r="O46">
            <v>0</v>
          </cell>
        </row>
      </sheetData>
      <sheetData sheetId="6"/>
      <sheetData sheetId="7"/>
      <sheetData sheetId="8"/>
      <sheetData sheetId="9"/>
      <sheetData sheetId="10"/>
      <sheetData sheetId="11">
        <row r="39">
          <cell r="B39" t="e">
            <v>#DIV/0!</v>
          </cell>
        </row>
      </sheetData>
      <sheetData sheetId="12">
        <row r="54">
          <cell r="B54">
            <v>90</v>
          </cell>
        </row>
      </sheetData>
      <sheetData sheetId="13">
        <row r="4">
          <cell r="B4" t="str">
            <v>פיצויים נטו</v>
          </cell>
        </row>
      </sheetData>
      <sheetData sheetId="14"/>
      <sheetData sheetId="15"/>
      <sheetData sheetId="16"/>
      <sheetData sheetId="17">
        <row r="6">
          <cell r="B6">
            <v>5270</v>
          </cell>
          <cell r="C6">
            <v>0.1</v>
          </cell>
        </row>
        <row r="7">
          <cell r="B7">
            <v>3730</v>
          </cell>
          <cell r="C7">
            <v>0.14000000000000001</v>
          </cell>
        </row>
        <row r="8">
          <cell r="B8">
            <v>4990</v>
          </cell>
          <cell r="C8">
            <v>0.21</v>
          </cell>
        </row>
        <row r="9">
          <cell r="B9">
            <v>5990</v>
          </cell>
          <cell r="C9">
            <v>0.31</v>
          </cell>
        </row>
        <row r="10">
          <cell r="B10">
            <v>21810</v>
          </cell>
          <cell r="C10">
            <v>0.34</v>
          </cell>
        </row>
        <row r="11">
          <cell r="C11">
            <v>0.48</v>
          </cell>
        </row>
      </sheetData>
      <sheetData sheetId="18">
        <row r="20">
          <cell r="N20" t="e">
            <v>#DIV/0!</v>
          </cell>
        </row>
      </sheetData>
      <sheetData sheetId="19">
        <row r="3">
          <cell r="B3">
            <v>0</v>
          </cell>
        </row>
        <row r="11">
          <cell r="B11">
            <v>0</v>
          </cell>
        </row>
      </sheetData>
      <sheetData sheetId="20">
        <row r="34">
          <cell r="D34" t="e">
            <v>#DIV/0!</v>
          </cell>
        </row>
      </sheetData>
      <sheetData sheetId="21">
        <row r="3">
          <cell r="B3">
            <v>0</v>
          </cell>
        </row>
      </sheetData>
      <sheetData sheetId="22">
        <row r="2">
          <cell r="H2">
            <v>0</v>
          </cell>
        </row>
        <row r="10">
          <cell r="D10">
            <v>0</v>
          </cell>
        </row>
        <row r="12">
          <cell r="D12">
            <v>0</v>
          </cell>
        </row>
        <row r="21">
          <cell r="B21">
            <v>7200</v>
          </cell>
          <cell r="C21">
            <v>7400</v>
          </cell>
        </row>
      </sheetData>
      <sheetData sheetId="23">
        <row r="4">
          <cell r="L4">
            <v>0</v>
          </cell>
        </row>
        <row r="13">
          <cell r="D13">
            <v>0</v>
          </cell>
        </row>
        <row r="31">
          <cell r="D31">
            <v>0</v>
          </cell>
        </row>
        <row r="32">
          <cell r="D32">
            <v>0</v>
          </cell>
        </row>
        <row r="51">
          <cell r="N51">
            <v>0</v>
          </cell>
        </row>
      </sheetData>
      <sheetData sheetId="24"/>
      <sheetData sheetId="25">
        <row r="34">
          <cell r="D34" t="e">
            <v>#DIV/0!</v>
          </cell>
        </row>
      </sheetData>
      <sheetData sheetId="26">
        <row r="35">
          <cell r="D35" t="e">
            <v>#DIV/0!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2593.580477314812" createdVersion="3" refreshedVersion="3" minRefreshableVersion="3" recordCount="1">
  <cacheSource type="worksheet">
    <worksheetSource ref="D5:AM100" sheet="PirteiKisuiBeMutzar"/>
  </cacheSource>
  <cacheFields count="37">
    <cacheField name="מספר פוליסה" numFmtId="0">
      <sharedItems containsNonDate="0" containsString="0" containsBlank="1" count="1">
        <m/>
      </sharedItems>
    </cacheField>
    <cacheField name="קוד יצרן" numFmtId="0">
      <sharedItems containsNonDate="0" containsString="0" containsBlank="1"/>
    </cacheField>
    <cacheField name="קוד מוצר" numFmtId="0">
      <sharedItems containsNonDate="0" containsString="0" containsBlank="1"/>
    </cacheField>
    <cacheField name="סכום ביטוח" numFmtId="0">
      <sharedItems containsNonDate="0" containsString="0" containsBlank="1"/>
    </cacheField>
    <cacheField name="סוג מבוטח" numFmtId="0">
      <sharedItems containsNonDate="0" containsString="0" containsBlank="1"/>
    </cacheField>
    <cacheField name="אופן התשלום" numFmtId="0">
      <sharedItems containsNonDate="0" containsString="0" containsBlank="1"/>
    </cacheField>
    <cacheField name="משלם הכיסוי" numFmtId="0">
      <sharedItems containsNonDate="0" containsString="0" containsBlank="1"/>
    </cacheField>
    <cacheField name="עישון" numFmtId="0">
      <sharedItems containsNonDate="0" containsString="0" containsBlank="1"/>
    </cacheField>
    <cacheField name="חיתום" numFmtId="0">
      <sharedItems containsNonDate="0" containsString="0" containsBlank="1"/>
    </cacheField>
    <cacheField name="החרגה" numFmtId="0">
      <sharedItems containsNonDate="0" containsString="0" containsBlank="1"/>
    </cacheField>
    <cacheField name="סוג החרגה" numFmtId="0">
      <sharedItems containsNonDate="0" containsString="0" containsBlank="1"/>
    </cacheField>
    <cacheField name="תאריך תחילת כיסוי" numFmtId="0">
      <sharedItems containsNonDate="0" containsString="0" containsBlank="1"/>
    </cacheField>
    <cacheField name="תאריך סיום כיסוי" numFmtId="0">
      <sharedItems containsNonDate="0" containsString="0" containsBlank="1"/>
    </cacheField>
    <cacheField name="תאריך הפסקת תשלום" numFmtId="0">
      <sharedItems containsNonDate="0" containsString="0" containsBlank="1"/>
    </cacheField>
    <cacheField name="אחוז מסכום ביטוח יסודי" numFmtId="0">
      <sharedItems containsNonDate="0" containsString="0" containsBlank="1"/>
    </cacheField>
    <cacheField name="אחוז משכר" numFmtId="0">
      <sharedItems containsNonDate="0" containsString="0" containsBlank="1"/>
    </cacheField>
    <cacheField name="תאריך חיתום" numFmtId="0">
      <sharedItems containsNonDate="0" containsString="0" containsBlank="1"/>
    </cacheField>
    <cacheField name="תקופת הכשרה" numFmtId="0">
      <sharedItems containsNonDate="0" containsString="0" containsBlank="1"/>
    </cacheField>
    <cacheField name="תקופת הכשרה בחודשים" numFmtId="0">
      <sharedItems containsNonDate="0" containsString="0" containsBlank="1"/>
    </cacheField>
    <cacheField name="דמי ביטוח ת" numFmtId="0">
      <sharedItems containsNonDate="0" containsString="0" containsBlank="1"/>
    </cacheField>
    <cacheField name="תדירות שינוי דמי הביטוח בשנים" numFmtId="0">
      <sharedItems containsNonDate="0" containsString="0" containsBlank="1"/>
    </cacheField>
    <cacheField name="תאריך עידכון הבא של דמי הביטוח" numFmtId="0">
      <sharedItems containsNonDate="0" containsString="0" containsBlank="1"/>
    </cacheField>
    <cacheField name="הנחה" numFmtId="0">
      <sharedItems containsNonDate="0" containsString="0" containsBlank="1"/>
    </cacheField>
    <cacheField name="התניה להנחה" numFmtId="0">
      <sharedItems containsNonDate="0" containsString="0" containsBlank="1"/>
    </cacheField>
    <cacheField name="שם הכיסוי" numFmtId="0">
      <sharedItems containsNonDate="0" containsString="0" containsBlank="1"/>
    </cacheField>
    <cacheField name="פנימי" numFmtId="0">
      <sharedItems containsNonDate="0" containsString="0" containsBlank="1"/>
    </cacheField>
    <cacheField name="פנימי (סוג מבוטח)" numFmtId="0">
      <sharedItems containsNonDate="0" containsString="0" containsBlank="1"/>
    </cacheField>
    <cacheField name="ערך הנחה" numFmtId="0">
      <sharedItems containsNonDate="0" containsString="0" containsBlank="1"/>
    </cacheField>
    <cacheField name="שיעור ההנחה" numFmtId="0">
      <sharedItems containsNonDate="0" containsString="0" containsBlank="1"/>
    </cacheField>
    <cacheField name="פנימי (סוג הנחה)" numFmtId="0">
      <sharedItems containsNonDate="0" containsString="0" containsBlank="1"/>
    </cacheField>
    <cacheField name="פנימי (פרנצ'יזה)" numFmtId="0">
      <sharedItems containsNonDate="0" containsString="0" containsBlank="1"/>
    </cacheField>
    <cacheField name="פנימי (עיסוק)" numFmtId="0">
      <sharedItems containsNonDate="0" containsString="0" containsBlank="1"/>
    </cacheField>
    <cacheField name="פנימי (קוד כיסוי)" numFmtId="0">
      <sharedItems containsNonDate="0" containsString="0" containsBlank="1"/>
    </cacheField>
    <cacheField name="פנימי (סוג כיסוי)" numFmtId="0">
      <sharedItems containsNonDate="0" containsString="0" containsBlank="1"/>
    </cacheField>
    <cacheField name="ת&quot;ז" numFmtId="0">
      <sharedItems containsNonDate="0" containsString="0" containsBlank="1"/>
    </cacheField>
    <cacheField name="נכון לתאריך" numFmtId="0">
      <sharedItems containsNonDate="0" containsString="0" containsBlank="1"/>
    </cacheField>
    <cacheField name="סוג ביטוח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2628.446280208336" createdVersion="3" refreshedVersion="3" minRefreshableVersion="3" recordCount="1">
  <cacheSource type="worksheet">
    <worksheetSource ref="D5:I154" sheet="PerutYitraLeTkufa"/>
  </cacheSource>
  <cacheFields count="6">
    <cacheField name="מספר פוליסה" numFmtId="0">
      <sharedItems containsNonDate="0" containsString="0" containsBlank="1" count="1">
        <m/>
      </sharedItems>
    </cacheField>
    <cacheField name="שם חברה" numFmtId="0">
      <sharedItems containsNonDate="0" containsString="0" containsBlank="1"/>
    </cacheField>
    <cacheField name="פנימי" numFmtId="0">
      <sharedItems containsNonDate="0" containsString="0" containsBlank="1"/>
    </cacheField>
    <cacheField name="שכבת ההפרשה" numFmtId="0">
      <sharedItems containsNonDate="0" containsString="0" containsBlank="1"/>
    </cacheField>
    <cacheField name="רכיב היתרה" numFmtId="0">
      <sharedItems containsNonDate="0" containsString="0" containsBlank="1" count="1">
        <m/>
      </sharedItems>
    </cacheField>
    <cacheField name="סכום יתרה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">
  <r>
    <x v="0"/>
    <m/>
    <m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8" applyNumberFormats="0" applyBorderFormats="0" applyFontFormats="0" applyPatternFormats="0" applyAlignmentFormats="0" applyWidthHeightFormats="1" dataCaption="ערכים" updatedVersion="3" minRefreshableVersion="3" showCalcMbrs="0" useAutoFormatting="1" itemPrintTitles="1" createdVersion="3" indent="0" outline="1" outlineData="1" multipleFieldFilters="0">
  <location ref="AT6:AV9" firstHeaderRow="1" firstDataRow="2" firstDataCol="1"/>
  <pivotFields count="37">
    <pivotField axis="axisRow" showAll="0">
      <items count="2"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2">
        <item x="0"/>
        <item t="default"/>
      </items>
    </pivotField>
  </pivotFields>
  <rowFields count="1">
    <field x="0"/>
  </rowFields>
  <rowItems count="2">
    <i>
      <x/>
    </i>
    <i t="grand">
      <x/>
    </i>
  </rowItems>
  <colFields count="1">
    <field x="36"/>
  </colFields>
  <colItems count="2">
    <i>
      <x/>
    </i>
    <i t="grand">
      <x/>
    </i>
  </colItems>
  <dataFields count="1">
    <dataField name="סכום של סכום ביטוח" fld="3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ערכים" updatedVersion="3" minRefreshableVersion="3" showCalcMbrs="0" useAutoFormatting="1" itemPrintTitles="1" createdVersion="3" indent="0" outline="1" outlineData="1" multipleFieldFilters="0">
  <location ref="C6:E9" firstHeaderRow="1" firstDataRow="2" firstDataCol="1"/>
  <pivotFields count="6">
    <pivotField axis="axisRow" showAll="0">
      <items count="2">
        <item x="0"/>
        <item t="default"/>
      </items>
    </pivotField>
    <pivotField showAll="0"/>
    <pivotField showAll="0"/>
    <pivotField showAll="0"/>
    <pivotField axis="axisCol" showAll="0">
      <items count="2">
        <item x="0"/>
        <item t="default"/>
      </items>
    </pivotField>
    <pivotField dataField="1" showAll="0"/>
  </pivotFields>
  <rowFields count="1">
    <field x="0"/>
  </rowFields>
  <rowItems count="2">
    <i>
      <x/>
    </i>
    <i t="grand">
      <x/>
    </i>
  </rowItems>
  <colFields count="1">
    <field x="4"/>
  </colFields>
  <colItems count="2">
    <i>
      <x/>
    </i>
    <i t="grand">
      <x/>
    </i>
  </colItems>
  <dataFields count="1">
    <dataField name="ספירה של סכום יתרה" fld="5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10"/>
  <dimension ref="C1:P53"/>
  <sheetViews>
    <sheetView rightToLeft="1" topLeftCell="F1" workbookViewId="0">
      <selection activeCell="F3" sqref="F3"/>
    </sheetView>
  </sheetViews>
  <sheetFormatPr defaultRowHeight="12.75" x14ac:dyDescent="0.2"/>
  <cols>
    <col min="3" max="3" width="33.42578125" style="6" customWidth="1"/>
    <col min="4" max="5" width="29.7109375" customWidth="1"/>
    <col min="6" max="6" width="37.7109375" customWidth="1"/>
    <col min="11" max="11" width="43.42578125" customWidth="1"/>
    <col min="16" max="16" width="10.140625" bestFit="1" customWidth="1"/>
  </cols>
  <sheetData>
    <row r="1" spans="3:16" x14ac:dyDescent="0.2">
      <c r="C1" s="7" t="s">
        <v>115</v>
      </c>
      <c r="D1" s="5" t="s">
        <v>113</v>
      </c>
      <c r="E1" s="5"/>
      <c r="F1" s="5" t="s">
        <v>114</v>
      </c>
    </row>
    <row r="2" spans="3:16" x14ac:dyDescent="0.2">
      <c r="C2" s="7" t="s">
        <v>157</v>
      </c>
      <c r="D2" s="5" t="s">
        <v>132</v>
      </c>
      <c r="E2" s="5" t="s">
        <v>1104</v>
      </c>
      <c r="F2" s="1008" t="s">
        <v>110</v>
      </c>
      <c r="G2">
        <v>1</v>
      </c>
      <c r="I2" t="s">
        <v>116</v>
      </c>
    </row>
    <row r="3" spans="3:16" x14ac:dyDescent="0.2">
      <c r="C3" s="7"/>
      <c r="D3" s="5"/>
      <c r="E3" s="5"/>
      <c r="F3" s="1008" t="s">
        <v>1169</v>
      </c>
      <c r="J3" t="s">
        <v>1170</v>
      </c>
    </row>
    <row r="4" spans="3:16" x14ac:dyDescent="0.2">
      <c r="C4" s="7" t="s">
        <v>336</v>
      </c>
      <c r="D4" t="s">
        <v>1011</v>
      </c>
      <c r="E4" t="s">
        <v>1105</v>
      </c>
      <c r="F4" s="1008" t="s">
        <v>1010</v>
      </c>
      <c r="G4">
        <f>G2+1</f>
        <v>2</v>
      </c>
    </row>
    <row r="5" spans="3:16" x14ac:dyDescent="0.2">
      <c r="C5" s="7" t="s">
        <v>335</v>
      </c>
      <c r="D5" t="s">
        <v>1009</v>
      </c>
      <c r="E5" t="s">
        <v>1106</v>
      </c>
      <c r="F5" s="1008" t="s">
        <v>1008</v>
      </c>
      <c r="G5">
        <f t="shared" ref="G5:G31" si="0">G4+1</f>
        <v>3</v>
      </c>
    </row>
    <row r="6" spans="3:16" x14ac:dyDescent="0.2">
      <c r="C6" s="7" t="s">
        <v>336</v>
      </c>
      <c r="D6" t="s">
        <v>1081</v>
      </c>
      <c r="E6" t="s">
        <v>1107</v>
      </c>
      <c r="F6" s="1008" t="s">
        <v>1080</v>
      </c>
      <c r="G6">
        <f t="shared" si="0"/>
        <v>4</v>
      </c>
    </row>
    <row r="7" spans="3:16" x14ac:dyDescent="0.2">
      <c r="C7" s="7" t="s">
        <v>174</v>
      </c>
      <c r="D7" t="s">
        <v>175</v>
      </c>
      <c r="F7" s="1008" t="s">
        <v>176</v>
      </c>
      <c r="G7">
        <f t="shared" si="0"/>
        <v>5</v>
      </c>
    </row>
    <row r="8" spans="3:16" x14ac:dyDescent="0.2">
      <c r="C8" s="7" t="s">
        <v>1004</v>
      </c>
      <c r="D8" t="s">
        <v>1017</v>
      </c>
      <c r="E8" t="s">
        <v>1108</v>
      </c>
      <c r="F8" s="1008" t="s">
        <v>1017</v>
      </c>
      <c r="G8">
        <f t="shared" si="0"/>
        <v>6</v>
      </c>
      <c r="O8" s="1006" t="s">
        <v>1139</v>
      </c>
      <c r="P8" t="str">
        <f>ClientList!E6 &amp;" " &amp;ClientList!F6</f>
        <v>ענתבי איל</v>
      </c>
    </row>
    <row r="9" spans="3:16" ht="25.5" x14ac:dyDescent="0.2">
      <c r="C9" s="7" t="s">
        <v>161</v>
      </c>
      <c r="D9" s="5" t="s">
        <v>156</v>
      </c>
      <c r="E9" s="5" t="s">
        <v>1109</v>
      </c>
      <c r="F9" s="1008" t="s">
        <v>153</v>
      </c>
      <c r="G9">
        <f t="shared" si="0"/>
        <v>7</v>
      </c>
      <c r="O9" s="1006" t="s">
        <v>48</v>
      </c>
      <c r="P9">
        <f>ClientList!H6</f>
        <v>21920.083333333332</v>
      </c>
    </row>
    <row r="10" spans="3:16" x14ac:dyDescent="0.2">
      <c r="C10" s="6" t="s">
        <v>135</v>
      </c>
      <c r="D10" s="927" t="s">
        <v>134</v>
      </c>
      <c r="E10" s="927"/>
      <c r="F10" s="927" t="s">
        <v>133</v>
      </c>
      <c r="G10">
        <f t="shared" si="0"/>
        <v>8</v>
      </c>
      <c r="O10" s="1006" t="s">
        <v>49</v>
      </c>
      <c r="P10" t="str">
        <f>IF(ClientList!I6="ז","גבר",IF(ClientList!I6="נ","אשה","???"))</f>
        <v>גבר</v>
      </c>
    </row>
    <row r="11" spans="3:16" x14ac:dyDescent="0.2">
      <c r="C11" s="7" t="s">
        <v>125</v>
      </c>
      <c r="D11" s="5" t="s">
        <v>126</v>
      </c>
      <c r="E11" s="5" t="s">
        <v>294</v>
      </c>
      <c r="F11" s="1008" t="s">
        <v>104</v>
      </c>
      <c r="G11">
        <f t="shared" si="0"/>
        <v>9</v>
      </c>
      <c r="O11" s="5" t="s">
        <v>1150</v>
      </c>
      <c r="P11" s="1021">
        <f>'נתונים ידניים'!D2</f>
        <v>0</v>
      </c>
    </row>
    <row r="12" spans="3:16" x14ac:dyDescent="0.2">
      <c r="C12" s="7" t="s">
        <v>1095</v>
      </c>
      <c r="D12" s="5" t="s">
        <v>1097</v>
      </c>
      <c r="E12" s="5" t="s">
        <v>1110</v>
      </c>
      <c r="F12" s="1008" t="s">
        <v>1096</v>
      </c>
      <c r="G12">
        <f t="shared" si="0"/>
        <v>10</v>
      </c>
    </row>
    <row r="13" spans="3:16" x14ac:dyDescent="0.2">
      <c r="C13" s="7" t="s">
        <v>119</v>
      </c>
      <c r="D13" s="5" t="s">
        <v>120</v>
      </c>
      <c r="E13" s="5" t="s">
        <v>1142</v>
      </c>
      <c r="F13" s="1008" t="s">
        <v>112</v>
      </c>
      <c r="G13">
        <f t="shared" si="0"/>
        <v>11</v>
      </c>
    </row>
    <row r="14" spans="3:16" x14ac:dyDescent="0.2">
      <c r="C14" s="7" t="s">
        <v>117</v>
      </c>
      <c r="D14" s="5" t="s">
        <v>118</v>
      </c>
      <c r="E14" s="5" t="s">
        <v>1111</v>
      </c>
      <c r="F14" s="1008" t="s">
        <v>111</v>
      </c>
      <c r="G14">
        <f t="shared" si="0"/>
        <v>12</v>
      </c>
    </row>
    <row r="15" spans="3:16" x14ac:dyDescent="0.2">
      <c r="C15" s="7" t="s">
        <v>121</v>
      </c>
      <c r="D15" s="5" t="s">
        <v>129</v>
      </c>
      <c r="E15" s="5" t="s">
        <v>1112</v>
      </c>
      <c r="F15" s="1008" t="s">
        <v>105</v>
      </c>
      <c r="G15">
        <f t="shared" si="0"/>
        <v>13</v>
      </c>
    </row>
    <row r="16" spans="3:16" x14ac:dyDescent="0.2">
      <c r="C16" s="7" t="s">
        <v>159</v>
      </c>
      <c r="D16" s="5" t="s">
        <v>142</v>
      </c>
      <c r="E16" s="5" t="s">
        <v>1113</v>
      </c>
      <c r="F16" s="1008" t="s">
        <v>141</v>
      </c>
      <c r="G16">
        <f t="shared" si="0"/>
        <v>14</v>
      </c>
    </row>
    <row r="17" spans="3:11" x14ac:dyDescent="0.2">
      <c r="C17" s="7" t="s">
        <v>121</v>
      </c>
      <c r="D17" s="5" t="s">
        <v>122</v>
      </c>
      <c r="E17" s="5" t="s">
        <v>1114</v>
      </c>
      <c r="F17" s="1008" t="s">
        <v>106</v>
      </c>
      <c r="G17">
        <f t="shared" si="0"/>
        <v>15</v>
      </c>
    </row>
    <row r="18" spans="3:11" x14ac:dyDescent="0.2">
      <c r="C18" s="7" t="s">
        <v>212</v>
      </c>
      <c r="D18" s="5" t="s">
        <v>213</v>
      </c>
      <c r="E18" s="5" t="s">
        <v>1115</v>
      </c>
      <c r="F18" s="1008" t="s">
        <v>214</v>
      </c>
      <c r="G18">
        <f t="shared" si="0"/>
        <v>16</v>
      </c>
    </row>
    <row r="19" spans="3:11" x14ac:dyDescent="0.2">
      <c r="C19" s="7" t="s">
        <v>340</v>
      </c>
      <c r="D19" s="5" t="s">
        <v>339</v>
      </c>
      <c r="E19" s="5" t="s">
        <v>1116</v>
      </c>
      <c r="F19" s="1008" t="s">
        <v>338</v>
      </c>
      <c r="G19">
        <f t="shared" si="0"/>
        <v>17</v>
      </c>
      <c r="J19">
        <v>1</v>
      </c>
      <c r="K19" t="s">
        <v>188</v>
      </c>
    </row>
    <row r="20" spans="3:11" x14ac:dyDescent="0.2">
      <c r="C20" s="7" t="s">
        <v>1004</v>
      </c>
      <c r="D20" s="5" t="s">
        <v>1006</v>
      </c>
      <c r="E20" s="5" t="s">
        <v>1117</v>
      </c>
      <c r="F20" s="1008" t="s">
        <v>1005</v>
      </c>
      <c r="G20">
        <f t="shared" si="0"/>
        <v>18</v>
      </c>
      <c r="J20">
        <v>2</v>
      </c>
      <c r="K20" t="s">
        <v>189</v>
      </c>
    </row>
    <row r="21" spans="3:11" x14ac:dyDescent="0.2">
      <c r="C21" s="7" t="s">
        <v>209</v>
      </c>
      <c r="D21" s="5" t="s">
        <v>210</v>
      </c>
      <c r="E21" s="5" t="s">
        <v>1118</v>
      </c>
      <c r="F21" s="1008" t="s">
        <v>211</v>
      </c>
      <c r="G21">
        <f t="shared" si="0"/>
        <v>19</v>
      </c>
      <c r="J21">
        <v>3</v>
      </c>
      <c r="K21" t="s">
        <v>190</v>
      </c>
    </row>
    <row r="22" spans="3:11" x14ac:dyDescent="0.2">
      <c r="C22" s="7" t="s">
        <v>158</v>
      </c>
      <c r="D22" s="5" t="s">
        <v>144</v>
      </c>
      <c r="E22" s="5" t="s">
        <v>180</v>
      </c>
      <c r="F22" s="1008" t="s">
        <v>143</v>
      </c>
      <c r="G22">
        <f t="shared" si="0"/>
        <v>20</v>
      </c>
      <c r="J22">
        <v>4</v>
      </c>
      <c r="K22" t="s">
        <v>191</v>
      </c>
    </row>
    <row r="23" spans="3:11" x14ac:dyDescent="0.2">
      <c r="C23" s="7" t="s">
        <v>335</v>
      </c>
      <c r="D23" s="5" t="s">
        <v>334</v>
      </c>
      <c r="E23" s="5" t="s">
        <v>1119</v>
      </c>
      <c r="F23" s="1008" t="s">
        <v>1151</v>
      </c>
      <c r="G23">
        <f t="shared" si="0"/>
        <v>21</v>
      </c>
      <c r="J23">
        <v>5</v>
      </c>
      <c r="K23" t="s">
        <v>192</v>
      </c>
    </row>
    <row r="24" spans="3:11" x14ac:dyDescent="0.2">
      <c r="C24" s="7" t="s">
        <v>127</v>
      </c>
      <c r="D24" s="5" t="s">
        <v>128</v>
      </c>
      <c r="E24" s="5" t="s">
        <v>179</v>
      </c>
      <c r="F24" s="1008" t="s">
        <v>333</v>
      </c>
      <c r="G24">
        <f t="shared" si="0"/>
        <v>22</v>
      </c>
      <c r="J24">
        <v>6</v>
      </c>
      <c r="K24" t="s">
        <v>193</v>
      </c>
    </row>
    <row r="25" spans="3:11" x14ac:dyDescent="0.2">
      <c r="C25" s="7" t="s">
        <v>336</v>
      </c>
      <c r="D25" s="5" t="s">
        <v>332</v>
      </c>
      <c r="E25" s="5" t="s">
        <v>1120</v>
      </c>
      <c r="F25" s="1008" t="s">
        <v>107</v>
      </c>
      <c r="G25">
        <f t="shared" si="0"/>
        <v>23</v>
      </c>
      <c r="J25">
        <v>7</v>
      </c>
      <c r="K25" t="s">
        <v>194</v>
      </c>
    </row>
    <row r="26" spans="3:11" x14ac:dyDescent="0.2">
      <c r="C26" s="7" t="s">
        <v>345</v>
      </c>
      <c r="D26" s="5" t="s">
        <v>344</v>
      </c>
      <c r="E26" s="5" t="s">
        <v>1121</v>
      </c>
      <c r="F26" s="1008" t="s">
        <v>331</v>
      </c>
      <c r="G26">
        <f t="shared" si="0"/>
        <v>24</v>
      </c>
      <c r="J26">
        <v>8</v>
      </c>
      <c r="K26" t="s">
        <v>195</v>
      </c>
    </row>
    <row r="27" spans="3:11" x14ac:dyDescent="0.2">
      <c r="C27" s="7" t="s">
        <v>130</v>
      </c>
      <c r="D27" s="5" t="s">
        <v>131</v>
      </c>
      <c r="E27" s="5" t="s">
        <v>187</v>
      </c>
      <c r="F27" s="1008" t="s">
        <v>343</v>
      </c>
      <c r="G27">
        <f t="shared" si="0"/>
        <v>25</v>
      </c>
      <c r="J27">
        <v>9</v>
      </c>
      <c r="K27" t="s">
        <v>16</v>
      </c>
    </row>
    <row r="28" spans="3:11" x14ac:dyDescent="0.2">
      <c r="C28" s="7" t="s">
        <v>1013</v>
      </c>
      <c r="D28" s="5" t="s">
        <v>1018</v>
      </c>
      <c r="E28" s="5" t="s">
        <v>1122</v>
      </c>
      <c r="F28" s="1008" t="s">
        <v>108</v>
      </c>
      <c r="G28">
        <f t="shared" si="0"/>
        <v>26</v>
      </c>
      <c r="J28">
        <v>10</v>
      </c>
      <c r="K28" t="s">
        <v>196</v>
      </c>
    </row>
    <row r="29" spans="3:11" x14ac:dyDescent="0.2">
      <c r="C29" s="7" t="s">
        <v>123</v>
      </c>
      <c r="D29" s="5" t="s">
        <v>109</v>
      </c>
      <c r="E29" s="5" t="s">
        <v>177</v>
      </c>
      <c r="F29" s="1008" t="s">
        <v>1012</v>
      </c>
      <c r="G29">
        <f t="shared" si="0"/>
        <v>27</v>
      </c>
      <c r="K29" t="s">
        <v>197</v>
      </c>
    </row>
    <row r="30" spans="3:11" x14ac:dyDescent="0.2">
      <c r="C30" s="7" t="s">
        <v>337</v>
      </c>
      <c r="D30" s="5" t="s">
        <v>330</v>
      </c>
      <c r="E30" s="5" t="s">
        <v>1123</v>
      </c>
      <c r="F30" s="1008" t="s">
        <v>124</v>
      </c>
      <c r="G30">
        <f t="shared" si="0"/>
        <v>28</v>
      </c>
    </row>
    <row r="31" spans="3:11" x14ac:dyDescent="0.2">
      <c r="C31" s="7" t="s">
        <v>160</v>
      </c>
      <c r="D31" s="5" t="s">
        <v>155</v>
      </c>
      <c r="E31" s="5" t="s">
        <v>183</v>
      </c>
      <c r="F31" s="1008" t="s">
        <v>329</v>
      </c>
      <c r="G31">
        <f t="shared" si="0"/>
        <v>29</v>
      </c>
    </row>
    <row r="32" spans="3:11" x14ac:dyDescent="0.2">
      <c r="F32" s="1008" t="s">
        <v>154</v>
      </c>
    </row>
    <row r="33" spans="6:12" x14ac:dyDescent="0.2">
      <c r="J33">
        <v>1</v>
      </c>
      <c r="K33" t="s">
        <v>305</v>
      </c>
    </row>
    <row r="34" spans="6:12" x14ac:dyDescent="0.2">
      <c r="J34">
        <v>2</v>
      </c>
      <c r="K34" t="s">
        <v>306</v>
      </c>
    </row>
    <row r="35" spans="6:12" x14ac:dyDescent="0.2">
      <c r="J35">
        <v>3</v>
      </c>
      <c r="K35" t="s">
        <v>307</v>
      </c>
    </row>
    <row r="36" spans="6:12" x14ac:dyDescent="0.2">
      <c r="J36">
        <v>4</v>
      </c>
      <c r="K36" t="s">
        <v>308</v>
      </c>
    </row>
    <row r="37" spans="6:12" x14ac:dyDescent="0.2">
      <c r="J37">
        <v>5</v>
      </c>
      <c r="K37" t="s">
        <v>309</v>
      </c>
    </row>
    <row r="38" spans="6:12" ht="15" x14ac:dyDescent="0.2">
      <c r="H38" s="30"/>
      <c r="J38">
        <v>6</v>
      </c>
      <c r="K38" t="s">
        <v>310</v>
      </c>
    </row>
    <row r="39" spans="6:12" x14ac:dyDescent="0.2">
      <c r="J39">
        <v>7</v>
      </c>
      <c r="K39" t="s">
        <v>311</v>
      </c>
    </row>
    <row r="40" spans="6:12" x14ac:dyDescent="0.2">
      <c r="J40">
        <v>8</v>
      </c>
      <c r="K40" t="s">
        <v>312</v>
      </c>
    </row>
    <row r="41" spans="6:12" x14ac:dyDescent="0.2">
      <c r="J41">
        <v>9</v>
      </c>
      <c r="K41" t="s">
        <v>313</v>
      </c>
      <c r="L41" t="s">
        <v>315</v>
      </c>
    </row>
    <row r="42" spans="6:12" x14ac:dyDescent="0.2">
      <c r="J42">
        <v>10</v>
      </c>
      <c r="K42" t="s">
        <v>314</v>
      </c>
    </row>
    <row r="44" spans="6:12" x14ac:dyDescent="0.2">
      <c r="J44" t="s">
        <v>314</v>
      </c>
      <c r="K44" t="s">
        <v>1015</v>
      </c>
    </row>
    <row r="45" spans="6:12" x14ac:dyDescent="0.2">
      <c r="J45" t="s">
        <v>510</v>
      </c>
      <c r="K45" t="s">
        <v>615</v>
      </c>
    </row>
    <row r="46" spans="6:12" x14ac:dyDescent="0.2">
      <c r="J46" t="s">
        <v>509</v>
      </c>
      <c r="K46" t="s">
        <v>608</v>
      </c>
    </row>
    <row r="47" spans="6:12" x14ac:dyDescent="0.2">
      <c r="J47" t="s">
        <v>21</v>
      </c>
      <c r="K47" t="s">
        <v>602</v>
      </c>
    </row>
    <row r="48" spans="6:12" x14ac:dyDescent="0.2">
      <c r="F48" t="s">
        <v>937</v>
      </c>
      <c r="J48" t="s">
        <v>508</v>
      </c>
      <c r="K48" t="s">
        <v>611</v>
      </c>
    </row>
    <row r="50" spans="10:11" x14ac:dyDescent="0.2">
      <c r="J50" s="5" t="s">
        <v>870</v>
      </c>
      <c r="K50" s="5"/>
    </row>
    <row r="51" spans="10:11" x14ac:dyDescent="0.2">
      <c r="J51" s="5" t="s">
        <v>607</v>
      </c>
      <c r="K51" s="5"/>
    </row>
    <row r="52" spans="10:11" x14ac:dyDescent="0.2">
      <c r="J52" s="5" t="s">
        <v>1125</v>
      </c>
      <c r="K52" s="5"/>
    </row>
    <row r="53" spans="10:11" x14ac:dyDescent="0.2">
      <c r="J53" s="5" t="s">
        <v>1126</v>
      </c>
      <c r="K53" s="5"/>
    </row>
  </sheetData>
  <sortState ref="C2:F29">
    <sortCondition ref="F2:F29"/>
  </sortState>
  <hyperlinks>
    <hyperlink ref="F2" location="ClientList!A1" display="ClientList"/>
    <hyperlink ref="F4" location="CrossTabYitraLeTkufa_after_2000!A1" display="CrossTabYitraLeTkufa_after_2000"/>
    <hyperlink ref="F5" location="CrossTabYitraLeTkufa_till_2000!A1" display="CrossTabYitraLeTkufa_till_2000"/>
    <hyperlink ref="F6" location="HotzaotBafoalLehodeshDivoach!A1" display="HotzaotBafoalLehodeshDivoach"/>
    <hyperlink ref="F7" location="HafkadotMetchilatShanaAverages!A1" display="HafkadotMetchilatShanaAverages"/>
    <hyperlink ref="F8" location="KisuiBKerenPensiaDBWithParams!A1" display="KisuiBKerenPensiaDBWithParams"/>
    <hyperlink ref="F9" location="Kupa!A1" display="Kupa"/>
    <hyperlink ref="F11" location="PerutHafkadotMetchilatShana!A1" display="PerutHafkadotMetchilatShana"/>
    <hyperlink ref="F12" location="PerutHafkadotMetchilatShanaAvgM!A1" display="PerutHafkadotMetchilatShanaAvgM"/>
    <hyperlink ref="F13" location="PerutHafrashotLePolisa!A1" display="PerutHafrashotLePolisa"/>
    <hyperlink ref="F14" location="PerutMasluleiHashkaa!A1" display="PerutMasluleiHashkaa"/>
    <hyperlink ref="F15" location="PerutMivneDmeiNihul!A1" display="PerutMivneDmeiNihul"/>
    <hyperlink ref="F16" location="PerutPirteiHafkadaAchrona!A1" display="PerutPirteiHafkadaAchrona"/>
    <hyperlink ref="F17" location="PerutYitraLeTkufa!A1" display="PerutYitraLeTkufa"/>
    <hyperlink ref="F18" location="PerutYitraLeTkufa_after2000!A1" display="PerutYitraLeTkufa_after2000"/>
    <hyperlink ref="F19" location="PerutYitraLeTkufa_crosTab!A1" display="PerutYitraLeTkufa_crosTab"/>
    <hyperlink ref="F20" location="PerutYitraLeTkufa_groupby!A1" display="PerutYitraLeTkufa_groupby"/>
    <hyperlink ref="F21" location="PerutYitraLeTkufa_till2000!A1" display="PerutYitraLeTkufa_till2000"/>
    <hyperlink ref="F22" location="PerutYitrot!A1" display="PerutYitrot"/>
    <hyperlink ref="F24" location="PirteiHaasaka!A1" display="PirteiHaasaka"/>
    <hyperlink ref="F25" location="PirteiKisuiBeMutzar!A1" display="PirteiKisuiBeMutzar"/>
    <hyperlink ref="F26" location="PirteiKisuiBeMutzar_procerur!A1" display="PirteiKisuiBeMutzar_procerur"/>
    <hyperlink ref="F27" location="PirteiKisuiBeMutzarPrmia!A1" display="PirteiKisuiBeMutzarPrmia"/>
    <hyperlink ref="F28" location="PirteiOved!A1" display="PirteiOved"/>
    <hyperlink ref="F29" location="RicusKrenHishtalmut!A1" display="RicusKrenHishtalmut"/>
    <hyperlink ref="F30" location="RicusPolice!A1" display="RicusPolice"/>
    <hyperlink ref="F31" location="SchumeiBituahYesodi!A1" display="SchumeiBituahYesodi"/>
    <hyperlink ref="F32" location="YitraLefiGilPrisha!A1" display="YitraLefiGilPrisha"/>
    <hyperlink ref="F23" location="PerutYitrot_group_by!A1" display="PerutYitrot_group_by"/>
    <hyperlink ref="F3" location="CrosstabPerutYitrotDB!A1" display="CrosstabPerutYitrotDB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36"/>
  <dimension ref="A3:M275"/>
  <sheetViews>
    <sheetView rightToLeft="1" workbookViewId="0">
      <selection activeCell="AL8" sqref="AL8"/>
    </sheetView>
  </sheetViews>
  <sheetFormatPr defaultRowHeight="12.75" x14ac:dyDescent="0.2"/>
  <cols>
    <col min="1" max="1" width="17.42578125" customWidth="1"/>
    <col min="2" max="2" width="15.85546875" customWidth="1"/>
    <col min="3" max="3" width="14.42578125" customWidth="1"/>
    <col min="6" max="6" width="6.42578125" customWidth="1"/>
    <col min="7" max="7" width="8" customWidth="1"/>
    <col min="10" max="10" width="9.28515625" customWidth="1"/>
  </cols>
  <sheetData>
    <row r="3" spans="1:13" ht="78.75" x14ac:dyDescent="0.2">
      <c r="A3" s="980" t="s">
        <v>2</v>
      </c>
      <c r="B3" s="980" t="s">
        <v>82</v>
      </c>
      <c r="C3" s="980" t="s">
        <v>59</v>
      </c>
      <c r="D3" s="980" t="s">
        <v>63</v>
      </c>
      <c r="E3" s="980" t="s">
        <v>85</v>
      </c>
      <c r="F3" s="980" t="s">
        <v>67</v>
      </c>
      <c r="G3" s="980" t="s">
        <v>69</v>
      </c>
      <c r="H3" s="980" t="s">
        <v>72</v>
      </c>
      <c r="I3" s="980" t="s">
        <v>86</v>
      </c>
      <c r="J3" s="980" t="s">
        <v>79</v>
      </c>
      <c r="K3" s="980" t="s">
        <v>3</v>
      </c>
      <c r="L3" s="980" t="s">
        <v>61</v>
      </c>
      <c r="M3" s="980" t="s">
        <v>89</v>
      </c>
    </row>
    <row r="4" spans="1:13" x14ac:dyDescent="0.2">
      <c r="A4" s="178" t="str">
        <f>PirteiKisuiBeMutzar!D6</f>
        <v>7678444</v>
      </c>
      <c r="B4" s="178">
        <f>PirteiKisuiBeMutzar!AQ6</f>
        <v>0</v>
      </c>
      <c r="C4" s="178">
        <f>PirteiKisuiBeMutzar!AM6</f>
        <v>0</v>
      </c>
      <c r="D4" s="1000">
        <f>PirteiKisuiBeMutzar!G6</f>
        <v>0</v>
      </c>
      <c r="E4" s="1000">
        <f>PirteiKisuiBeMutzar!W6</f>
        <v>0</v>
      </c>
      <c r="F4" s="1000" t="str">
        <f>PirteiKisuiBeMutzar!K6</f>
        <v>כן</v>
      </c>
      <c r="G4" s="1000" t="str">
        <f>PirteiKisuiBeMutzar!M6</f>
        <v>לא ידוע</v>
      </c>
      <c r="H4" s="1000" t="str">
        <f>PirteiKisuiBeMutzar!P6</f>
        <v>20550401</v>
      </c>
      <c r="I4" s="1000">
        <f>PirteiKisuiBeMutzar!X6</f>
        <v>0</v>
      </c>
      <c r="J4" s="1000" t="str">
        <f>PirteiKisuiBeMutzar!Y6</f>
        <v/>
      </c>
      <c r="K4" s="1000" t="str">
        <f>PirteiKisuiBeMutzar!AL6</f>
        <v>20140831</v>
      </c>
      <c r="L4" s="1000">
        <f>PirteiKisuiBeMutzar!AO6</f>
        <v>0</v>
      </c>
      <c r="M4" s="1000">
        <f>PirteiKisuiBeMutzar!AP6</f>
        <v>0</v>
      </c>
    </row>
    <row r="5" spans="1:13" x14ac:dyDescent="0.2">
      <c r="A5" s="178" t="str">
        <f>PirteiKisuiBeMutzar!D7</f>
        <v>7678444</v>
      </c>
      <c r="B5" s="178">
        <f>PirteiKisuiBeMutzar!AQ7</f>
        <v>0</v>
      </c>
      <c r="C5" s="178">
        <f>PirteiKisuiBeMutzar!AM7</f>
        <v>0</v>
      </c>
      <c r="D5" s="1000">
        <f>PirteiKisuiBeMutzar!G7</f>
        <v>337163</v>
      </c>
      <c r="E5" s="1000">
        <f>PirteiKisuiBeMutzar!W7</f>
        <v>0</v>
      </c>
      <c r="F5" s="1000" t="str">
        <f>PirteiKisuiBeMutzar!K7</f>
        <v>כן</v>
      </c>
      <c r="G5" s="1000" t="str">
        <f>PirteiKisuiBeMutzar!M7</f>
        <v>לא ידוע</v>
      </c>
      <c r="H5" s="1000" t="str">
        <f>PirteiKisuiBeMutzar!P7</f>
        <v>20300401</v>
      </c>
      <c r="I5" s="1000">
        <f>PirteiKisuiBeMutzar!X7</f>
        <v>1</v>
      </c>
      <c r="J5" s="1000" t="str">
        <f>PirteiKisuiBeMutzar!Y7</f>
        <v>20150401</v>
      </c>
      <c r="K5" s="1000" t="str">
        <f>PirteiKisuiBeMutzar!AL7</f>
        <v>20140831</v>
      </c>
      <c r="L5" s="1000">
        <f>PirteiKisuiBeMutzar!AO7</f>
        <v>0</v>
      </c>
      <c r="M5" s="1000">
        <f>PirteiKisuiBeMutzar!AP7</f>
        <v>0</v>
      </c>
    </row>
    <row r="6" spans="1:13" x14ac:dyDescent="0.2">
      <c r="A6" s="178" t="str">
        <f>PirteiKisuiBeMutzar!D8</f>
        <v>7678444</v>
      </c>
      <c r="B6" s="178">
        <f>PirteiKisuiBeMutzar!AQ8</f>
        <v>0</v>
      </c>
      <c r="C6" s="178">
        <f>PirteiKisuiBeMutzar!AM8</f>
        <v>0</v>
      </c>
      <c r="D6" s="1000">
        <f>PirteiKisuiBeMutzar!G8</f>
        <v>203249</v>
      </c>
      <c r="E6" s="1000">
        <f>PirteiKisuiBeMutzar!W8</f>
        <v>0</v>
      </c>
      <c r="F6" s="1000" t="str">
        <f>PirteiKisuiBeMutzar!K8</f>
        <v>כן</v>
      </c>
      <c r="G6" s="1000" t="str">
        <f>PirteiKisuiBeMutzar!M8</f>
        <v>לא ידוע</v>
      </c>
      <c r="H6" s="1000" t="str">
        <f>PirteiKisuiBeMutzar!P8</f>
        <v>20291101</v>
      </c>
      <c r="I6" s="1000">
        <f>PirteiKisuiBeMutzar!X8</f>
        <v>5</v>
      </c>
      <c r="J6" s="1000" t="str">
        <f>PirteiKisuiBeMutzar!Y8</f>
        <v>20181101</v>
      </c>
      <c r="K6" s="1000" t="str">
        <f>PirteiKisuiBeMutzar!AL8</f>
        <v>20140831</v>
      </c>
      <c r="L6" s="1000">
        <f>PirteiKisuiBeMutzar!AO8</f>
        <v>0</v>
      </c>
      <c r="M6" s="1000">
        <f>PirteiKisuiBeMutzar!AP8</f>
        <v>0</v>
      </c>
    </row>
    <row r="7" spans="1:13" x14ac:dyDescent="0.2">
      <c r="A7" s="178" t="str">
        <f>PirteiKisuiBeMutzar!D9</f>
        <v>1595222</v>
      </c>
      <c r="B7" s="178">
        <f>PirteiKisuiBeMutzar!AQ9</f>
        <v>0</v>
      </c>
      <c r="C7" s="178">
        <f>PirteiKisuiBeMutzar!AM9</f>
        <v>0</v>
      </c>
      <c r="D7" s="1000">
        <f>PirteiKisuiBeMutzar!G9</f>
        <v>0</v>
      </c>
      <c r="E7" s="1000">
        <f>PirteiKisuiBeMutzar!W9</f>
        <v>0</v>
      </c>
      <c r="F7" s="1000" t="str">
        <f>PirteiKisuiBeMutzar!K9</f>
        <v>כן</v>
      </c>
      <c r="G7" s="1000" t="str">
        <f>PirteiKisuiBeMutzar!M9</f>
        <v>לא ידוע</v>
      </c>
      <c r="H7" s="1000" t="str">
        <f>PirteiKisuiBeMutzar!P9</f>
        <v>20241101</v>
      </c>
      <c r="I7" s="1000">
        <f>PirteiKisuiBeMutzar!X9</f>
        <v>0</v>
      </c>
      <c r="J7" s="1000" t="str">
        <f>PirteiKisuiBeMutzar!Y9</f>
        <v/>
      </c>
      <c r="K7" s="1000" t="str">
        <f>PirteiKisuiBeMutzar!AL9</f>
        <v>20140831</v>
      </c>
      <c r="L7" s="1000">
        <f>PirteiKisuiBeMutzar!AO9</f>
        <v>0</v>
      </c>
      <c r="M7" s="1000">
        <f>PirteiKisuiBeMutzar!AP9</f>
        <v>0</v>
      </c>
    </row>
    <row r="8" spans="1:13" x14ac:dyDescent="0.2">
      <c r="A8" s="178" t="str">
        <f>PirteiKisuiBeMutzar!D10</f>
        <v>1394362</v>
      </c>
      <c r="B8" s="178" t="str">
        <f>PirteiKisuiBeMutzar!AQ10</f>
        <v>ארם-קופת גמל לתגמולים של ארגון הרופאים עובדי מדינה</v>
      </c>
      <c r="C8" s="178" t="str">
        <f>PirteiKisuiBeMutzar!AM10</f>
        <v>אחר</v>
      </c>
      <c r="D8" s="1000">
        <f>PirteiKisuiBeMutzar!G10</f>
        <v>0</v>
      </c>
      <c r="E8" s="1000">
        <f>PirteiKisuiBeMutzar!W10</f>
        <v>0</v>
      </c>
      <c r="F8" s="1000" t="str">
        <f>PirteiKisuiBeMutzar!K10</f>
        <v>לא ידוע</v>
      </c>
      <c r="G8" s="1000" t="str">
        <f>PirteiKisuiBeMutzar!M10</f>
        <v>לא ידוע</v>
      </c>
      <c r="H8" s="1000" t="str">
        <f>PirteiKisuiBeMutzar!P10</f>
        <v>01/01/1900</v>
      </c>
      <c r="I8" s="1000">
        <f>PirteiKisuiBeMutzar!X10</f>
        <v>0</v>
      </c>
      <c r="J8" s="1000">
        <f>PirteiKisuiBeMutzar!Y10</f>
        <v>0</v>
      </c>
      <c r="K8" s="1000" t="str">
        <f>PirteiKisuiBeMutzar!AL10</f>
        <v>31/10/2016</v>
      </c>
      <c r="L8" s="1000">
        <f>PirteiKisuiBeMutzar!AO10</f>
        <v>0</v>
      </c>
      <c r="M8" s="1000">
        <f>PirteiKisuiBeMutzar!AP10</f>
        <v>0</v>
      </c>
    </row>
    <row r="9" spans="1:13" x14ac:dyDescent="0.2">
      <c r="A9" s="178" t="str">
        <f>PirteiKisuiBeMutzar!D11</f>
        <v>1394370</v>
      </c>
      <c r="B9" s="178" t="str">
        <f>PirteiKisuiBeMutzar!AQ11</f>
        <v>ארם-קופת גמל לתגמולים של ארגון הרופאים עובדי מדינה</v>
      </c>
      <c r="C9" s="178" t="str">
        <f>PirteiKisuiBeMutzar!AM11</f>
        <v>אחר</v>
      </c>
      <c r="D9" s="1000">
        <f>PirteiKisuiBeMutzar!G11</f>
        <v>0</v>
      </c>
      <c r="E9" s="1000">
        <f>PirteiKisuiBeMutzar!W11</f>
        <v>0</v>
      </c>
      <c r="F9" s="1000" t="str">
        <f>PirteiKisuiBeMutzar!K11</f>
        <v>לא ידוע</v>
      </c>
      <c r="G9" s="1000" t="str">
        <f>PirteiKisuiBeMutzar!M11</f>
        <v>לא ידוע</v>
      </c>
      <c r="H9" s="1000" t="str">
        <f>PirteiKisuiBeMutzar!P11</f>
        <v>01/01/1900</v>
      </c>
      <c r="I9" s="1000">
        <f>PirteiKisuiBeMutzar!X11</f>
        <v>0</v>
      </c>
      <c r="J9" s="1000">
        <f>PirteiKisuiBeMutzar!Y11</f>
        <v>0</v>
      </c>
      <c r="K9" s="1000" t="str">
        <f>PirteiKisuiBeMutzar!AL11</f>
        <v>31/10/2016</v>
      </c>
      <c r="L9" s="1000">
        <f>PirteiKisuiBeMutzar!AO11</f>
        <v>0</v>
      </c>
      <c r="M9" s="1000">
        <f>PirteiKisuiBeMutzar!AP11</f>
        <v>0</v>
      </c>
    </row>
    <row r="10" spans="1:13" x14ac:dyDescent="0.2">
      <c r="A10" s="178" t="str">
        <f>PirteiKisuiBeMutzar!D12</f>
        <v>6165029</v>
      </c>
      <c r="B10" s="178" t="str">
        <f>PirteiKisuiBeMutzar!AQ12</f>
        <v>מגדל קה"ל השתלמות</v>
      </c>
      <c r="C10" s="178" t="str">
        <f>PirteiKisuiBeMutzar!AM12</f>
        <v>מוות</v>
      </c>
      <c r="D10" s="1000">
        <f>PirteiKisuiBeMutzar!G12</f>
        <v>1</v>
      </c>
      <c r="E10" s="1000">
        <f>PirteiKisuiBeMutzar!W12</f>
        <v>0</v>
      </c>
      <c r="F10" s="1000" t="str">
        <f>PirteiKisuiBeMutzar!K12</f>
        <v>לא ידוע</v>
      </c>
      <c r="G10" s="1000" t="str">
        <f>PirteiKisuiBeMutzar!M12</f>
        <v>לא ידוע</v>
      </c>
      <c r="H10" s="1000" t="str">
        <f>PirteiKisuiBeMutzar!P12</f>
        <v>01/01/1900</v>
      </c>
      <c r="I10" s="1000">
        <f>PirteiKisuiBeMutzar!X12</f>
        <v>0</v>
      </c>
      <c r="J10" s="1000">
        <f>PirteiKisuiBeMutzar!Y12</f>
        <v>0</v>
      </c>
      <c r="K10" s="1000" t="str">
        <f>PirteiKisuiBeMutzar!AL12</f>
        <v>31/10/2016</v>
      </c>
      <c r="L10" s="1000">
        <f>PirteiKisuiBeMutzar!AO12</f>
        <v>0</v>
      </c>
      <c r="M10" s="1000">
        <f>PirteiKisuiBeMutzar!AP12</f>
        <v>0</v>
      </c>
    </row>
    <row r="11" spans="1:13" x14ac:dyDescent="0.2">
      <c r="A11" s="178" t="str">
        <f>PirteiKisuiBeMutzar!D13</f>
        <v>630251455</v>
      </c>
      <c r="B11" s="178" t="str">
        <f>PirteiKisuiBeMutzar!AQ13</f>
        <v>מסלול בסיס</v>
      </c>
      <c r="C11" s="178" t="str">
        <f>PirteiKisuiBeMutzar!AM13</f>
        <v>אחר</v>
      </c>
      <c r="D11" s="1000">
        <f>PirteiKisuiBeMutzar!G13</f>
        <v>0</v>
      </c>
      <c r="E11" s="1000">
        <f>PirteiKisuiBeMutzar!W13</f>
        <v>0</v>
      </c>
      <c r="F11" s="1000" t="str">
        <f>PirteiKisuiBeMutzar!K13</f>
        <v>לא ידוע</v>
      </c>
      <c r="G11" s="1000" t="str">
        <f>PirteiKisuiBeMutzar!M13</f>
        <v>לא</v>
      </c>
      <c r="H11" s="1000" t="str">
        <f>PirteiKisuiBeMutzar!P13</f>
        <v>05/01/2027</v>
      </c>
      <c r="I11" s="1000">
        <f>PirteiKisuiBeMutzar!X13</f>
        <v>0</v>
      </c>
      <c r="J11" s="1000">
        <f>PirteiKisuiBeMutzar!Y13</f>
        <v>0</v>
      </c>
      <c r="K11" s="1000" t="str">
        <f>PirteiKisuiBeMutzar!AL13</f>
        <v>31/10/2016</v>
      </c>
      <c r="L11" s="1000">
        <f>PirteiKisuiBeMutzar!AO13</f>
        <v>0</v>
      </c>
      <c r="M11" s="1000">
        <f>PirteiKisuiBeMutzar!AP13</f>
        <v>0</v>
      </c>
    </row>
    <row r="12" spans="1:13" x14ac:dyDescent="0.2">
      <c r="A12" s="178" t="str">
        <f>PirteiKisuiBeMutzar!D14</f>
        <v>6083738</v>
      </c>
      <c r="B12" s="178" t="str">
        <f>PirteiKisuiBeMutzar!AQ14</f>
        <v xml:space="preserve">הראל קרן השתלמות              </v>
      </c>
      <c r="C12" s="178" t="str">
        <f>PirteiKisuiBeMutzar!AM14</f>
        <v>אחר</v>
      </c>
      <c r="D12" s="1000">
        <f>PirteiKisuiBeMutzar!G14</f>
        <v>0</v>
      </c>
      <c r="E12" s="1000">
        <f>PirteiKisuiBeMutzar!W14</f>
        <v>0</v>
      </c>
      <c r="F12" s="1000" t="str">
        <f>PirteiKisuiBeMutzar!K14</f>
        <v>לא ידוע</v>
      </c>
      <c r="G12" s="1000" t="str">
        <f>PirteiKisuiBeMutzar!M14</f>
        <v>לא</v>
      </c>
      <c r="H12" s="1000" t="str">
        <f>PirteiKisuiBeMutzar!P14</f>
        <v>01/01/1900</v>
      </c>
      <c r="I12" s="1000">
        <f>PirteiKisuiBeMutzar!X14</f>
        <v>0</v>
      </c>
      <c r="J12" s="1000">
        <f>PirteiKisuiBeMutzar!Y14</f>
        <v>0</v>
      </c>
      <c r="K12" s="1000" t="str">
        <f>PirteiKisuiBeMutzar!AL14</f>
        <v>31/10/2016</v>
      </c>
      <c r="L12" s="1000">
        <f>PirteiKisuiBeMutzar!AO14</f>
        <v>0</v>
      </c>
      <c r="M12" s="1000">
        <f>PirteiKisuiBeMutzar!AP14</f>
        <v>0</v>
      </c>
    </row>
    <row r="13" spans="1:13" x14ac:dyDescent="0.2">
      <c r="A13" s="178" t="str">
        <f>PirteiKisuiBeMutzar!D15</f>
        <v>4355788</v>
      </c>
      <c r="B13" s="178" t="str">
        <f>PirteiKisuiBeMutzar!AQ15</f>
        <v>אלטשולר שחם גמל</v>
      </c>
      <c r="C13" s="178" t="str">
        <f>PirteiKisuiBeMutzar!AM15</f>
        <v>מוות</v>
      </c>
      <c r="D13" s="1000">
        <f>PirteiKisuiBeMutzar!G15</f>
        <v>1</v>
      </c>
      <c r="E13" s="1000">
        <f>PirteiKisuiBeMutzar!W15</f>
        <v>0</v>
      </c>
      <c r="F13" s="1000" t="str">
        <f>PirteiKisuiBeMutzar!K15</f>
        <v>לא ידוע</v>
      </c>
      <c r="G13" s="1000" t="str">
        <f>PirteiKisuiBeMutzar!M15</f>
        <v>לא ידוע</v>
      </c>
      <c r="H13" s="1000" t="str">
        <f>PirteiKisuiBeMutzar!P15</f>
        <v>01/01/1900</v>
      </c>
      <c r="I13" s="1000">
        <f>PirteiKisuiBeMutzar!X15</f>
        <v>0</v>
      </c>
      <c r="J13" s="1000">
        <f>PirteiKisuiBeMutzar!Y15</f>
        <v>0</v>
      </c>
      <c r="K13" s="1000" t="str">
        <f>PirteiKisuiBeMutzar!AL15</f>
        <v>31/10/2016</v>
      </c>
      <c r="L13" s="1000">
        <f>PirteiKisuiBeMutzar!AO15</f>
        <v>0</v>
      </c>
      <c r="M13" s="1000">
        <f>PirteiKisuiBeMutzar!AP15</f>
        <v>0</v>
      </c>
    </row>
    <row r="14" spans="1:13" x14ac:dyDescent="0.2">
      <c r="A14" s="178" t="str">
        <f>PirteiKisuiBeMutzar!D16</f>
        <v>911245475</v>
      </c>
      <c r="B14" s="178" t="str">
        <f>PirteiKisuiBeMutzar!AQ16</f>
        <v xml:space="preserve">הראל מגוון עסקי למנהלים                           </v>
      </c>
      <c r="C14" s="178" t="str">
        <f>PirteiKisuiBeMutzar!AM16</f>
        <v>תוכנית משולבת חיסכון</v>
      </c>
      <c r="D14" s="1000">
        <f>PirteiKisuiBeMutzar!G16</f>
        <v>0</v>
      </c>
      <c r="E14" s="1000">
        <f>PirteiKisuiBeMutzar!W16</f>
        <v>0</v>
      </c>
      <c r="F14" s="1000" t="str">
        <f>PirteiKisuiBeMutzar!K16</f>
        <v>לא</v>
      </c>
      <c r="G14" s="1000" t="str">
        <f>PirteiKisuiBeMutzar!M16</f>
        <v>לא</v>
      </c>
      <c r="H14" s="1000" t="str">
        <f>PirteiKisuiBeMutzar!P16</f>
        <v>01/01/2030</v>
      </c>
      <c r="I14" s="1000">
        <f>PirteiKisuiBeMutzar!X16</f>
        <v>0</v>
      </c>
      <c r="J14" s="1000">
        <f>PirteiKisuiBeMutzar!Y16</f>
        <v>0</v>
      </c>
      <c r="K14" s="1000" t="str">
        <f>PirteiKisuiBeMutzar!AL16</f>
        <v>31/10/2016</v>
      </c>
      <c r="L14" s="1000">
        <f>PirteiKisuiBeMutzar!AO16</f>
        <v>0</v>
      </c>
      <c r="M14" s="1000">
        <f>PirteiKisuiBeMutzar!AP16</f>
        <v>0</v>
      </c>
    </row>
    <row r="15" spans="1:13" x14ac:dyDescent="0.2">
      <c r="A15" s="178" t="str">
        <f>PirteiKisuiBeMutzar!D17</f>
        <v>922972106</v>
      </c>
      <c r="B15" s="178" t="str">
        <f>PirteiKisuiBeMutzar!AQ17</f>
        <v xml:space="preserve">מגוון לשכירים קצבה לא משלמת                       </v>
      </c>
      <c r="C15" s="178" t="str">
        <f>PirteiKisuiBeMutzar!AM17</f>
        <v>תוכנית משולבת חיסכון</v>
      </c>
      <c r="D15" s="1000">
        <f>PirteiKisuiBeMutzar!G17</f>
        <v>0</v>
      </c>
      <c r="E15" s="1000">
        <f>PirteiKisuiBeMutzar!W17</f>
        <v>0</v>
      </c>
      <c r="F15" s="1000" t="str">
        <f>PirteiKisuiBeMutzar!K17</f>
        <v>לא</v>
      </c>
      <c r="G15" s="1000" t="str">
        <f>PirteiKisuiBeMutzar!M17</f>
        <v>לא</v>
      </c>
      <c r="H15" s="1000" t="str">
        <f>PirteiKisuiBeMutzar!P17</f>
        <v>01/02/2050</v>
      </c>
      <c r="I15" s="1000">
        <f>PirteiKisuiBeMutzar!X17</f>
        <v>0</v>
      </c>
      <c r="J15" s="1000">
        <f>PirteiKisuiBeMutzar!Y17</f>
        <v>0</v>
      </c>
      <c r="K15" s="1000" t="str">
        <f>PirteiKisuiBeMutzar!AL17</f>
        <v>31/10/2016</v>
      </c>
      <c r="L15" s="1000">
        <f>PirteiKisuiBeMutzar!AO17</f>
        <v>0</v>
      </c>
      <c r="M15" s="1000">
        <f>PirteiKisuiBeMutzar!AP17</f>
        <v>0</v>
      </c>
    </row>
    <row r="16" spans="1:13" x14ac:dyDescent="0.2">
      <c r="A16" s="178" t="str">
        <f>PirteiKisuiBeMutzar!D18</f>
        <v>917248641</v>
      </c>
      <c r="B16" s="178" t="str">
        <f>PirteiKisuiBeMutzar!AQ18</f>
        <v xml:space="preserve">הראל לעתיד בטוח                         </v>
      </c>
      <c r="C16" s="178" t="str">
        <f>PirteiKisuiBeMutzar!AM18</f>
        <v>אובדן כושר עבודה</v>
      </c>
      <c r="D16" s="1000">
        <f>PirteiKisuiBeMutzar!G18</f>
        <v>26116.76</v>
      </c>
      <c r="E16" s="1000">
        <f>PirteiKisuiBeMutzar!W18</f>
        <v>11201.48</v>
      </c>
      <c r="F16" s="1000" t="str">
        <f>PirteiKisuiBeMutzar!K18</f>
        <v>לא</v>
      </c>
      <c r="G16" s="1000" t="str">
        <f>PirteiKisuiBeMutzar!M18</f>
        <v>לא</v>
      </c>
      <c r="H16" s="1000" t="str">
        <f>PirteiKisuiBeMutzar!P18</f>
        <v>01/02/2030</v>
      </c>
      <c r="I16" s="1000">
        <f>PirteiKisuiBeMutzar!X18</f>
        <v>0</v>
      </c>
      <c r="J16" s="1000">
        <f>PirteiKisuiBeMutzar!Y18</f>
        <v>0</v>
      </c>
      <c r="K16" s="1000" t="str">
        <f>PirteiKisuiBeMutzar!AL18</f>
        <v>31/10/2016</v>
      </c>
      <c r="L16" s="1000">
        <f>PirteiKisuiBeMutzar!AO18</f>
        <v>0</v>
      </c>
      <c r="M16" s="1000">
        <f>PirteiKisuiBeMutzar!AP18</f>
        <v>0</v>
      </c>
    </row>
    <row r="17" spans="1:13" x14ac:dyDescent="0.2">
      <c r="A17" s="178" t="str">
        <f>PirteiKisuiBeMutzar!D19</f>
        <v>923832067</v>
      </c>
      <c r="B17" s="178" t="str">
        <f>PirteiKisuiBeMutzar!AQ19</f>
        <v xml:space="preserve">הראל לעתיד בטוח                         </v>
      </c>
      <c r="C17" s="178" t="str">
        <f>PirteiKisuiBeMutzar!AM19</f>
        <v>אובדן כושר עבודה</v>
      </c>
      <c r="D17" s="1000">
        <f>PirteiKisuiBeMutzar!G19</f>
        <v>3644.8</v>
      </c>
      <c r="E17" s="1000">
        <f>PirteiKisuiBeMutzar!W19</f>
        <v>2166.4699999999998</v>
      </c>
      <c r="F17" s="1000" t="str">
        <f>PirteiKisuiBeMutzar!K19</f>
        <v>לא</v>
      </c>
      <c r="G17" s="1000" t="str">
        <f>PirteiKisuiBeMutzar!M19</f>
        <v>לא</v>
      </c>
      <c r="H17" s="1000" t="str">
        <f>PirteiKisuiBeMutzar!P19</f>
        <v>01/08/2026</v>
      </c>
      <c r="I17" s="1000">
        <f>PirteiKisuiBeMutzar!X19</f>
        <v>0</v>
      </c>
      <c r="J17" s="1000">
        <f>PirteiKisuiBeMutzar!Y19</f>
        <v>0</v>
      </c>
      <c r="K17" s="1000" t="str">
        <f>PirteiKisuiBeMutzar!AL19</f>
        <v>31/10/2016</v>
      </c>
      <c r="L17" s="1000">
        <f>PirteiKisuiBeMutzar!AO19</f>
        <v>0</v>
      </c>
      <c r="M17" s="1000">
        <f>PirteiKisuiBeMutzar!AP19</f>
        <v>0</v>
      </c>
    </row>
    <row r="18" spans="1:13" x14ac:dyDescent="0.2">
      <c r="A18" s="178" t="str">
        <f>PirteiKisuiBeMutzar!D20</f>
        <v>411113798</v>
      </c>
      <c r="B18" s="178" t="str">
        <f>PirteiKisuiBeMutzar!AQ20</f>
        <v>יותר - חסכון א'</v>
      </c>
      <c r="C18" s="178" t="str">
        <f>PirteiKisuiBeMutzar!AM20</f>
        <v>תוכנית משולבת חיסכון</v>
      </c>
      <c r="D18" s="1000">
        <f>PirteiKisuiBeMutzar!G20</f>
        <v>0</v>
      </c>
      <c r="E18" s="1000">
        <f>PirteiKisuiBeMutzar!W20</f>
        <v>106.34</v>
      </c>
      <c r="F18" s="1000" t="str">
        <f>PirteiKisuiBeMutzar!K20</f>
        <v>לא</v>
      </c>
      <c r="G18" s="1000" t="str">
        <f>PirteiKisuiBeMutzar!M20</f>
        <v>לא</v>
      </c>
      <c r="H18" s="1000" t="str">
        <f>PirteiKisuiBeMutzar!P20</f>
        <v>01/02/2025</v>
      </c>
      <c r="I18" s="1000">
        <f>PirteiKisuiBeMutzar!X20</f>
        <v>1</v>
      </c>
      <c r="J18" s="1000" t="str">
        <f>PirteiKisuiBeMutzar!Y20</f>
        <v>01/02/2017</v>
      </c>
      <c r="K18" s="1000" t="str">
        <f>PirteiKisuiBeMutzar!AL20</f>
        <v>31/10/2016</v>
      </c>
      <c r="L18" s="1000">
        <f>PirteiKisuiBeMutzar!AO20</f>
        <v>0</v>
      </c>
      <c r="M18" s="1000">
        <f>PirteiKisuiBeMutzar!AP20</f>
        <v>0</v>
      </c>
    </row>
    <row r="19" spans="1:13" x14ac:dyDescent="0.2">
      <c r="A19" s="178" t="str">
        <f>PirteiKisuiBeMutzar!D21</f>
        <v>411113798</v>
      </c>
      <c r="B19" s="178" t="str">
        <f>PirteiKisuiBeMutzar!AQ21</f>
        <v/>
      </c>
      <c r="C19" s="178" t="str">
        <f>PirteiKisuiBeMutzar!AM21</f>
        <v>אובדן כושר עבודה</v>
      </c>
      <c r="D19" s="1000">
        <f>PirteiKisuiBeMutzar!G21</f>
        <v>0</v>
      </c>
      <c r="E19" s="1000">
        <f>PirteiKisuiBeMutzar!W21</f>
        <v>2.78</v>
      </c>
      <c r="F19" s="1000" t="str">
        <f>PirteiKisuiBeMutzar!K21</f>
        <v>לא</v>
      </c>
      <c r="G19" s="1000" t="str">
        <f>PirteiKisuiBeMutzar!M21</f>
        <v>לא</v>
      </c>
      <c r="H19" s="1000" t="str">
        <f>PirteiKisuiBeMutzar!P21</f>
        <v>01/02/2025</v>
      </c>
      <c r="I19" s="1000">
        <f>PirteiKisuiBeMutzar!X21</f>
        <v>0</v>
      </c>
      <c r="J19" s="1000">
        <f>PirteiKisuiBeMutzar!Y21</f>
        <v>0</v>
      </c>
      <c r="K19" s="1000" t="str">
        <f>PirteiKisuiBeMutzar!AL21</f>
        <v>31/10/2016</v>
      </c>
      <c r="L19" s="1000" t="str">
        <f>PirteiKisuiBeMutzar!AO21</f>
        <v>עיסוק סביר אחר</v>
      </c>
      <c r="M19" s="1000" t="str">
        <f>PirteiKisuiBeMutzar!AP21</f>
        <v>לא</v>
      </c>
    </row>
    <row r="20" spans="1:13" x14ac:dyDescent="0.2">
      <c r="A20" s="178" t="str">
        <f>PirteiKisuiBeMutzar!D22</f>
        <v>411138484</v>
      </c>
      <c r="B20" s="178" t="str">
        <f>PirteiKisuiBeMutzar!AQ22</f>
        <v>יותר הון</v>
      </c>
      <c r="C20" s="178" t="str">
        <f>PirteiKisuiBeMutzar!AM22</f>
        <v>תוכנית משולבת חיסכון</v>
      </c>
      <c r="D20" s="1000">
        <f>PirteiKisuiBeMutzar!G22</f>
        <v>0</v>
      </c>
      <c r="E20" s="1000">
        <f>PirteiKisuiBeMutzar!W22</f>
        <v>0</v>
      </c>
      <c r="F20" s="1000" t="str">
        <f>PirteiKisuiBeMutzar!K22</f>
        <v>לא</v>
      </c>
      <c r="G20" s="1000" t="str">
        <f>PirteiKisuiBeMutzar!M22</f>
        <v>לא</v>
      </c>
      <c r="H20" s="1000" t="str">
        <f>PirteiKisuiBeMutzar!P22</f>
        <v>01/02/2055</v>
      </c>
      <c r="I20" s="1000">
        <f>PirteiKisuiBeMutzar!X22</f>
        <v>1</v>
      </c>
      <c r="J20" s="1000" t="str">
        <f>PirteiKisuiBeMutzar!Y22</f>
        <v>01/02/2017</v>
      </c>
      <c r="K20" s="1000" t="str">
        <f>PirteiKisuiBeMutzar!AL22</f>
        <v>31/10/2016</v>
      </c>
      <c r="L20" s="1000">
        <f>PirteiKisuiBeMutzar!AO22</f>
        <v>0</v>
      </c>
      <c r="M20" s="1000">
        <f>PirteiKisuiBeMutzar!AP22</f>
        <v>0</v>
      </c>
    </row>
    <row r="21" spans="1:13" x14ac:dyDescent="0.2">
      <c r="A21" s="178" t="str">
        <f>PirteiKisuiBeMutzar!D23</f>
        <v>323406232</v>
      </c>
      <c r="B21" s="178" t="str">
        <f>PirteiKisuiBeMutzar!AQ23</f>
        <v>יותר-רווח</v>
      </c>
      <c r="C21" s="178" t="str">
        <f>PirteiKisuiBeMutzar!AM23</f>
        <v>תוכנית משולבת חיסכון</v>
      </c>
      <c r="D21" s="1000">
        <f>PirteiKisuiBeMutzar!G23</f>
        <v>0</v>
      </c>
      <c r="E21" s="1000">
        <f>PirteiKisuiBeMutzar!W23</f>
        <v>166.41</v>
      </c>
      <c r="F21" s="1000" t="str">
        <f>PirteiKisuiBeMutzar!K23</f>
        <v>לא</v>
      </c>
      <c r="G21" s="1000" t="str">
        <f>PirteiKisuiBeMutzar!M23</f>
        <v>לא</v>
      </c>
      <c r="H21" s="1000" t="str">
        <f>PirteiKisuiBeMutzar!P23</f>
        <v>01/01/2055</v>
      </c>
      <c r="I21" s="1000">
        <f>PirteiKisuiBeMutzar!X23</f>
        <v>1</v>
      </c>
      <c r="J21" s="1000" t="str">
        <f>PirteiKisuiBeMutzar!Y23</f>
        <v>01/01/2017</v>
      </c>
      <c r="K21" s="1000" t="str">
        <f>PirteiKisuiBeMutzar!AL23</f>
        <v>31/10/2016</v>
      </c>
      <c r="L21" s="1000">
        <f>PirteiKisuiBeMutzar!AO23</f>
        <v>0</v>
      </c>
      <c r="M21" s="1000">
        <f>PirteiKisuiBeMutzar!AP23</f>
        <v>0</v>
      </c>
    </row>
    <row r="22" spans="1:13" x14ac:dyDescent="0.2">
      <c r="A22" s="178" t="str">
        <f>PirteiKisuiBeMutzar!D24</f>
        <v>730141236</v>
      </c>
      <c r="B22" s="178" t="str">
        <f>PirteiKisuiBeMutzar!AQ24</f>
        <v>יותר</v>
      </c>
      <c r="C22" s="178" t="str">
        <f>PirteiKisuiBeMutzar!AM24</f>
        <v>תוכנית משולבת חיסכון</v>
      </c>
      <c r="D22" s="1000">
        <f>PirteiKisuiBeMutzar!G24</f>
        <v>0</v>
      </c>
      <c r="E22" s="1000">
        <f>PirteiKisuiBeMutzar!W24</f>
        <v>0</v>
      </c>
      <c r="F22" s="1000" t="str">
        <f>PirteiKisuiBeMutzar!K24</f>
        <v>לא</v>
      </c>
      <c r="G22" s="1000" t="str">
        <f>PirteiKisuiBeMutzar!M24</f>
        <v>לא</v>
      </c>
      <c r="H22" s="1000" t="str">
        <f>PirteiKisuiBeMutzar!P24</f>
        <v>01/07/2055</v>
      </c>
      <c r="I22" s="1000">
        <f>PirteiKisuiBeMutzar!X24</f>
        <v>1</v>
      </c>
      <c r="J22" s="1000" t="str">
        <f>PirteiKisuiBeMutzar!Y24</f>
        <v>01/07/2017</v>
      </c>
      <c r="K22" s="1000" t="str">
        <f>PirteiKisuiBeMutzar!AL24</f>
        <v>31/10/2016</v>
      </c>
      <c r="L22" s="1000">
        <f>PirteiKisuiBeMutzar!AO24</f>
        <v>0</v>
      </c>
      <c r="M22" s="1000">
        <f>PirteiKisuiBeMutzar!AP24</f>
        <v>0</v>
      </c>
    </row>
    <row r="23" spans="1:13" x14ac:dyDescent="0.2">
      <c r="A23" s="178" t="str">
        <f>PirteiKisuiBeMutzar!D25</f>
        <v>323158955</v>
      </c>
      <c r="B23" s="178" t="str">
        <f>PirteiKisuiBeMutzar!AQ25</f>
        <v>יותר</v>
      </c>
      <c r="C23" s="178" t="str">
        <f>PirteiKisuiBeMutzar!AM25</f>
        <v>תוכנית משולבת חיסכון</v>
      </c>
      <c r="D23" s="1000">
        <f>PirteiKisuiBeMutzar!G25</f>
        <v>0</v>
      </c>
      <c r="E23" s="1000">
        <f>PirteiKisuiBeMutzar!W25</f>
        <v>2519.2199999999998</v>
      </c>
      <c r="F23" s="1000" t="str">
        <f>PirteiKisuiBeMutzar!K25</f>
        <v>לא</v>
      </c>
      <c r="G23" s="1000" t="str">
        <f>PirteiKisuiBeMutzar!M25</f>
        <v>לא</v>
      </c>
      <c r="H23" s="1000" t="str">
        <f>PirteiKisuiBeMutzar!P25</f>
        <v>01/07/2055</v>
      </c>
      <c r="I23" s="1000">
        <f>PirteiKisuiBeMutzar!X25</f>
        <v>1</v>
      </c>
      <c r="J23" s="1000" t="str">
        <f>PirteiKisuiBeMutzar!Y25</f>
        <v>01/07/2017</v>
      </c>
      <c r="K23" s="1000" t="str">
        <f>PirteiKisuiBeMutzar!AL25</f>
        <v>31/10/2016</v>
      </c>
      <c r="L23" s="1000">
        <f>PirteiKisuiBeMutzar!AO25</f>
        <v>0</v>
      </c>
      <c r="M23" s="1000">
        <f>PirteiKisuiBeMutzar!AP25</f>
        <v>0</v>
      </c>
    </row>
    <row r="24" spans="1:13" x14ac:dyDescent="0.2">
      <c r="A24" s="178" t="str">
        <f>PirteiKisuiBeMutzar!D26</f>
        <v>323405593</v>
      </c>
      <c r="B24" s="178" t="str">
        <f>PirteiKisuiBeMutzar!AQ26</f>
        <v>יותר</v>
      </c>
      <c r="C24" s="178" t="str">
        <f>PirteiKisuiBeMutzar!AM26</f>
        <v>תוכנית משולבת חיסכון</v>
      </c>
      <c r="D24" s="1000">
        <f>PirteiKisuiBeMutzar!G26</f>
        <v>0</v>
      </c>
      <c r="E24" s="1000">
        <f>PirteiKisuiBeMutzar!W26</f>
        <v>0</v>
      </c>
      <c r="F24" s="1000" t="str">
        <f>PirteiKisuiBeMutzar!K26</f>
        <v>לא</v>
      </c>
      <c r="G24" s="1000" t="str">
        <f>PirteiKisuiBeMutzar!M26</f>
        <v>לא</v>
      </c>
      <c r="H24" s="1000" t="str">
        <f>PirteiKisuiBeMutzar!P26</f>
        <v>01/12/2054</v>
      </c>
      <c r="I24" s="1000">
        <f>PirteiKisuiBeMutzar!X26</f>
        <v>1</v>
      </c>
      <c r="J24" s="1000" t="str">
        <f>PirteiKisuiBeMutzar!Y26</f>
        <v>01/12/2016</v>
      </c>
      <c r="K24" s="1000" t="str">
        <f>PirteiKisuiBeMutzar!AL26</f>
        <v>31/10/2016</v>
      </c>
      <c r="L24" s="1000">
        <f>PirteiKisuiBeMutzar!AO26</f>
        <v>0</v>
      </c>
      <c r="M24" s="1000">
        <f>PirteiKisuiBeMutzar!AP26</f>
        <v>0</v>
      </c>
    </row>
    <row r="25" spans="1:13" x14ac:dyDescent="0.2">
      <c r="A25" s="178" t="str">
        <f>PirteiKisuiBeMutzar!D27</f>
        <v>056078603</v>
      </c>
      <c r="B25" s="178" t="str">
        <f>PirteiKisuiBeMutzar!AQ27</f>
        <v>כללי</v>
      </c>
      <c r="C25" s="178" t="str">
        <f>PirteiKisuiBeMutzar!AM27</f>
        <v>מות + א.כ.ע</v>
      </c>
      <c r="D25" s="1000">
        <f>PirteiKisuiBeMutzar!G27</f>
        <v>0</v>
      </c>
      <c r="E25" s="1000">
        <f>PirteiKisuiBeMutzar!W27</f>
        <v>0</v>
      </c>
      <c r="F25" s="1000">
        <f>PirteiKisuiBeMutzar!K27</f>
        <v>0</v>
      </c>
      <c r="G25" s="1000">
        <f>PirteiKisuiBeMutzar!M27</f>
        <v>0</v>
      </c>
      <c r="H25" s="1000" t="str">
        <f>PirteiKisuiBeMutzar!P27</f>
        <v>01/10/2016</v>
      </c>
      <c r="I25" s="1000">
        <f>PirteiKisuiBeMutzar!X27</f>
        <v>0</v>
      </c>
      <c r="J25" s="1000">
        <f>PirteiKisuiBeMutzar!Y27</f>
        <v>0</v>
      </c>
      <c r="K25" s="1000" t="str">
        <f>PirteiKisuiBeMutzar!AL27</f>
        <v>21/11/2016</v>
      </c>
      <c r="L25" s="1000">
        <f>PirteiKisuiBeMutzar!AO27</f>
        <v>0</v>
      </c>
      <c r="M25" s="1000">
        <f>PirteiKisuiBeMutzar!AP27</f>
        <v>0</v>
      </c>
    </row>
    <row r="26" spans="1:13" x14ac:dyDescent="0.2">
      <c r="A26" s="178">
        <f>PirteiKisuiBeMutzar!D28</f>
        <v>0</v>
      </c>
      <c r="B26" s="178">
        <f>PirteiKisuiBeMutzar!AQ28</f>
        <v>0</v>
      </c>
      <c r="C26" s="178">
        <f>PirteiKisuiBeMutzar!AM28</f>
        <v>0</v>
      </c>
      <c r="D26" s="1000">
        <f>PirteiKisuiBeMutzar!G28</f>
        <v>0</v>
      </c>
      <c r="E26" s="1000">
        <f>PirteiKisuiBeMutzar!W28</f>
        <v>0</v>
      </c>
      <c r="F26" s="1000">
        <f>PirteiKisuiBeMutzar!K28</f>
        <v>0</v>
      </c>
      <c r="G26" s="1000">
        <f>PirteiKisuiBeMutzar!M28</f>
        <v>0</v>
      </c>
      <c r="H26" s="1000">
        <f>PirteiKisuiBeMutzar!P28</f>
        <v>0</v>
      </c>
      <c r="I26" s="1000">
        <f>PirteiKisuiBeMutzar!X28</f>
        <v>0</v>
      </c>
      <c r="J26" s="1000">
        <f>PirteiKisuiBeMutzar!Y28</f>
        <v>0</v>
      </c>
      <c r="K26" s="1000">
        <f>PirteiKisuiBeMutzar!AL28</f>
        <v>0</v>
      </c>
      <c r="L26" s="1000">
        <f>PirteiKisuiBeMutzar!AO28</f>
        <v>0</v>
      </c>
      <c r="M26" s="1000">
        <f>PirteiKisuiBeMutzar!AP28</f>
        <v>0</v>
      </c>
    </row>
    <row r="27" spans="1:13" x14ac:dyDescent="0.2">
      <c r="A27" s="178">
        <f>PirteiKisuiBeMutzar!D29</f>
        <v>0</v>
      </c>
      <c r="B27" s="178">
        <f>PirteiKisuiBeMutzar!AQ29</f>
        <v>0</v>
      </c>
      <c r="C27" s="178">
        <f>PirteiKisuiBeMutzar!AM29</f>
        <v>0</v>
      </c>
      <c r="D27" s="1000">
        <f>PirteiKisuiBeMutzar!G29</f>
        <v>0</v>
      </c>
      <c r="E27" s="1000">
        <f>PirteiKisuiBeMutzar!W29</f>
        <v>0</v>
      </c>
      <c r="F27" s="1000">
        <f>PirteiKisuiBeMutzar!K29</f>
        <v>0</v>
      </c>
      <c r="G27" s="1000">
        <f>PirteiKisuiBeMutzar!M29</f>
        <v>0</v>
      </c>
      <c r="H27" s="1000">
        <f>PirteiKisuiBeMutzar!P29</f>
        <v>0</v>
      </c>
      <c r="I27" s="1000">
        <f>PirteiKisuiBeMutzar!X29</f>
        <v>0</v>
      </c>
      <c r="J27" s="1000">
        <f>PirteiKisuiBeMutzar!Y29</f>
        <v>0</v>
      </c>
      <c r="K27" s="1000">
        <f>PirteiKisuiBeMutzar!AL29</f>
        <v>0</v>
      </c>
      <c r="L27" s="1000">
        <f>PirteiKisuiBeMutzar!AO29</f>
        <v>0</v>
      </c>
      <c r="M27" s="1000">
        <f>PirteiKisuiBeMutzar!AP29</f>
        <v>0</v>
      </c>
    </row>
    <row r="28" spans="1:13" x14ac:dyDescent="0.2">
      <c r="A28" s="178">
        <f>PirteiKisuiBeMutzar!D30</f>
        <v>0</v>
      </c>
      <c r="B28" s="178">
        <f>PirteiKisuiBeMutzar!AQ30</f>
        <v>0</v>
      </c>
      <c r="C28" s="178">
        <f>PirteiKisuiBeMutzar!AM30</f>
        <v>0</v>
      </c>
      <c r="D28" s="1000">
        <f>PirteiKisuiBeMutzar!G30</f>
        <v>0</v>
      </c>
      <c r="E28" s="1000">
        <f>PirteiKisuiBeMutzar!W30</f>
        <v>0</v>
      </c>
      <c r="F28" s="1000">
        <f>PirteiKisuiBeMutzar!K30</f>
        <v>0</v>
      </c>
      <c r="G28" s="1000">
        <f>PirteiKisuiBeMutzar!M30</f>
        <v>0</v>
      </c>
      <c r="H28" s="1000">
        <f>PirteiKisuiBeMutzar!P30</f>
        <v>0</v>
      </c>
      <c r="I28" s="1000">
        <f>PirteiKisuiBeMutzar!X30</f>
        <v>0</v>
      </c>
      <c r="J28" s="1000">
        <f>PirteiKisuiBeMutzar!Y30</f>
        <v>0</v>
      </c>
      <c r="K28" s="1000">
        <f>PirteiKisuiBeMutzar!AL30</f>
        <v>0</v>
      </c>
      <c r="L28" s="1000">
        <f>PirteiKisuiBeMutzar!AO30</f>
        <v>0</v>
      </c>
      <c r="M28" s="1000">
        <f>PirteiKisuiBeMutzar!AP30</f>
        <v>0</v>
      </c>
    </row>
    <row r="29" spans="1:13" x14ac:dyDescent="0.2">
      <c r="A29" s="178">
        <f>PirteiKisuiBeMutzar!D31</f>
        <v>0</v>
      </c>
      <c r="B29" s="178">
        <f>PirteiKisuiBeMutzar!AQ31</f>
        <v>0</v>
      </c>
      <c r="C29" s="178">
        <f>PirteiKisuiBeMutzar!AM31</f>
        <v>0</v>
      </c>
      <c r="D29" s="1000">
        <f>PirteiKisuiBeMutzar!G31</f>
        <v>0</v>
      </c>
      <c r="E29" s="1000">
        <f>PirteiKisuiBeMutzar!W31</f>
        <v>0</v>
      </c>
      <c r="F29" s="1000">
        <f>PirteiKisuiBeMutzar!K31</f>
        <v>0</v>
      </c>
      <c r="G29" s="1000">
        <f>PirteiKisuiBeMutzar!M31</f>
        <v>0</v>
      </c>
      <c r="H29" s="1000">
        <f>PirteiKisuiBeMutzar!P31</f>
        <v>0</v>
      </c>
      <c r="I29" s="1000">
        <f>PirteiKisuiBeMutzar!X31</f>
        <v>0</v>
      </c>
      <c r="J29" s="1000">
        <f>PirteiKisuiBeMutzar!Y31</f>
        <v>0</v>
      </c>
      <c r="K29" s="1000">
        <f>PirteiKisuiBeMutzar!AL31</f>
        <v>0</v>
      </c>
      <c r="L29" s="1000">
        <f>PirteiKisuiBeMutzar!AO31</f>
        <v>0</v>
      </c>
      <c r="M29" s="1000">
        <f>PirteiKisuiBeMutzar!AP31</f>
        <v>0</v>
      </c>
    </row>
    <row r="30" spans="1:13" x14ac:dyDescent="0.2">
      <c r="A30" s="178">
        <f>PirteiKisuiBeMutzar!D32</f>
        <v>0</v>
      </c>
      <c r="B30" s="178">
        <f>PirteiKisuiBeMutzar!AQ32</f>
        <v>0</v>
      </c>
      <c r="C30" s="178">
        <f>PirteiKisuiBeMutzar!AM32</f>
        <v>0</v>
      </c>
      <c r="D30" s="1000">
        <f>PirteiKisuiBeMutzar!G32</f>
        <v>0</v>
      </c>
      <c r="E30" s="1000">
        <f>PirteiKisuiBeMutzar!W32</f>
        <v>0</v>
      </c>
      <c r="F30" s="1000">
        <f>PirteiKisuiBeMutzar!K32</f>
        <v>0</v>
      </c>
      <c r="G30" s="1000">
        <f>PirteiKisuiBeMutzar!M32</f>
        <v>0</v>
      </c>
      <c r="H30" s="1000">
        <f>PirteiKisuiBeMutzar!P32</f>
        <v>0</v>
      </c>
      <c r="I30" s="1000">
        <f>PirteiKisuiBeMutzar!X32</f>
        <v>0</v>
      </c>
      <c r="J30" s="1000">
        <f>PirteiKisuiBeMutzar!Y32</f>
        <v>0</v>
      </c>
      <c r="K30" s="1000">
        <f>PirteiKisuiBeMutzar!AL32</f>
        <v>0</v>
      </c>
      <c r="L30" s="1000">
        <f>PirteiKisuiBeMutzar!AO32</f>
        <v>0</v>
      </c>
      <c r="M30" s="1000">
        <f>PirteiKisuiBeMutzar!AP32</f>
        <v>0</v>
      </c>
    </row>
    <row r="31" spans="1:13" x14ac:dyDescent="0.2">
      <c r="A31" s="178">
        <f>PirteiKisuiBeMutzar!D33</f>
        <v>0</v>
      </c>
      <c r="B31" s="178">
        <f>PirteiKisuiBeMutzar!AQ33</f>
        <v>0</v>
      </c>
      <c r="C31" s="178">
        <f>PirteiKisuiBeMutzar!AM33</f>
        <v>0</v>
      </c>
      <c r="D31" s="1000">
        <f>PirteiKisuiBeMutzar!G33</f>
        <v>0</v>
      </c>
      <c r="E31" s="1000">
        <f>PirteiKisuiBeMutzar!W33</f>
        <v>0</v>
      </c>
      <c r="F31" s="1000">
        <f>PirteiKisuiBeMutzar!K33</f>
        <v>0</v>
      </c>
      <c r="G31" s="1000">
        <f>PirteiKisuiBeMutzar!M33</f>
        <v>0</v>
      </c>
      <c r="H31" s="1000">
        <f>PirteiKisuiBeMutzar!P33</f>
        <v>0</v>
      </c>
      <c r="I31" s="1000">
        <f>PirteiKisuiBeMutzar!X33</f>
        <v>0</v>
      </c>
      <c r="J31" s="1000">
        <f>PirteiKisuiBeMutzar!Y33</f>
        <v>0</v>
      </c>
      <c r="K31" s="1000">
        <f>PirteiKisuiBeMutzar!AL33</f>
        <v>0</v>
      </c>
      <c r="L31" s="1000">
        <f>PirteiKisuiBeMutzar!AO33</f>
        <v>0</v>
      </c>
      <c r="M31" s="1000">
        <f>PirteiKisuiBeMutzar!AP33</f>
        <v>0</v>
      </c>
    </row>
    <row r="32" spans="1:13" x14ac:dyDescent="0.2">
      <c r="A32" s="178">
        <f>PirteiKisuiBeMutzar!D34</f>
        <v>0</v>
      </c>
      <c r="B32" s="178">
        <f>PirteiKisuiBeMutzar!AQ34</f>
        <v>0</v>
      </c>
      <c r="C32" s="178">
        <f>PirteiKisuiBeMutzar!AM34</f>
        <v>0</v>
      </c>
      <c r="D32" s="1000">
        <f>PirteiKisuiBeMutzar!G34</f>
        <v>0</v>
      </c>
      <c r="E32" s="1000">
        <f>PirteiKisuiBeMutzar!W34</f>
        <v>0</v>
      </c>
      <c r="F32" s="1000">
        <f>PirteiKisuiBeMutzar!K34</f>
        <v>0</v>
      </c>
      <c r="G32" s="1000">
        <f>PirteiKisuiBeMutzar!M34</f>
        <v>0</v>
      </c>
      <c r="H32" s="1000">
        <f>PirteiKisuiBeMutzar!P34</f>
        <v>0</v>
      </c>
      <c r="I32" s="1000">
        <f>PirteiKisuiBeMutzar!X34</f>
        <v>0</v>
      </c>
      <c r="J32" s="1000">
        <f>PirteiKisuiBeMutzar!Y34</f>
        <v>0</v>
      </c>
      <c r="K32" s="1000">
        <f>PirteiKisuiBeMutzar!AL34</f>
        <v>0</v>
      </c>
      <c r="L32" s="1000">
        <f>PirteiKisuiBeMutzar!AO34</f>
        <v>0</v>
      </c>
      <c r="M32" s="1000">
        <f>PirteiKisuiBeMutzar!AP34</f>
        <v>0</v>
      </c>
    </row>
    <row r="33" spans="1:13" x14ac:dyDescent="0.2">
      <c r="A33" s="178">
        <f>PirteiKisuiBeMutzar!D35</f>
        <v>0</v>
      </c>
      <c r="B33" s="178">
        <f>PirteiKisuiBeMutzar!AQ35</f>
        <v>0</v>
      </c>
      <c r="C33" s="178">
        <f>PirteiKisuiBeMutzar!AM35</f>
        <v>0</v>
      </c>
      <c r="D33" s="1000">
        <f>PirteiKisuiBeMutzar!G35</f>
        <v>0</v>
      </c>
      <c r="E33" s="1000">
        <f>PirteiKisuiBeMutzar!W35</f>
        <v>0</v>
      </c>
      <c r="F33" s="1000">
        <f>PirteiKisuiBeMutzar!K35</f>
        <v>0</v>
      </c>
      <c r="G33" s="1000">
        <f>PirteiKisuiBeMutzar!M35</f>
        <v>0</v>
      </c>
      <c r="H33" s="1000">
        <f>PirteiKisuiBeMutzar!P35</f>
        <v>0</v>
      </c>
      <c r="I33" s="1000">
        <f>PirteiKisuiBeMutzar!X35</f>
        <v>0</v>
      </c>
      <c r="J33" s="1000">
        <f>PirteiKisuiBeMutzar!Y35</f>
        <v>0</v>
      </c>
      <c r="K33" s="1000">
        <f>PirteiKisuiBeMutzar!AL35</f>
        <v>0</v>
      </c>
      <c r="L33" s="1000">
        <f>PirteiKisuiBeMutzar!AO35</f>
        <v>0</v>
      </c>
      <c r="M33" s="1000">
        <f>PirteiKisuiBeMutzar!AP35</f>
        <v>0</v>
      </c>
    </row>
    <row r="34" spans="1:13" x14ac:dyDescent="0.2">
      <c r="A34" s="178">
        <f>PirteiKisuiBeMutzar!D36</f>
        <v>0</v>
      </c>
      <c r="B34" s="178">
        <f>PirteiKisuiBeMutzar!AQ36</f>
        <v>0</v>
      </c>
      <c r="C34" s="178">
        <f>PirteiKisuiBeMutzar!AM36</f>
        <v>0</v>
      </c>
      <c r="D34" s="1000">
        <f>PirteiKisuiBeMutzar!G36</f>
        <v>0</v>
      </c>
      <c r="E34" s="1000">
        <f>PirteiKisuiBeMutzar!W36</f>
        <v>0</v>
      </c>
      <c r="F34" s="1000">
        <f>PirteiKisuiBeMutzar!K36</f>
        <v>0</v>
      </c>
      <c r="G34" s="1000">
        <f>PirteiKisuiBeMutzar!M36</f>
        <v>0</v>
      </c>
      <c r="H34" s="1000">
        <f>PirteiKisuiBeMutzar!P36</f>
        <v>0</v>
      </c>
      <c r="I34" s="1000">
        <f>PirteiKisuiBeMutzar!X36</f>
        <v>0</v>
      </c>
      <c r="J34" s="1000">
        <f>PirteiKisuiBeMutzar!Y36</f>
        <v>0</v>
      </c>
      <c r="K34" s="1000">
        <f>PirteiKisuiBeMutzar!AL36</f>
        <v>0</v>
      </c>
      <c r="L34" s="1000">
        <f>PirteiKisuiBeMutzar!AO36</f>
        <v>0</v>
      </c>
      <c r="M34" s="1000">
        <f>PirteiKisuiBeMutzar!AP36</f>
        <v>0</v>
      </c>
    </row>
    <row r="35" spans="1:13" x14ac:dyDescent="0.2">
      <c r="A35" s="178">
        <f>PirteiKisuiBeMutzar!D37</f>
        <v>0</v>
      </c>
      <c r="B35" s="178">
        <f>PirteiKisuiBeMutzar!AQ37</f>
        <v>0</v>
      </c>
      <c r="C35" s="178">
        <f>PirteiKisuiBeMutzar!AM37</f>
        <v>0</v>
      </c>
      <c r="D35" s="1000">
        <f>PirteiKisuiBeMutzar!G37</f>
        <v>0</v>
      </c>
      <c r="E35" s="1000">
        <f>PirteiKisuiBeMutzar!W37</f>
        <v>0</v>
      </c>
      <c r="F35" s="1000">
        <f>PirteiKisuiBeMutzar!K37</f>
        <v>0</v>
      </c>
      <c r="G35" s="1000">
        <f>PirteiKisuiBeMutzar!M37</f>
        <v>0</v>
      </c>
      <c r="H35" s="1000">
        <f>PirteiKisuiBeMutzar!P37</f>
        <v>0</v>
      </c>
      <c r="I35" s="1000">
        <f>PirteiKisuiBeMutzar!X37</f>
        <v>0</v>
      </c>
      <c r="J35" s="1000">
        <f>PirteiKisuiBeMutzar!Y37</f>
        <v>0</v>
      </c>
      <c r="K35" s="1000">
        <f>PirteiKisuiBeMutzar!AL37</f>
        <v>0</v>
      </c>
      <c r="L35" s="1000">
        <f>PirteiKisuiBeMutzar!AO37</f>
        <v>0</v>
      </c>
      <c r="M35" s="1000">
        <f>PirteiKisuiBeMutzar!AP37</f>
        <v>0</v>
      </c>
    </row>
    <row r="36" spans="1:13" x14ac:dyDescent="0.2">
      <c r="A36" s="178">
        <f>PirteiKisuiBeMutzar!D38</f>
        <v>0</v>
      </c>
      <c r="B36" s="178">
        <f>PirteiKisuiBeMutzar!AQ38</f>
        <v>0</v>
      </c>
      <c r="C36" s="178">
        <f>PirteiKisuiBeMutzar!AM38</f>
        <v>0</v>
      </c>
      <c r="D36" s="1000">
        <f>PirteiKisuiBeMutzar!G38</f>
        <v>0</v>
      </c>
      <c r="E36" s="1000">
        <f>PirteiKisuiBeMutzar!W38</f>
        <v>0</v>
      </c>
      <c r="F36" s="1000">
        <f>PirteiKisuiBeMutzar!K38</f>
        <v>0</v>
      </c>
      <c r="G36" s="1000">
        <f>PirteiKisuiBeMutzar!M38</f>
        <v>0</v>
      </c>
      <c r="H36" s="1000">
        <f>PirteiKisuiBeMutzar!P38</f>
        <v>0</v>
      </c>
      <c r="I36" s="1000">
        <f>PirteiKisuiBeMutzar!X38</f>
        <v>0</v>
      </c>
      <c r="J36" s="1000">
        <f>PirteiKisuiBeMutzar!Y38</f>
        <v>0</v>
      </c>
      <c r="K36" s="1000">
        <f>PirteiKisuiBeMutzar!AL38</f>
        <v>0</v>
      </c>
      <c r="L36" s="1000">
        <f>PirteiKisuiBeMutzar!AO38</f>
        <v>0</v>
      </c>
      <c r="M36" s="1000">
        <f>PirteiKisuiBeMutzar!AP38</f>
        <v>0</v>
      </c>
    </row>
    <row r="37" spans="1:13" x14ac:dyDescent="0.2">
      <c r="A37" s="178">
        <f>PirteiKisuiBeMutzar!D39</f>
        <v>0</v>
      </c>
      <c r="B37" s="178">
        <f>PirteiKisuiBeMutzar!AQ39</f>
        <v>0</v>
      </c>
      <c r="C37" s="178">
        <f>PirteiKisuiBeMutzar!AM39</f>
        <v>0</v>
      </c>
      <c r="D37" s="1000">
        <f>PirteiKisuiBeMutzar!G39</f>
        <v>0</v>
      </c>
      <c r="E37" s="1000">
        <f>PirteiKisuiBeMutzar!W39</f>
        <v>0</v>
      </c>
      <c r="F37" s="1000">
        <f>PirteiKisuiBeMutzar!K39</f>
        <v>0</v>
      </c>
      <c r="G37" s="1000">
        <f>PirteiKisuiBeMutzar!M39</f>
        <v>0</v>
      </c>
      <c r="H37" s="1000">
        <f>PirteiKisuiBeMutzar!P39</f>
        <v>0</v>
      </c>
      <c r="I37" s="1000">
        <f>PirteiKisuiBeMutzar!X39</f>
        <v>0</v>
      </c>
      <c r="J37" s="1000">
        <f>PirteiKisuiBeMutzar!Y39</f>
        <v>0</v>
      </c>
      <c r="K37" s="1000">
        <f>PirteiKisuiBeMutzar!AL39</f>
        <v>0</v>
      </c>
      <c r="L37" s="1000">
        <f>PirteiKisuiBeMutzar!AO39</f>
        <v>0</v>
      </c>
      <c r="M37" s="1000">
        <f>PirteiKisuiBeMutzar!AP39</f>
        <v>0</v>
      </c>
    </row>
    <row r="38" spans="1:13" x14ac:dyDescent="0.2">
      <c r="A38" s="178">
        <f>PirteiKisuiBeMutzar!D40</f>
        <v>0</v>
      </c>
      <c r="B38" s="178">
        <f>PirteiKisuiBeMutzar!AQ40</f>
        <v>0</v>
      </c>
      <c r="C38" s="178">
        <f>PirteiKisuiBeMutzar!AM40</f>
        <v>0</v>
      </c>
      <c r="D38" s="1000">
        <f>PirteiKisuiBeMutzar!G40</f>
        <v>0</v>
      </c>
      <c r="E38" s="1000">
        <f>PirteiKisuiBeMutzar!W40</f>
        <v>0</v>
      </c>
      <c r="F38" s="1000">
        <f>PirteiKisuiBeMutzar!K40</f>
        <v>0</v>
      </c>
      <c r="G38" s="1000">
        <f>PirteiKisuiBeMutzar!M40</f>
        <v>0</v>
      </c>
      <c r="H38" s="1000">
        <f>PirteiKisuiBeMutzar!P40</f>
        <v>0</v>
      </c>
      <c r="I38" s="1000">
        <f>PirteiKisuiBeMutzar!X40</f>
        <v>0</v>
      </c>
      <c r="J38" s="1000">
        <f>PirteiKisuiBeMutzar!Y40</f>
        <v>0</v>
      </c>
      <c r="K38" s="1000">
        <f>PirteiKisuiBeMutzar!AL40</f>
        <v>0</v>
      </c>
      <c r="L38" s="1000">
        <f>PirteiKisuiBeMutzar!AO40</f>
        <v>0</v>
      </c>
      <c r="M38" s="1000">
        <f>PirteiKisuiBeMutzar!AP40</f>
        <v>0</v>
      </c>
    </row>
    <row r="39" spans="1:13" x14ac:dyDescent="0.2">
      <c r="A39" s="178">
        <f>PirteiKisuiBeMutzar!D41</f>
        <v>0</v>
      </c>
      <c r="B39" s="178">
        <f>PirteiKisuiBeMutzar!AQ41</f>
        <v>0</v>
      </c>
      <c r="C39" s="178">
        <f>PirteiKisuiBeMutzar!AM41</f>
        <v>0</v>
      </c>
      <c r="D39" s="1000">
        <f>PirteiKisuiBeMutzar!G41</f>
        <v>0</v>
      </c>
      <c r="E39" s="1000">
        <f>PirteiKisuiBeMutzar!W41</f>
        <v>0</v>
      </c>
      <c r="F39" s="1000">
        <f>PirteiKisuiBeMutzar!K41</f>
        <v>0</v>
      </c>
      <c r="G39" s="1000">
        <f>PirteiKisuiBeMutzar!M41</f>
        <v>0</v>
      </c>
      <c r="H39" s="1000">
        <f>PirteiKisuiBeMutzar!P41</f>
        <v>0</v>
      </c>
      <c r="I39" s="1000">
        <f>PirteiKisuiBeMutzar!X41</f>
        <v>0</v>
      </c>
      <c r="J39" s="1000">
        <f>PirteiKisuiBeMutzar!Y41</f>
        <v>0</v>
      </c>
      <c r="K39" s="1000">
        <f>PirteiKisuiBeMutzar!AL41</f>
        <v>0</v>
      </c>
      <c r="L39" s="1000">
        <f>PirteiKisuiBeMutzar!AO41</f>
        <v>0</v>
      </c>
      <c r="M39" s="1000">
        <f>PirteiKisuiBeMutzar!AP41</f>
        <v>0</v>
      </c>
    </row>
    <row r="40" spans="1:13" x14ac:dyDescent="0.2">
      <c r="A40" s="178">
        <f>PirteiKisuiBeMutzar!D42</f>
        <v>0</v>
      </c>
      <c r="B40" s="178">
        <f>PirteiKisuiBeMutzar!AQ42</f>
        <v>0</v>
      </c>
      <c r="C40" s="178">
        <f>PirteiKisuiBeMutzar!AM42</f>
        <v>0</v>
      </c>
      <c r="D40" s="1000">
        <f>PirteiKisuiBeMutzar!G42</f>
        <v>0</v>
      </c>
      <c r="E40" s="1000">
        <f>PirteiKisuiBeMutzar!W42</f>
        <v>0</v>
      </c>
      <c r="F40" s="1000">
        <f>PirteiKisuiBeMutzar!K42</f>
        <v>0</v>
      </c>
      <c r="G40" s="1000">
        <f>PirteiKisuiBeMutzar!M42</f>
        <v>0</v>
      </c>
      <c r="H40" s="1000">
        <f>PirteiKisuiBeMutzar!P42</f>
        <v>0</v>
      </c>
      <c r="I40" s="1000">
        <f>PirteiKisuiBeMutzar!X42</f>
        <v>0</v>
      </c>
      <c r="J40" s="1000">
        <f>PirteiKisuiBeMutzar!Y42</f>
        <v>0</v>
      </c>
      <c r="K40" s="1000">
        <f>PirteiKisuiBeMutzar!AL42</f>
        <v>0</v>
      </c>
      <c r="L40" s="1000">
        <f>PirteiKisuiBeMutzar!AO42</f>
        <v>0</v>
      </c>
      <c r="M40" s="1000">
        <f>PirteiKisuiBeMutzar!AP42</f>
        <v>0</v>
      </c>
    </row>
    <row r="41" spans="1:13" x14ac:dyDescent="0.2">
      <c r="A41" s="178">
        <f>PirteiKisuiBeMutzar!D43</f>
        <v>0</v>
      </c>
      <c r="B41" s="178">
        <f>PirteiKisuiBeMutzar!AQ43</f>
        <v>0</v>
      </c>
      <c r="C41" s="178">
        <f>PirteiKisuiBeMutzar!AM43</f>
        <v>0</v>
      </c>
      <c r="D41" s="1000">
        <f>PirteiKisuiBeMutzar!G43</f>
        <v>0</v>
      </c>
      <c r="E41" s="1000">
        <f>PirteiKisuiBeMutzar!W43</f>
        <v>0</v>
      </c>
      <c r="F41" s="1000">
        <f>PirteiKisuiBeMutzar!K43</f>
        <v>0</v>
      </c>
      <c r="G41" s="1000">
        <f>PirteiKisuiBeMutzar!M43</f>
        <v>0</v>
      </c>
      <c r="H41" s="1000">
        <f>PirteiKisuiBeMutzar!P43</f>
        <v>0</v>
      </c>
      <c r="I41" s="1000">
        <f>PirteiKisuiBeMutzar!X43</f>
        <v>0</v>
      </c>
      <c r="J41" s="1000">
        <f>PirteiKisuiBeMutzar!Y43</f>
        <v>0</v>
      </c>
      <c r="K41" s="1000">
        <f>PirteiKisuiBeMutzar!AL43</f>
        <v>0</v>
      </c>
      <c r="L41" s="1000">
        <f>PirteiKisuiBeMutzar!AO43</f>
        <v>0</v>
      </c>
      <c r="M41" s="1000">
        <f>PirteiKisuiBeMutzar!AP43</f>
        <v>0</v>
      </c>
    </row>
    <row r="42" spans="1:13" x14ac:dyDescent="0.2">
      <c r="A42" s="178">
        <f>PirteiKisuiBeMutzar!D44</f>
        <v>0</v>
      </c>
      <c r="B42" s="178">
        <f>PirteiKisuiBeMutzar!AQ44</f>
        <v>0</v>
      </c>
      <c r="C42" s="178">
        <f>PirteiKisuiBeMutzar!AM44</f>
        <v>0</v>
      </c>
      <c r="D42" s="1000">
        <f>PirteiKisuiBeMutzar!G44</f>
        <v>0</v>
      </c>
      <c r="E42" s="1000">
        <f>PirteiKisuiBeMutzar!W44</f>
        <v>0</v>
      </c>
      <c r="F42" s="1000">
        <f>PirteiKisuiBeMutzar!K44</f>
        <v>0</v>
      </c>
      <c r="G42" s="1000">
        <f>PirteiKisuiBeMutzar!M44</f>
        <v>0</v>
      </c>
      <c r="H42" s="1000">
        <f>PirteiKisuiBeMutzar!P44</f>
        <v>0</v>
      </c>
      <c r="I42" s="1000">
        <f>PirteiKisuiBeMutzar!X44</f>
        <v>0</v>
      </c>
      <c r="J42" s="1000">
        <f>PirteiKisuiBeMutzar!Y44</f>
        <v>0</v>
      </c>
      <c r="K42" s="1000">
        <f>PirteiKisuiBeMutzar!AL44</f>
        <v>0</v>
      </c>
      <c r="L42" s="1000">
        <f>PirteiKisuiBeMutzar!AO44</f>
        <v>0</v>
      </c>
      <c r="M42" s="1000">
        <f>PirteiKisuiBeMutzar!AP44</f>
        <v>0</v>
      </c>
    </row>
    <row r="43" spans="1:13" x14ac:dyDescent="0.2">
      <c r="A43" s="178">
        <f>PirteiKisuiBeMutzar!D45</f>
        <v>0</v>
      </c>
      <c r="B43" s="178">
        <f>PirteiKisuiBeMutzar!AQ45</f>
        <v>0</v>
      </c>
      <c r="C43" s="178">
        <f>PirteiKisuiBeMutzar!AM45</f>
        <v>0</v>
      </c>
      <c r="D43" s="1000">
        <f>PirteiKisuiBeMutzar!G45</f>
        <v>0</v>
      </c>
      <c r="E43" s="1000">
        <f>PirteiKisuiBeMutzar!W45</f>
        <v>0</v>
      </c>
      <c r="F43" s="1000">
        <f>PirteiKisuiBeMutzar!K45</f>
        <v>0</v>
      </c>
      <c r="G43" s="1000">
        <f>PirteiKisuiBeMutzar!M45</f>
        <v>0</v>
      </c>
      <c r="H43" s="1000">
        <f>PirteiKisuiBeMutzar!P45</f>
        <v>0</v>
      </c>
      <c r="I43" s="1000">
        <f>PirteiKisuiBeMutzar!X45</f>
        <v>0</v>
      </c>
      <c r="J43" s="1000">
        <f>PirteiKisuiBeMutzar!Y45</f>
        <v>0</v>
      </c>
      <c r="K43" s="1000">
        <f>PirteiKisuiBeMutzar!AL45</f>
        <v>0</v>
      </c>
      <c r="L43" s="1000">
        <f>PirteiKisuiBeMutzar!AO45</f>
        <v>0</v>
      </c>
      <c r="M43" s="1000">
        <f>PirteiKisuiBeMutzar!AP45</f>
        <v>0</v>
      </c>
    </row>
    <row r="44" spans="1:13" x14ac:dyDescent="0.2">
      <c r="A44" s="178">
        <f>PirteiKisuiBeMutzar!D46</f>
        <v>0</v>
      </c>
      <c r="B44" s="178">
        <f>PirteiKisuiBeMutzar!AQ46</f>
        <v>0</v>
      </c>
      <c r="C44" s="178">
        <f>PirteiKisuiBeMutzar!AM46</f>
        <v>0</v>
      </c>
      <c r="D44" s="1000">
        <f>PirteiKisuiBeMutzar!G46</f>
        <v>0</v>
      </c>
      <c r="E44" s="1000">
        <f>PirteiKisuiBeMutzar!W46</f>
        <v>0</v>
      </c>
      <c r="F44" s="1000">
        <f>PirteiKisuiBeMutzar!K46</f>
        <v>0</v>
      </c>
      <c r="G44" s="1000">
        <f>PirteiKisuiBeMutzar!M46</f>
        <v>0</v>
      </c>
      <c r="H44" s="1000">
        <f>PirteiKisuiBeMutzar!P46</f>
        <v>0</v>
      </c>
      <c r="I44" s="1000">
        <f>PirteiKisuiBeMutzar!X46</f>
        <v>0</v>
      </c>
      <c r="J44" s="1000">
        <f>PirteiKisuiBeMutzar!Y46</f>
        <v>0</v>
      </c>
      <c r="K44" s="1000">
        <f>PirteiKisuiBeMutzar!AL46</f>
        <v>0</v>
      </c>
      <c r="L44" s="1000">
        <f>PirteiKisuiBeMutzar!AO46</f>
        <v>0</v>
      </c>
      <c r="M44" s="1000">
        <f>PirteiKisuiBeMutzar!AP46</f>
        <v>0</v>
      </c>
    </row>
    <row r="45" spans="1:13" x14ac:dyDescent="0.2">
      <c r="A45" s="178">
        <f>PirteiKisuiBeMutzar!D47</f>
        <v>0</v>
      </c>
      <c r="B45" s="178">
        <f>PirteiKisuiBeMutzar!AQ47</f>
        <v>0</v>
      </c>
      <c r="C45" s="178">
        <f>PirteiKisuiBeMutzar!AM47</f>
        <v>0</v>
      </c>
      <c r="D45" s="1000">
        <f>PirteiKisuiBeMutzar!G47</f>
        <v>0</v>
      </c>
      <c r="E45" s="1000">
        <f>PirteiKisuiBeMutzar!W47</f>
        <v>0</v>
      </c>
      <c r="F45" s="1000">
        <f>PirteiKisuiBeMutzar!K47</f>
        <v>0</v>
      </c>
      <c r="G45" s="1000">
        <f>PirteiKisuiBeMutzar!M47</f>
        <v>0</v>
      </c>
      <c r="H45" s="1000">
        <f>PirteiKisuiBeMutzar!P47</f>
        <v>0</v>
      </c>
      <c r="I45" s="1000">
        <f>PirteiKisuiBeMutzar!X47</f>
        <v>0</v>
      </c>
      <c r="J45" s="1000">
        <f>PirteiKisuiBeMutzar!Y47</f>
        <v>0</v>
      </c>
      <c r="K45" s="1000">
        <f>PirteiKisuiBeMutzar!AL47</f>
        <v>0</v>
      </c>
      <c r="L45" s="1000">
        <f>PirteiKisuiBeMutzar!AO47</f>
        <v>0</v>
      </c>
      <c r="M45" s="1000">
        <f>PirteiKisuiBeMutzar!AP47</f>
        <v>0</v>
      </c>
    </row>
    <row r="46" spans="1:13" x14ac:dyDescent="0.2">
      <c r="A46" s="178">
        <f>PirteiKisuiBeMutzar!D48</f>
        <v>0</v>
      </c>
      <c r="B46" s="178">
        <f>PirteiKisuiBeMutzar!AQ48</f>
        <v>0</v>
      </c>
      <c r="C46" s="178">
        <f>PirteiKisuiBeMutzar!AM48</f>
        <v>0</v>
      </c>
      <c r="D46" s="1000">
        <f>PirteiKisuiBeMutzar!G48</f>
        <v>0</v>
      </c>
      <c r="E46" s="1000">
        <f>PirteiKisuiBeMutzar!W48</f>
        <v>0</v>
      </c>
      <c r="F46" s="1000">
        <f>PirteiKisuiBeMutzar!K48</f>
        <v>0</v>
      </c>
      <c r="G46" s="1000">
        <f>PirteiKisuiBeMutzar!M48</f>
        <v>0</v>
      </c>
      <c r="H46" s="1000">
        <f>PirteiKisuiBeMutzar!P48</f>
        <v>0</v>
      </c>
      <c r="I46" s="1000">
        <f>PirteiKisuiBeMutzar!X48</f>
        <v>0</v>
      </c>
      <c r="J46" s="1000">
        <f>PirteiKisuiBeMutzar!Y48</f>
        <v>0</v>
      </c>
      <c r="K46" s="1000">
        <f>PirteiKisuiBeMutzar!AL48</f>
        <v>0</v>
      </c>
      <c r="L46" s="1000">
        <f>PirteiKisuiBeMutzar!AO48</f>
        <v>0</v>
      </c>
      <c r="M46" s="1000">
        <f>PirteiKisuiBeMutzar!AP48</f>
        <v>0</v>
      </c>
    </row>
    <row r="47" spans="1:13" x14ac:dyDescent="0.2">
      <c r="A47" s="178">
        <f>PirteiKisuiBeMutzar!D49</f>
        <v>0</v>
      </c>
      <c r="B47" s="178">
        <f>PirteiKisuiBeMutzar!AQ49</f>
        <v>0</v>
      </c>
      <c r="C47" s="178">
        <f>PirteiKisuiBeMutzar!AM49</f>
        <v>0</v>
      </c>
      <c r="D47" s="1000">
        <f>PirteiKisuiBeMutzar!G49</f>
        <v>0</v>
      </c>
      <c r="E47" s="1000">
        <f>PirteiKisuiBeMutzar!W49</f>
        <v>0</v>
      </c>
      <c r="F47" s="1000">
        <f>PirteiKisuiBeMutzar!K49</f>
        <v>0</v>
      </c>
      <c r="G47" s="1000">
        <f>PirteiKisuiBeMutzar!M49</f>
        <v>0</v>
      </c>
      <c r="H47" s="1000">
        <f>PirteiKisuiBeMutzar!P49</f>
        <v>0</v>
      </c>
      <c r="I47" s="1000">
        <f>PirteiKisuiBeMutzar!X49</f>
        <v>0</v>
      </c>
      <c r="J47" s="1000">
        <f>PirteiKisuiBeMutzar!Y49</f>
        <v>0</v>
      </c>
      <c r="K47" s="1000">
        <f>PirteiKisuiBeMutzar!AL49</f>
        <v>0</v>
      </c>
      <c r="L47" s="1000">
        <f>PirteiKisuiBeMutzar!AO49</f>
        <v>0</v>
      </c>
      <c r="M47" s="1000">
        <f>PirteiKisuiBeMutzar!AP49</f>
        <v>0</v>
      </c>
    </row>
    <row r="48" spans="1:13" x14ac:dyDescent="0.2">
      <c r="A48" s="178">
        <f>PirteiKisuiBeMutzar!D50</f>
        <v>0</v>
      </c>
      <c r="B48" s="178">
        <f>PirteiKisuiBeMutzar!AQ50</f>
        <v>0</v>
      </c>
      <c r="C48" s="178">
        <f>PirteiKisuiBeMutzar!AM50</f>
        <v>0</v>
      </c>
      <c r="D48" s="1000">
        <f>PirteiKisuiBeMutzar!G50</f>
        <v>0</v>
      </c>
      <c r="E48" s="1000">
        <f>PirteiKisuiBeMutzar!W50</f>
        <v>0</v>
      </c>
      <c r="F48" s="1000">
        <f>PirteiKisuiBeMutzar!K50</f>
        <v>0</v>
      </c>
      <c r="G48" s="1000">
        <f>PirteiKisuiBeMutzar!M50</f>
        <v>0</v>
      </c>
      <c r="H48" s="1000">
        <f>PirteiKisuiBeMutzar!P50</f>
        <v>0</v>
      </c>
      <c r="I48" s="1000">
        <f>PirteiKisuiBeMutzar!X50</f>
        <v>0</v>
      </c>
      <c r="J48" s="1000">
        <f>PirteiKisuiBeMutzar!Y50</f>
        <v>0</v>
      </c>
      <c r="K48" s="1000">
        <f>PirteiKisuiBeMutzar!AL50</f>
        <v>0</v>
      </c>
      <c r="L48" s="1000">
        <f>PirteiKisuiBeMutzar!AO50</f>
        <v>0</v>
      </c>
      <c r="M48" s="1000">
        <f>PirteiKisuiBeMutzar!AP50</f>
        <v>0</v>
      </c>
    </row>
    <row r="49" spans="1:13" x14ac:dyDescent="0.2">
      <c r="A49" s="178">
        <f>PirteiKisuiBeMutzar!D51</f>
        <v>0</v>
      </c>
      <c r="B49" s="178">
        <f>PirteiKisuiBeMutzar!AQ51</f>
        <v>0</v>
      </c>
      <c r="C49" s="178">
        <f>PirteiKisuiBeMutzar!AM51</f>
        <v>0</v>
      </c>
      <c r="D49" s="1000">
        <f>PirteiKisuiBeMutzar!G51</f>
        <v>0</v>
      </c>
      <c r="E49" s="1000">
        <f>PirteiKisuiBeMutzar!W51</f>
        <v>0</v>
      </c>
      <c r="F49" s="1000">
        <f>PirteiKisuiBeMutzar!K51</f>
        <v>0</v>
      </c>
      <c r="G49" s="1000">
        <f>PirteiKisuiBeMutzar!M51</f>
        <v>0</v>
      </c>
      <c r="H49" s="1000">
        <f>PirteiKisuiBeMutzar!P51</f>
        <v>0</v>
      </c>
      <c r="I49" s="1000">
        <f>PirteiKisuiBeMutzar!X51</f>
        <v>0</v>
      </c>
      <c r="J49" s="1000">
        <f>PirteiKisuiBeMutzar!Y51</f>
        <v>0</v>
      </c>
      <c r="K49" s="1000">
        <f>PirteiKisuiBeMutzar!AL51</f>
        <v>0</v>
      </c>
      <c r="L49" s="1000">
        <f>PirteiKisuiBeMutzar!AO51</f>
        <v>0</v>
      </c>
      <c r="M49" s="1000">
        <f>PirteiKisuiBeMutzar!AP51</f>
        <v>0</v>
      </c>
    </row>
    <row r="50" spans="1:13" x14ac:dyDescent="0.2">
      <c r="A50" s="178">
        <f>PirteiKisuiBeMutzar!D52</f>
        <v>0</v>
      </c>
      <c r="B50" s="178">
        <f>PirteiKisuiBeMutzar!AQ52</f>
        <v>0</v>
      </c>
      <c r="C50" s="178">
        <f>PirteiKisuiBeMutzar!AM52</f>
        <v>0</v>
      </c>
      <c r="D50" s="1000">
        <f>PirteiKisuiBeMutzar!G52</f>
        <v>0</v>
      </c>
      <c r="E50" s="1000">
        <f>PirteiKisuiBeMutzar!W52</f>
        <v>0</v>
      </c>
      <c r="F50" s="1000">
        <f>PirteiKisuiBeMutzar!K52</f>
        <v>0</v>
      </c>
      <c r="G50" s="1000">
        <f>PirteiKisuiBeMutzar!M52</f>
        <v>0</v>
      </c>
      <c r="H50" s="1000">
        <f>PirteiKisuiBeMutzar!P52</f>
        <v>0</v>
      </c>
      <c r="I50" s="1000">
        <f>PirteiKisuiBeMutzar!X52</f>
        <v>0</v>
      </c>
      <c r="J50" s="1000">
        <f>PirteiKisuiBeMutzar!Y52</f>
        <v>0</v>
      </c>
      <c r="K50" s="1000">
        <f>PirteiKisuiBeMutzar!AL52</f>
        <v>0</v>
      </c>
      <c r="L50" s="1000">
        <f>PirteiKisuiBeMutzar!AO52</f>
        <v>0</v>
      </c>
      <c r="M50" s="1000">
        <f>PirteiKisuiBeMutzar!AP52</f>
        <v>0</v>
      </c>
    </row>
    <row r="51" spans="1:13" x14ac:dyDescent="0.2">
      <c r="A51" s="178">
        <f>PirteiKisuiBeMutzar!D53</f>
        <v>0</v>
      </c>
      <c r="B51" s="178">
        <f>PirteiKisuiBeMutzar!AQ53</f>
        <v>0</v>
      </c>
      <c r="C51" s="178">
        <f>PirteiKisuiBeMutzar!AM53</f>
        <v>0</v>
      </c>
      <c r="D51" s="1000">
        <f>PirteiKisuiBeMutzar!G53</f>
        <v>0</v>
      </c>
      <c r="E51" s="1000">
        <f>PirteiKisuiBeMutzar!W53</f>
        <v>0</v>
      </c>
      <c r="F51" s="1000">
        <f>PirteiKisuiBeMutzar!K53</f>
        <v>0</v>
      </c>
      <c r="G51" s="1000">
        <f>PirteiKisuiBeMutzar!M53</f>
        <v>0</v>
      </c>
      <c r="H51" s="1000">
        <f>PirteiKisuiBeMutzar!P53</f>
        <v>0</v>
      </c>
      <c r="I51" s="1000">
        <f>PirteiKisuiBeMutzar!X53</f>
        <v>0</v>
      </c>
      <c r="J51" s="1000">
        <f>PirteiKisuiBeMutzar!Y53</f>
        <v>0</v>
      </c>
      <c r="K51" s="1000">
        <f>PirteiKisuiBeMutzar!AL53</f>
        <v>0</v>
      </c>
      <c r="L51" s="1000">
        <f>PirteiKisuiBeMutzar!AO53</f>
        <v>0</v>
      </c>
      <c r="M51" s="1000">
        <f>PirteiKisuiBeMutzar!AP53</f>
        <v>0</v>
      </c>
    </row>
    <row r="52" spans="1:13" x14ac:dyDescent="0.2">
      <c r="A52" s="178">
        <f>PirteiKisuiBeMutzar!D54</f>
        <v>0</v>
      </c>
      <c r="B52" s="178">
        <f>PirteiKisuiBeMutzar!AQ54</f>
        <v>0</v>
      </c>
      <c r="C52" s="178">
        <f>PirteiKisuiBeMutzar!AM54</f>
        <v>0</v>
      </c>
      <c r="D52" s="1000">
        <f>PirteiKisuiBeMutzar!G54</f>
        <v>0</v>
      </c>
      <c r="E52" s="1000">
        <f>PirteiKisuiBeMutzar!W54</f>
        <v>0</v>
      </c>
      <c r="F52" s="1000">
        <f>PirteiKisuiBeMutzar!K54</f>
        <v>0</v>
      </c>
      <c r="G52" s="1000">
        <f>PirteiKisuiBeMutzar!M54</f>
        <v>0</v>
      </c>
      <c r="H52" s="1000">
        <f>PirteiKisuiBeMutzar!P54</f>
        <v>0</v>
      </c>
      <c r="I52" s="1000">
        <f>PirteiKisuiBeMutzar!X54</f>
        <v>0</v>
      </c>
      <c r="J52" s="1000">
        <f>PirteiKisuiBeMutzar!Y54</f>
        <v>0</v>
      </c>
      <c r="K52" s="1000">
        <f>PirteiKisuiBeMutzar!AL54</f>
        <v>0</v>
      </c>
      <c r="L52" s="1000">
        <f>PirteiKisuiBeMutzar!AO54</f>
        <v>0</v>
      </c>
      <c r="M52" s="1000">
        <f>PirteiKisuiBeMutzar!AP54</f>
        <v>0</v>
      </c>
    </row>
    <row r="53" spans="1:13" x14ac:dyDescent="0.2">
      <c r="A53" s="178">
        <f>PirteiKisuiBeMutzar!D55</f>
        <v>0</v>
      </c>
      <c r="B53" s="178">
        <f>PirteiKisuiBeMutzar!AQ55</f>
        <v>0</v>
      </c>
      <c r="C53" s="178">
        <f>PirteiKisuiBeMutzar!AM55</f>
        <v>0</v>
      </c>
      <c r="D53" s="1000">
        <f>PirteiKisuiBeMutzar!G55</f>
        <v>0</v>
      </c>
      <c r="E53" s="1000">
        <f>PirteiKisuiBeMutzar!W55</f>
        <v>0</v>
      </c>
      <c r="F53" s="1000">
        <f>PirteiKisuiBeMutzar!K55</f>
        <v>0</v>
      </c>
      <c r="G53" s="1000">
        <f>PirteiKisuiBeMutzar!M55</f>
        <v>0</v>
      </c>
      <c r="H53" s="1000">
        <f>PirteiKisuiBeMutzar!P55</f>
        <v>0</v>
      </c>
      <c r="I53" s="1000">
        <f>PirteiKisuiBeMutzar!X55</f>
        <v>0</v>
      </c>
      <c r="J53" s="1000">
        <f>PirteiKisuiBeMutzar!Y55</f>
        <v>0</v>
      </c>
      <c r="K53" s="1000">
        <f>PirteiKisuiBeMutzar!AL55</f>
        <v>0</v>
      </c>
      <c r="L53" s="1000">
        <f>PirteiKisuiBeMutzar!AO55</f>
        <v>0</v>
      </c>
      <c r="M53" s="1000">
        <f>PirteiKisuiBeMutzar!AP55</f>
        <v>0</v>
      </c>
    </row>
    <row r="54" spans="1:13" x14ac:dyDescent="0.2">
      <c r="A54" s="178">
        <f>PirteiKisuiBeMutzar!D56</f>
        <v>0</v>
      </c>
      <c r="B54" s="178">
        <f>PirteiKisuiBeMutzar!AQ56</f>
        <v>0</v>
      </c>
      <c r="C54" s="178">
        <f>PirteiKisuiBeMutzar!AM56</f>
        <v>0</v>
      </c>
      <c r="D54" s="1000">
        <f>PirteiKisuiBeMutzar!G56</f>
        <v>0</v>
      </c>
      <c r="E54" s="1000">
        <f>PirteiKisuiBeMutzar!W56</f>
        <v>0</v>
      </c>
      <c r="F54" s="1000">
        <f>PirteiKisuiBeMutzar!K56</f>
        <v>0</v>
      </c>
      <c r="G54" s="1000">
        <f>PirteiKisuiBeMutzar!M56</f>
        <v>0</v>
      </c>
      <c r="H54" s="1000">
        <f>PirteiKisuiBeMutzar!P56</f>
        <v>0</v>
      </c>
      <c r="I54" s="1000">
        <f>PirteiKisuiBeMutzar!X56</f>
        <v>0</v>
      </c>
      <c r="J54" s="1000">
        <f>PirteiKisuiBeMutzar!Y56</f>
        <v>0</v>
      </c>
      <c r="K54" s="1000">
        <f>PirteiKisuiBeMutzar!AL56</f>
        <v>0</v>
      </c>
      <c r="L54" s="1000">
        <f>PirteiKisuiBeMutzar!AO56</f>
        <v>0</v>
      </c>
      <c r="M54" s="1000">
        <f>PirteiKisuiBeMutzar!AP56</f>
        <v>0</v>
      </c>
    </row>
    <row r="55" spans="1:13" x14ac:dyDescent="0.2">
      <c r="A55" s="178">
        <f>PirteiKisuiBeMutzar!D57</f>
        <v>0</v>
      </c>
      <c r="B55" s="178">
        <f>PirteiKisuiBeMutzar!AQ57</f>
        <v>0</v>
      </c>
      <c r="C55" s="178">
        <f>PirteiKisuiBeMutzar!AM57</f>
        <v>0</v>
      </c>
      <c r="D55" s="1000">
        <f>PirteiKisuiBeMutzar!G57</f>
        <v>0</v>
      </c>
      <c r="E55" s="1000">
        <f>PirteiKisuiBeMutzar!W57</f>
        <v>0</v>
      </c>
      <c r="F55" s="1000">
        <f>PirteiKisuiBeMutzar!K57</f>
        <v>0</v>
      </c>
      <c r="G55" s="1000">
        <f>PirteiKisuiBeMutzar!M57</f>
        <v>0</v>
      </c>
      <c r="H55" s="1000">
        <f>PirteiKisuiBeMutzar!P57</f>
        <v>0</v>
      </c>
      <c r="I55" s="1000">
        <f>PirteiKisuiBeMutzar!X57</f>
        <v>0</v>
      </c>
      <c r="J55" s="1000">
        <f>PirteiKisuiBeMutzar!Y57</f>
        <v>0</v>
      </c>
      <c r="K55" s="1000">
        <f>PirteiKisuiBeMutzar!AL57</f>
        <v>0</v>
      </c>
      <c r="L55" s="1000">
        <f>PirteiKisuiBeMutzar!AO57</f>
        <v>0</v>
      </c>
      <c r="M55" s="1000">
        <f>PirteiKisuiBeMutzar!AP57</f>
        <v>0</v>
      </c>
    </row>
    <row r="56" spans="1:13" x14ac:dyDescent="0.2">
      <c r="A56" s="178">
        <f>PirteiKisuiBeMutzar!D58</f>
        <v>0</v>
      </c>
      <c r="B56" s="178">
        <f>PirteiKisuiBeMutzar!AQ58</f>
        <v>0</v>
      </c>
      <c r="C56" s="178">
        <f>PirteiKisuiBeMutzar!AM58</f>
        <v>0</v>
      </c>
      <c r="D56" s="1000">
        <f>PirteiKisuiBeMutzar!G58</f>
        <v>0</v>
      </c>
      <c r="E56" s="1000">
        <f>PirteiKisuiBeMutzar!W58</f>
        <v>0</v>
      </c>
      <c r="F56" s="1000">
        <f>PirteiKisuiBeMutzar!K58</f>
        <v>0</v>
      </c>
      <c r="G56" s="1000">
        <f>PirteiKisuiBeMutzar!M58</f>
        <v>0</v>
      </c>
      <c r="H56" s="1000">
        <f>PirteiKisuiBeMutzar!P58</f>
        <v>0</v>
      </c>
      <c r="I56" s="1000">
        <f>PirteiKisuiBeMutzar!X58</f>
        <v>0</v>
      </c>
      <c r="J56" s="1000">
        <f>PirteiKisuiBeMutzar!Y58</f>
        <v>0</v>
      </c>
      <c r="K56" s="1000">
        <f>PirteiKisuiBeMutzar!AL58</f>
        <v>0</v>
      </c>
      <c r="L56" s="1000">
        <f>PirteiKisuiBeMutzar!AO58</f>
        <v>0</v>
      </c>
      <c r="M56" s="1000">
        <f>PirteiKisuiBeMutzar!AP58</f>
        <v>0</v>
      </c>
    </row>
    <row r="57" spans="1:13" x14ac:dyDescent="0.2">
      <c r="A57" s="178">
        <f>PirteiKisuiBeMutzar!D59</f>
        <v>0</v>
      </c>
      <c r="B57" s="178">
        <f>PirteiKisuiBeMutzar!AQ59</f>
        <v>0</v>
      </c>
      <c r="C57" s="178">
        <f>PirteiKisuiBeMutzar!AM59</f>
        <v>0</v>
      </c>
      <c r="D57" s="1000">
        <f>PirteiKisuiBeMutzar!G59</f>
        <v>0</v>
      </c>
      <c r="E57" s="1000">
        <f>PirteiKisuiBeMutzar!W59</f>
        <v>0</v>
      </c>
      <c r="F57" s="1000">
        <f>PirteiKisuiBeMutzar!K59</f>
        <v>0</v>
      </c>
      <c r="G57" s="1000">
        <f>PirteiKisuiBeMutzar!M59</f>
        <v>0</v>
      </c>
      <c r="H57" s="1000">
        <f>PirteiKisuiBeMutzar!P59</f>
        <v>0</v>
      </c>
      <c r="I57" s="1000">
        <f>PirteiKisuiBeMutzar!X59</f>
        <v>0</v>
      </c>
      <c r="J57" s="1000">
        <f>PirteiKisuiBeMutzar!Y59</f>
        <v>0</v>
      </c>
      <c r="K57" s="1000">
        <f>PirteiKisuiBeMutzar!AL59</f>
        <v>0</v>
      </c>
      <c r="L57" s="1000">
        <f>PirteiKisuiBeMutzar!AO59</f>
        <v>0</v>
      </c>
      <c r="M57" s="1000">
        <f>PirteiKisuiBeMutzar!AP59</f>
        <v>0</v>
      </c>
    </row>
    <row r="58" spans="1:13" x14ac:dyDescent="0.2">
      <c r="A58" s="178">
        <f>PirteiKisuiBeMutzar!D60</f>
        <v>0</v>
      </c>
      <c r="B58" s="178">
        <f>PirteiKisuiBeMutzar!AQ60</f>
        <v>0</v>
      </c>
      <c r="C58" s="178">
        <f>PirteiKisuiBeMutzar!AM60</f>
        <v>0</v>
      </c>
      <c r="D58" s="1000">
        <f>PirteiKisuiBeMutzar!G60</f>
        <v>0</v>
      </c>
      <c r="E58" s="1000">
        <f>PirteiKisuiBeMutzar!W60</f>
        <v>0</v>
      </c>
      <c r="F58" s="1000">
        <f>PirteiKisuiBeMutzar!K60</f>
        <v>0</v>
      </c>
      <c r="G58" s="1000">
        <f>PirteiKisuiBeMutzar!M60</f>
        <v>0</v>
      </c>
      <c r="H58" s="1000">
        <f>PirteiKisuiBeMutzar!P60</f>
        <v>0</v>
      </c>
      <c r="I58" s="1000">
        <f>PirteiKisuiBeMutzar!X60</f>
        <v>0</v>
      </c>
      <c r="J58" s="1000">
        <f>PirteiKisuiBeMutzar!Y60</f>
        <v>0</v>
      </c>
      <c r="K58" s="1000">
        <f>PirteiKisuiBeMutzar!AL60</f>
        <v>0</v>
      </c>
      <c r="L58" s="1000">
        <f>PirteiKisuiBeMutzar!AO60</f>
        <v>0</v>
      </c>
      <c r="M58" s="1000">
        <f>PirteiKisuiBeMutzar!AP60</f>
        <v>0</v>
      </c>
    </row>
    <row r="59" spans="1:13" x14ac:dyDescent="0.2">
      <c r="A59" s="178">
        <f>PirteiKisuiBeMutzar!D61</f>
        <v>0</v>
      </c>
      <c r="B59" s="178">
        <f>PirteiKisuiBeMutzar!AQ61</f>
        <v>0</v>
      </c>
      <c r="C59" s="178">
        <f>PirteiKisuiBeMutzar!AM61</f>
        <v>0</v>
      </c>
      <c r="D59" s="1000">
        <f>PirteiKisuiBeMutzar!G61</f>
        <v>0</v>
      </c>
      <c r="E59" s="1000">
        <f>PirteiKisuiBeMutzar!W61</f>
        <v>0</v>
      </c>
      <c r="F59" s="1000">
        <f>PirteiKisuiBeMutzar!K61</f>
        <v>0</v>
      </c>
      <c r="G59" s="1000">
        <f>PirteiKisuiBeMutzar!M61</f>
        <v>0</v>
      </c>
      <c r="H59" s="1000">
        <f>PirteiKisuiBeMutzar!P61</f>
        <v>0</v>
      </c>
      <c r="I59" s="1000">
        <f>PirteiKisuiBeMutzar!X61</f>
        <v>0</v>
      </c>
      <c r="J59" s="1000">
        <f>PirteiKisuiBeMutzar!Y61</f>
        <v>0</v>
      </c>
      <c r="K59" s="1000">
        <f>PirteiKisuiBeMutzar!AL61</f>
        <v>0</v>
      </c>
      <c r="L59" s="1000">
        <f>PirteiKisuiBeMutzar!AO61</f>
        <v>0</v>
      </c>
      <c r="M59" s="1000">
        <f>PirteiKisuiBeMutzar!AP61</f>
        <v>0</v>
      </c>
    </row>
    <row r="60" spans="1:13" x14ac:dyDescent="0.2">
      <c r="A60" s="178">
        <f>PirteiKisuiBeMutzar!D62</f>
        <v>0</v>
      </c>
      <c r="B60" s="178">
        <f>PirteiKisuiBeMutzar!AQ62</f>
        <v>0</v>
      </c>
      <c r="C60" s="178">
        <f>PirteiKisuiBeMutzar!AM62</f>
        <v>0</v>
      </c>
      <c r="D60" s="1000">
        <f>PirteiKisuiBeMutzar!G62</f>
        <v>0</v>
      </c>
      <c r="E60" s="1000">
        <f>PirteiKisuiBeMutzar!W62</f>
        <v>0</v>
      </c>
      <c r="F60" s="1000">
        <f>PirteiKisuiBeMutzar!K62</f>
        <v>0</v>
      </c>
      <c r="G60" s="1000">
        <f>PirteiKisuiBeMutzar!M62</f>
        <v>0</v>
      </c>
      <c r="H60" s="1000">
        <f>PirteiKisuiBeMutzar!P62</f>
        <v>0</v>
      </c>
      <c r="I60" s="1000">
        <f>PirteiKisuiBeMutzar!X62</f>
        <v>0</v>
      </c>
      <c r="J60" s="1000">
        <f>PirteiKisuiBeMutzar!Y62</f>
        <v>0</v>
      </c>
      <c r="K60" s="1000">
        <f>PirteiKisuiBeMutzar!AL62</f>
        <v>0</v>
      </c>
      <c r="L60" s="1000">
        <f>PirteiKisuiBeMutzar!AO62</f>
        <v>0</v>
      </c>
      <c r="M60" s="1000">
        <f>PirteiKisuiBeMutzar!AP62</f>
        <v>0</v>
      </c>
    </row>
    <row r="61" spans="1:13" x14ac:dyDescent="0.2">
      <c r="A61" s="178">
        <f>PirteiKisuiBeMutzar!D63</f>
        <v>0</v>
      </c>
      <c r="B61" s="178">
        <f>PirteiKisuiBeMutzar!AQ63</f>
        <v>0</v>
      </c>
      <c r="C61" s="178">
        <f>PirteiKisuiBeMutzar!AM63</f>
        <v>0</v>
      </c>
      <c r="D61" s="1000">
        <f>PirteiKisuiBeMutzar!G63</f>
        <v>0</v>
      </c>
      <c r="E61" s="1000">
        <f>PirteiKisuiBeMutzar!W63</f>
        <v>0</v>
      </c>
      <c r="F61" s="1000">
        <f>PirteiKisuiBeMutzar!K63</f>
        <v>0</v>
      </c>
      <c r="G61" s="1000">
        <f>PirteiKisuiBeMutzar!M63</f>
        <v>0</v>
      </c>
      <c r="H61" s="1000">
        <f>PirteiKisuiBeMutzar!P63</f>
        <v>0</v>
      </c>
      <c r="I61" s="1000">
        <f>PirteiKisuiBeMutzar!X63</f>
        <v>0</v>
      </c>
      <c r="J61" s="1000">
        <f>PirteiKisuiBeMutzar!Y63</f>
        <v>0</v>
      </c>
      <c r="K61" s="1000">
        <f>PirteiKisuiBeMutzar!AL63</f>
        <v>0</v>
      </c>
      <c r="L61" s="1000">
        <f>PirteiKisuiBeMutzar!AO63</f>
        <v>0</v>
      </c>
      <c r="M61" s="1000">
        <f>PirteiKisuiBeMutzar!AP63</f>
        <v>0</v>
      </c>
    </row>
    <row r="62" spans="1:13" x14ac:dyDescent="0.2">
      <c r="A62" s="178">
        <f>PirteiKisuiBeMutzar!D64</f>
        <v>0</v>
      </c>
      <c r="B62" s="178">
        <f>PirteiKisuiBeMutzar!AQ64</f>
        <v>0</v>
      </c>
      <c r="C62" s="178">
        <f>PirteiKisuiBeMutzar!AM64</f>
        <v>0</v>
      </c>
      <c r="D62" s="1000">
        <f>PirteiKisuiBeMutzar!G64</f>
        <v>0</v>
      </c>
      <c r="E62" s="1000">
        <f>PirteiKisuiBeMutzar!W64</f>
        <v>0</v>
      </c>
      <c r="F62" s="1000">
        <f>PirteiKisuiBeMutzar!K64</f>
        <v>0</v>
      </c>
      <c r="G62" s="1000">
        <f>PirteiKisuiBeMutzar!M64</f>
        <v>0</v>
      </c>
      <c r="H62" s="1000">
        <f>PirteiKisuiBeMutzar!P64</f>
        <v>0</v>
      </c>
      <c r="I62" s="1000">
        <f>PirteiKisuiBeMutzar!X64</f>
        <v>0</v>
      </c>
      <c r="J62" s="1000">
        <f>PirteiKisuiBeMutzar!Y64</f>
        <v>0</v>
      </c>
      <c r="K62" s="1000">
        <f>PirteiKisuiBeMutzar!AL64</f>
        <v>0</v>
      </c>
      <c r="L62" s="1000">
        <f>PirteiKisuiBeMutzar!AO64</f>
        <v>0</v>
      </c>
      <c r="M62" s="1000">
        <f>PirteiKisuiBeMutzar!AP64</f>
        <v>0</v>
      </c>
    </row>
    <row r="63" spans="1:13" x14ac:dyDescent="0.2">
      <c r="A63" s="178">
        <f>PirteiKisuiBeMutzar!D65</f>
        <v>0</v>
      </c>
      <c r="B63" s="178">
        <f>PirteiKisuiBeMutzar!AQ65</f>
        <v>0</v>
      </c>
      <c r="C63" s="178">
        <f>PirteiKisuiBeMutzar!AM65</f>
        <v>0</v>
      </c>
      <c r="D63" s="1000">
        <f>PirteiKisuiBeMutzar!G65</f>
        <v>0</v>
      </c>
      <c r="E63" s="1000">
        <f>PirteiKisuiBeMutzar!W65</f>
        <v>0</v>
      </c>
      <c r="F63" s="1000">
        <f>PirteiKisuiBeMutzar!K65</f>
        <v>0</v>
      </c>
      <c r="G63" s="1000">
        <f>PirteiKisuiBeMutzar!M65</f>
        <v>0</v>
      </c>
      <c r="H63" s="1000">
        <f>PirteiKisuiBeMutzar!P65</f>
        <v>0</v>
      </c>
      <c r="I63" s="1000">
        <f>PirteiKisuiBeMutzar!X65</f>
        <v>0</v>
      </c>
      <c r="J63" s="1000">
        <f>PirteiKisuiBeMutzar!Y65</f>
        <v>0</v>
      </c>
      <c r="K63" s="1000">
        <f>PirteiKisuiBeMutzar!AL65</f>
        <v>0</v>
      </c>
      <c r="L63" s="1000">
        <f>PirteiKisuiBeMutzar!AO65</f>
        <v>0</v>
      </c>
      <c r="M63" s="1000">
        <f>PirteiKisuiBeMutzar!AP65</f>
        <v>0</v>
      </c>
    </row>
    <row r="64" spans="1:13" x14ac:dyDescent="0.2">
      <c r="A64" s="178">
        <f>PirteiKisuiBeMutzar!D66</f>
        <v>0</v>
      </c>
      <c r="B64" s="178">
        <f>PirteiKisuiBeMutzar!AQ66</f>
        <v>0</v>
      </c>
      <c r="C64" s="178">
        <f>PirteiKisuiBeMutzar!AM66</f>
        <v>0</v>
      </c>
      <c r="D64" s="1000">
        <f>PirteiKisuiBeMutzar!G66</f>
        <v>0</v>
      </c>
      <c r="E64" s="1000">
        <f>PirteiKisuiBeMutzar!W66</f>
        <v>0</v>
      </c>
      <c r="F64" s="1000">
        <f>PirteiKisuiBeMutzar!K66</f>
        <v>0</v>
      </c>
      <c r="G64" s="1000">
        <f>PirteiKisuiBeMutzar!M66</f>
        <v>0</v>
      </c>
      <c r="H64" s="1000">
        <f>PirteiKisuiBeMutzar!P66</f>
        <v>0</v>
      </c>
      <c r="I64" s="1000">
        <f>PirteiKisuiBeMutzar!X66</f>
        <v>0</v>
      </c>
      <c r="J64" s="1000">
        <f>PirteiKisuiBeMutzar!Y66</f>
        <v>0</v>
      </c>
      <c r="K64" s="1000">
        <f>PirteiKisuiBeMutzar!AL66</f>
        <v>0</v>
      </c>
      <c r="L64" s="1000">
        <f>PirteiKisuiBeMutzar!AO66</f>
        <v>0</v>
      </c>
      <c r="M64" s="1000">
        <f>PirteiKisuiBeMutzar!AP66</f>
        <v>0</v>
      </c>
    </row>
    <row r="65" spans="1:13" x14ac:dyDescent="0.2">
      <c r="A65" s="178">
        <f>PirteiKisuiBeMutzar!D67</f>
        <v>0</v>
      </c>
      <c r="B65" s="178">
        <f>PirteiKisuiBeMutzar!AQ67</f>
        <v>0</v>
      </c>
      <c r="C65" s="178">
        <f>PirteiKisuiBeMutzar!AM67</f>
        <v>0</v>
      </c>
      <c r="D65" s="1000">
        <f>PirteiKisuiBeMutzar!G67</f>
        <v>0</v>
      </c>
      <c r="E65" s="1000">
        <f>PirteiKisuiBeMutzar!W67</f>
        <v>0</v>
      </c>
      <c r="F65" s="1000">
        <f>PirteiKisuiBeMutzar!K67</f>
        <v>0</v>
      </c>
      <c r="G65" s="1000">
        <f>PirteiKisuiBeMutzar!M67</f>
        <v>0</v>
      </c>
      <c r="H65" s="1000">
        <f>PirteiKisuiBeMutzar!P67</f>
        <v>0</v>
      </c>
      <c r="I65" s="1000">
        <f>PirteiKisuiBeMutzar!X67</f>
        <v>0</v>
      </c>
      <c r="J65" s="1000">
        <f>PirteiKisuiBeMutzar!Y67</f>
        <v>0</v>
      </c>
      <c r="K65" s="1000">
        <f>PirteiKisuiBeMutzar!AL67</f>
        <v>0</v>
      </c>
      <c r="L65" s="1000">
        <f>PirteiKisuiBeMutzar!AO67</f>
        <v>0</v>
      </c>
      <c r="M65" s="1000">
        <f>PirteiKisuiBeMutzar!AP67</f>
        <v>0</v>
      </c>
    </row>
    <row r="66" spans="1:13" x14ac:dyDescent="0.2">
      <c r="A66" s="178">
        <f>PirteiKisuiBeMutzar!D68</f>
        <v>0</v>
      </c>
      <c r="B66" s="178">
        <f>PirteiKisuiBeMutzar!AQ68</f>
        <v>0</v>
      </c>
      <c r="C66" s="178">
        <f>PirteiKisuiBeMutzar!AM68</f>
        <v>0</v>
      </c>
      <c r="D66" s="1000">
        <f>PirteiKisuiBeMutzar!G68</f>
        <v>0</v>
      </c>
      <c r="E66" s="1000">
        <f>PirteiKisuiBeMutzar!W68</f>
        <v>0</v>
      </c>
      <c r="F66" s="1000">
        <f>PirteiKisuiBeMutzar!K68</f>
        <v>0</v>
      </c>
      <c r="G66" s="1000">
        <f>PirteiKisuiBeMutzar!M68</f>
        <v>0</v>
      </c>
      <c r="H66" s="1000">
        <f>PirteiKisuiBeMutzar!P68</f>
        <v>0</v>
      </c>
      <c r="I66" s="1000">
        <f>PirteiKisuiBeMutzar!X68</f>
        <v>0</v>
      </c>
      <c r="J66" s="1000">
        <f>PirteiKisuiBeMutzar!Y68</f>
        <v>0</v>
      </c>
      <c r="K66" s="1000">
        <f>PirteiKisuiBeMutzar!AL68</f>
        <v>0</v>
      </c>
      <c r="L66" s="1000">
        <f>PirteiKisuiBeMutzar!AO68</f>
        <v>0</v>
      </c>
      <c r="M66" s="1000">
        <f>PirteiKisuiBeMutzar!AP68</f>
        <v>0</v>
      </c>
    </row>
    <row r="67" spans="1:13" x14ac:dyDescent="0.2">
      <c r="A67" s="178">
        <f>PirteiKisuiBeMutzar!D69</f>
        <v>0</v>
      </c>
      <c r="B67" s="178">
        <f>PirteiKisuiBeMutzar!AQ69</f>
        <v>0</v>
      </c>
      <c r="C67" s="178">
        <f>PirteiKisuiBeMutzar!AM69</f>
        <v>0</v>
      </c>
      <c r="D67" s="1000">
        <f>PirteiKisuiBeMutzar!G69</f>
        <v>0</v>
      </c>
      <c r="E67" s="1000">
        <f>PirteiKisuiBeMutzar!W69</f>
        <v>0</v>
      </c>
      <c r="F67" s="1000">
        <f>PirteiKisuiBeMutzar!K69</f>
        <v>0</v>
      </c>
      <c r="G67" s="1000">
        <f>PirteiKisuiBeMutzar!M69</f>
        <v>0</v>
      </c>
      <c r="H67" s="1000">
        <f>PirteiKisuiBeMutzar!P69</f>
        <v>0</v>
      </c>
      <c r="I67" s="1000">
        <f>PirteiKisuiBeMutzar!X69</f>
        <v>0</v>
      </c>
      <c r="J67" s="1000">
        <f>PirteiKisuiBeMutzar!Y69</f>
        <v>0</v>
      </c>
      <c r="K67" s="1000">
        <f>PirteiKisuiBeMutzar!AL69</f>
        <v>0</v>
      </c>
      <c r="L67" s="1000">
        <f>PirteiKisuiBeMutzar!AO69</f>
        <v>0</v>
      </c>
      <c r="M67" s="1000">
        <f>PirteiKisuiBeMutzar!AP69</f>
        <v>0</v>
      </c>
    </row>
    <row r="68" spans="1:13" x14ac:dyDescent="0.2">
      <c r="A68" s="178">
        <f>PirteiKisuiBeMutzar!D70</f>
        <v>0</v>
      </c>
      <c r="B68" s="178">
        <f>PirteiKisuiBeMutzar!AQ70</f>
        <v>0</v>
      </c>
      <c r="C68" s="178">
        <f>PirteiKisuiBeMutzar!AM70</f>
        <v>0</v>
      </c>
      <c r="D68" s="1000">
        <f>PirteiKisuiBeMutzar!G70</f>
        <v>0</v>
      </c>
      <c r="E68" s="1000">
        <f>PirteiKisuiBeMutzar!W70</f>
        <v>0</v>
      </c>
      <c r="F68" s="1000">
        <f>PirteiKisuiBeMutzar!K70</f>
        <v>0</v>
      </c>
      <c r="G68" s="1000">
        <f>PirteiKisuiBeMutzar!M70</f>
        <v>0</v>
      </c>
      <c r="H68" s="1000">
        <f>PirteiKisuiBeMutzar!P70</f>
        <v>0</v>
      </c>
      <c r="I68" s="1000">
        <f>PirteiKisuiBeMutzar!X70</f>
        <v>0</v>
      </c>
      <c r="J68" s="1000">
        <f>PirteiKisuiBeMutzar!Y70</f>
        <v>0</v>
      </c>
      <c r="K68" s="1000">
        <f>PirteiKisuiBeMutzar!AL70</f>
        <v>0</v>
      </c>
      <c r="L68" s="1000">
        <f>PirteiKisuiBeMutzar!AO70</f>
        <v>0</v>
      </c>
      <c r="M68" s="1000">
        <f>PirteiKisuiBeMutzar!AP70</f>
        <v>0</v>
      </c>
    </row>
    <row r="69" spans="1:13" x14ac:dyDescent="0.2">
      <c r="A69" s="178">
        <f>PirteiKisuiBeMutzar!D71</f>
        <v>0</v>
      </c>
      <c r="B69" s="178">
        <f>PirteiKisuiBeMutzar!AQ71</f>
        <v>0</v>
      </c>
      <c r="C69" s="178">
        <f>PirteiKisuiBeMutzar!AM71</f>
        <v>0</v>
      </c>
      <c r="D69" s="1000">
        <f>PirteiKisuiBeMutzar!G71</f>
        <v>0</v>
      </c>
      <c r="E69" s="1000">
        <f>PirteiKisuiBeMutzar!W71</f>
        <v>0</v>
      </c>
      <c r="F69" s="1000">
        <f>PirteiKisuiBeMutzar!K71</f>
        <v>0</v>
      </c>
      <c r="G69" s="1000">
        <f>PirteiKisuiBeMutzar!M71</f>
        <v>0</v>
      </c>
      <c r="H69" s="1000">
        <f>PirteiKisuiBeMutzar!P71</f>
        <v>0</v>
      </c>
      <c r="I69" s="1000">
        <f>PirteiKisuiBeMutzar!X71</f>
        <v>0</v>
      </c>
      <c r="J69" s="1000">
        <f>PirteiKisuiBeMutzar!Y71</f>
        <v>0</v>
      </c>
      <c r="K69" s="1000">
        <f>PirteiKisuiBeMutzar!AL71</f>
        <v>0</v>
      </c>
      <c r="L69" s="1000">
        <f>PirteiKisuiBeMutzar!AO71</f>
        <v>0</v>
      </c>
      <c r="M69" s="1000">
        <f>PirteiKisuiBeMutzar!AP71</f>
        <v>0</v>
      </c>
    </row>
    <row r="70" spans="1:13" x14ac:dyDescent="0.2">
      <c r="A70" s="178">
        <f>PirteiKisuiBeMutzar!D72</f>
        <v>0</v>
      </c>
      <c r="B70" s="178">
        <f>PirteiKisuiBeMutzar!AQ72</f>
        <v>0</v>
      </c>
      <c r="C70" s="178">
        <f>PirteiKisuiBeMutzar!AM72</f>
        <v>0</v>
      </c>
      <c r="D70" s="1000">
        <f>PirteiKisuiBeMutzar!G72</f>
        <v>0</v>
      </c>
      <c r="E70" s="1000">
        <f>PirteiKisuiBeMutzar!W72</f>
        <v>0</v>
      </c>
      <c r="F70" s="1000">
        <f>PirteiKisuiBeMutzar!K72</f>
        <v>0</v>
      </c>
      <c r="G70" s="1000">
        <f>PirteiKisuiBeMutzar!M72</f>
        <v>0</v>
      </c>
      <c r="H70" s="1000">
        <f>PirteiKisuiBeMutzar!P72</f>
        <v>0</v>
      </c>
      <c r="I70" s="1000">
        <f>PirteiKisuiBeMutzar!X72</f>
        <v>0</v>
      </c>
      <c r="J70" s="1000">
        <f>PirteiKisuiBeMutzar!Y72</f>
        <v>0</v>
      </c>
      <c r="K70" s="1000">
        <f>PirteiKisuiBeMutzar!AL72</f>
        <v>0</v>
      </c>
      <c r="L70" s="1000">
        <f>PirteiKisuiBeMutzar!AO72</f>
        <v>0</v>
      </c>
      <c r="M70" s="1000">
        <f>PirteiKisuiBeMutzar!AP72</f>
        <v>0</v>
      </c>
    </row>
    <row r="71" spans="1:13" x14ac:dyDescent="0.2">
      <c r="A71" s="178">
        <f>PirteiKisuiBeMutzar!D73</f>
        <v>0</v>
      </c>
      <c r="B71" s="178">
        <f>PirteiKisuiBeMutzar!AQ73</f>
        <v>0</v>
      </c>
      <c r="C71" s="178">
        <f>PirteiKisuiBeMutzar!AM73</f>
        <v>0</v>
      </c>
      <c r="D71" s="1000">
        <f>PirteiKisuiBeMutzar!G73</f>
        <v>0</v>
      </c>
      <c r="E71" s="1000">
        <f>PirteiKisuiBeMutzar!W73</f>
        <v>0</v>
      </c>
      <c r="F71" s="1000">
        <f>PirteiKisuiBeMutzar!K73</f>
        <v>0</v>
      </c>
      <c r="G71" s="1000">
        <f>PirteiKisuiBeMutzar!M73</f>
        <v>0</v>
      </c>
      <c r="H71" s="1000">
        <f>PirteiKisuiBeMutzar!P73</f>
        <v>0</v>
      </c>
      <c r="I71" s="1000">
        <f>PirteiKisuiBeMutzar!X73</f>
        <v>0</v>
      </c>
      <c r="J71" s="1000">
        <f>PirteiKisuiBeMutzar!Y73</f>
        <v>0</v>
      </c>
      <c r="K71" s="1000">
        <f>PirteiKisuiBeMutzar!AL73</f>
        <v>0</v>
      </c>
      <c r="L71" s="1000">
        <f>PirteiKisuiBeMutzar!AO73</f>
        <v>0</v>
      </c>
      <c r="M71" s="1000">
        <f>PirteiKisuiBeMutzar!AP73</f>
        <v>0</v>
      </c>
    </row>
    <row r="72" spans="1:13" x14ac:dyDescent="0.2">
      <c r="A72" s="178">
        <f>PirteiKisuiBeMutzar!D74</f>
        <v>0</v>
      </c>
      <c r="B72" s="178">
        <f>PirteiKisuiBeMutzar!AQ74</f>
        <v>0</v>
      </c>
      <c r="C72" s="178">
        <f>PirteiKisuiBeMutzar!AM74</f>
        <v>0</v>
      </c>
      <c r="D72" s="1000">
        <f>PirteiKisuiBeMutzar!G74</f>
        <v>0</v>
      </c>
      <c r="E72" s="1000">
        <f>PirteiKisuiBeMutzar!W74</f>
        <v>0</v>
      </c>
      <c r="F72" s="1000">
        <f>PirteiKisuiBeMutzar!K74</f>
        <v>0</v>
      </c>
      <c r="G72" s="1000">
        <f>PirteiKisuiBeMutzar!M74</f>
        <v>0</v>
      </c>
      <c r="H72" s="1000">
        <f>PirteiKisuiBeMutzar!P74</f>
        <v>0</v>
      </c>
      <c r="I72" s="1000">
        <f>PirteiKisuiBeMutzar!X74</f>
        <v>0</v>
      </c>
      <c r="J72" s="1000">
        <f>PirteiKisuiBeMutzar!Y74</f>
        <v>0</v>
      </c>
      <c r="K72" s="1000">
        <f>PirteiKisuiBeMutzar!AL74</f>
        <v>0</v>
      </c>
      <c r="L72" s="1000">
        <f>PirteiKisuiBeMutzar!AO74</f>
        <v>0</v>
      </c>
      <c r="M72" s="1000">
        <f>PirteiKisuiBeMutzar!AP74</f>
        <v>0</v>
      </c>
    </row>
    <row r="73" spans="1:13" x14ac:dyDescent="0.2">
      <c r="A73" s="178">
        <f>PirteiKisuiBeMutzar!D75</f>
        <v>0</v>
      </c>
      <c r="B73" s="178">
        <f>PirteiKisuiBeMutzar!AQ75</f>
        <v>0</v>
      </c>
      <c r="C73" s="178">
        <f>PirteiKisuiBeMutzar!AM75</f>
        <v>0</v>
      </c>
      <c r="D73" s="1000">
        <f>PirteiKisuiBeMutzar!G75</f>
        <v>0</v>
      </c>
      <c r="E73" s="1000">
        <f>PirteiKisuiBeMutzar!W75</f>
        <v>0</v>
      </c>
      <c r="F73" s="1000">
        <f>PirteiKisuiBeMutzar!K75</f>
        <v>0</v>
      </c>
      <c r="G73" s="1000">
        <f>PirteiKisuiBeMutzar!M75</f>
        <v>0</v>
      </c>
      <c r="H73" s="1000">
        <f>PirteiKisuiBeMutzar!P75</f>
        <v>0</v>
      </c>
      <c r="I73" s="1000">
        <f>PirteiKisuiBeMutzar!X75</f>
        <v>0</v>
      </c>
      <c r="J73" s="1000">
        <f>PirteiKisuiBeMutzar!Y75</f>
        <v>0</v>
      </c>
      <c r="K73" s="1000">
        <f>PirteiKisuiBeMutzar!AL75</f>
        <v>0</v>
      </c>
      <c r="L73" s="1000">
        <f>PirteiKisuiBeMutzar!AO75</f>
        <v>0</v>
      </c>
      <c r="M73" s="1000">
        <f>PirteiKisuiBeMutzar!AP75</f>
        <v>0</v>
      </c>
    </row>
    <row r="74" spans="1:13" x14ac:dyDescent="0.2">
      <c r="A74" s="178">
        <f>PirteiKisuiBeMutzar!D76</f>
        <v>0</v>
      </c>
      <c r="B74" s="178">
        <f>PirteiKisuiBeMutzar!AQ76</f>
        <v>0</v>
      </c>
      <c r="C74" s="178">
        <f>PirteiKisuiBeMutzar!AM76</f>
        <v>0</v>
      </c>
      <c r="D74" s="1000">
        <f>PirteiKisuiBeMutzar!G76</f>
        <v>0</v>
      </c>
      <c r="E74" s="1000">
        <f>PirteiKisuiBeMutzar!W76</f>
        <v>0</v>
      </c>
      <c r="F74" s="1000">
        <f>PirteiKisuiBeMutzar!K76</f>
        <v>0</v>
      </c>
      <c r="G74" s="1000">
        <f>PirteiKisuiBeMutzar!M76</f>
        <v>0</v>
      </c>
      <c r="H74" s="1000">
        <f>PirteiKisuiBeMutzar!P76</f>
        <v>0</v>
      </c>
      <c r="I74" s="1000">
        <f>PirteiKisuiBeMutzar!X76</f>
        <v>0</v>
      </c>
      <c r="J74" s="1000">
        <f>PirteiKisuiBeMutzar!Y76</f>
        <v>0</v>
      </c>
      <c r="K74" s="1000">
        <f>PirteiKisuiBeMutzar!AL76</f>
        <v>0</v>
      </c>
      <c r="L74" s="1000">
        <f>PirteiKisuiBeMutzar!AO76</f>
        <v>0</v>
      </c>
      <c r="M74" s="1000">
        <f>PirteiKisuiBeMutzar!AP76</f>
        <v>0</v>
      </c>
    </row>
    <row r="75" spans="1:13" x14ac:dyDescent="0.2">
      <c r="A75" s="178">
        <f>PirteiKisuiBeMutzar!D77</f>
        <v>0</v>
      </c>
      <c r="B75" s="178">
        <f>PirteiKisuiBeMutzar!AQ77</f>
        <v>0</v>
      </c>
      <c r="C75" s="178">
        <f>PirteiKisuiBeMutzar!AM77</f>
        <v>0</v>
      </c>
      <c r="D75" s="1000">
        <f>PirteiKisuiBeMutzar!G77</f>
        <v>0</v>
      </c>
      <c r="E75" s="1000">
        <f>PirteiKisuiBeMutzar!W77</f>
        <v>0</v>
      </c>
      <c r="F75" s="1000">
        <f>PirteiKisuiBeMutzar!K77</f>
        <v>0</v>
      </c>
      <c r="G75" s="1000">
        <f>PirteiKisuiBeMutzar!M77</f>
        <v>0</v>
      </c>
      <c r="H75" s="1000">
        <f>PirteiKisuiBeMutzar!P77</f>
        <v>0</v>
      </c>
      <c r="I75" s="1000">
        <f>PirteiKisuiBeMutzar!X77</f>
        <v>0</v>
      </c>
      <c r="J75" s="1000">
        <f>PirteiKisuiBeMutzar!Y77</f>
        <v>0</v>
      </c>
      <c r="K75" s="1000">
        <f>PirteiKisuiBeMutzar!AL77</f>
        <v>0</v>
      </c>
      <c r="L75" s="1000">
        <f>PirteiKisuiBeMutzar!AO77</f>
        <v>0</v>
      </c>
      <c r="M75" s="1000">
        <f>PirteiKisuiBeMutzar!AP77</f>
        <v>0</v>
      </c>
    </row>
    <row r="76" spans="1:13" x14ac:dyDescent="0.2">
      <c r="A76" s="178">
        <f>PirteiKisuiBeMutzar!D78</f>
        <v>0</v>
      </c>
      <c r="B76" s="178">
        <f>PirteiKisuiBeMutzar!AQ78</f>
        <v>0</v>
      </c>
      <c r="C76" s="178">
        <f>PirteiKisuiBeMutzar!AM78</f>
        <v>0</v>
      </c>
      <c r="D76" s="1000">
        <f>PirteiKisuiBeMutzar!G78</f>
        <v>0</v>
      </c>
      <c r="E76" s="1000">
        <f>PirteiKisuiBeMutzar!W78</f>
        <v>0</v>
      </c>
      <c r="F76" s="1000">
        <f>PirteiKisuiBeMutzar!K78</f>
        <v>0</v>
      </c>
      <c r="G76" s="1000">
        <f>PirteiKisuiBeMutzar!M78</f>
        <v>0</v>
      </c>
      <c r="H76" s="1000">
        <f>PirteiKisuiBeMutzar!P78</f>
        <v>0</v>
      </c>
      <c r="I76" s="1000">
        <f>PirteiKisuiBeMutzar!X78</f>
        <v>0</v>
      </c>
      <c r="J76" s="1000">
        <f>PirteiKisuiBeMutzar!Y78</f>
        <v>0</v>
      </c>
      <c r="K76" s="1000">
        <f>PirteiKisuiBeMutzar!AL78</f>
        <v>0</v>
      </c>
      <c r="L76" s="1000">
        <f>PirteiKisuiBeMutzar!AO78</f>
        <v>0</v>
      </c>
      <c r="M76" s="1000">
        <f>PirteiKisuiBeMutzar!AP78</f>
        <v>0</v>
      </c>
    </row>
    <row r="77" spans="1:13" x14ac:dyDescent="0.2">
      <c r="A77" s="178">
        <f>PirteiKisuiBeMutzar!D79</f>
        <v>0</v>
      </c>
      <c r="B77" s="178">
        <f>PirteiKisuiBeMutzar!AQ79</f>
        <v>0</v>
      </c>
      <c r="C77" s="178">
        <f>PirteiKisuiBeMutzar!AM79</f>
        <v>0</v>
      </c>
      <c r="D77" s="1000">
        <f>PirteiKisuiBeMutzar!G79</f>
        <v>0</v>
      </c>
      <c r="E77" s="1000">
        <f>PirteiKisuiBeMutzar!W79</f>
        <v>0</v>
      </c>
      <c r="F77" s="1000">
        <f>PirteiKisuiBeMutzar!K79</f>
        <v>0</v>
      </c>
      <c r="G77" s="1000">
        <f>PirteiKisuiBeMutzar!M79</f>
        <v>0</v>
      </c>
      <c r="H77" s="1000">
        <f>PirteiKisuiBeMutzar!P79</f>
        <v>0</v>
      </c>
      <c r="I77" s="1000">
        <f>PirteiKisuiBeMutzar!X79</f>
        <v>0</v>
      </c>
      <c r="J77" s="1000">
        <f>PirteiKisuiBeMutzar!Y79</f>
        <v>0</v>
      </c>
      <c r="K77" s="1000">
        <f>PirteiKisuiBeMutzar!AL79</f>
        <v>0</v>
      </c>
      <c r="L77" s="1000">
        <f>PirteiKisuiBeMutzar!AO79</f>
        <v>0</v>
      </c>
      <c r="M77" s="1000">
        <f>PirteiKisuiBeMutzar!AP79</f>
        <v>0</v>
      </c>
    </row>
    <row r="78" spans="1:13" x14ac:dyDescent="0.2">
      <c r="A78" s="178">
        <f>PirteiKisuiBeMutzar!D80</f>
        <v>0</v>
      </c>
      <c r="B78" s="178">
        <f>PirteiKisuiBeMutzar!AQ80</f>
        <v>0</v>
      </c>
      <c r="C78" s="178">
        <f>PirteiKisuiBeMutzar!AM80</f>
        <v>0</v>
      </c>
      <c r="D78" s="1000">
        <f>PirteiKisuiBeMutzar!G80</f>
        <v>0</v>
      </c>
      <c r="E78" s="1000">
        <f>PirteiKisuiBeMutzar!W80</f>
        <v>0</v>
      </c>
      <c r="F78" s="1000">
        <f>PirteiKisuiBeMutzar!K80</f>
        <v>0</v>
      </c>
      <c r="G78" s="1000">
        <f>PirteiKisuiBeMutzar!M80</f>
        <v>0</v>
      </c>
      <c r="H78" s="1000">
        <f>PirteiKisuiBeMutzar!P80</f>
        <v>0</v>
      </c>
      <c r="I78" s="1000">
        <f>PirteiKisuiBeMutzar!X80</f>
        <v>0</v>
      </c>
      <c r="J78" s="1000">
        <f>PirteiKisuiBeMutzar!Y80</f>
        <v>0</v>
      </c>
      <c r="K78" s="1000">
        <f>PirteiKisuiBeMutzar!AL80</f>
        <v>0</v>
      </c>
      <c r="L78" s="1000">
        <f>PirteiKisuiBeMutzar!AO80</f>
        <v>0</v>
      </c>
      <c r="M78" s="1000">
        <f>PirteiKisuiBeMutzar!AP80</f>
        <v>0</v>
      </c>
    </row>
    <row r="79" spans="1:13" x14ac:dyDescent="0.2">
      <c r="A79" s="178">
        <f>PirteiKisuiBeMutzar!D81</f>
        <v>0</v>
      </c>
      <c r="B79" s="178">
        <f>PirteiKisuiBeMutzar!AQ81</f>
        <v>0</v>
      </c>
      <c r="C79" s="178">
        <f>PirteiKisuiBeMutzar!AM81</f>
        <v>0</v>
      </c>
      <c r="D79" s="1000">
        <f>PirteiKisuiBeMutzar!G81</f>
        <v>0</v>
      </c>
      <c r="E79" s="1000">
        <f>PirteiKisuiBeMutzar!W81</f>
        <v>0</v>
      </c>
      <c r="F79" s="1000">
        <f>PirteiKisuiBeMutzar!K81</f>
        <v>0</v>
      </c>
      <c r="G79" s="1000">
        <f>PirteiKisuiBeMutzar!M81</f>
        <v>0</v>
      </c>
      <c r="H79" s="1000">
        <f>PirteiKisuiBeMutzar!P81</f>
        <v>0</v>
      </c>
      <c r="I79" s="1000">
        <f>PirteiKisuiBeMutzar!X81</f>
        <v>0</v>
      </c>
      <c r="J79" s="1000">
        <f>PirteiKisuiBeMutzar!Y81</f>
        <v>0</v>
      </c>
      <c r="K79" s="1000">
        <f>PirteiKisuiBeMutzar!AL81</f>
        <v>0</v>
      </c>
      <c r="L79" s="1000">
        <f>PirteiKisuiBeMutzar!AO81</f>
        <v>0</v>
      </c>
      <c r="M79" s="1000">
        <f>PirteiKisuiBeMutzar!AP81</f>
        <v>0</v>
      </c>
    </row>
    <row r="80" spans="1:13" x14ac:dyDescent="0.2">
      <c r="A80" s="178">
        <f>PirteiKisuiBeMutzar!D82</f>
        <v>0</v>
      </c>
      <c r="B80" s="178">
        <f>PirteiKisuiBeMutzar!AQ82</f>
        <v>0</v>
      </c>
      <c r="C80" s="178">
        <f>PirteiKisuiBeMutzar!AM82</f>
        <v>0</v>
      </c>
      <c r="D80" s="1000">
        <f>PirteiKisuiBeMutzar!G82</f>
        <v>0</v>
      </c>
      <c r="E80" s="1000">
        <f>PirteiKisuiBeMutzar!W82</f>
        <v>0</v>
      </c>
      <c r="F80" s="1000">
        <f>PirteiKisuiBeMutzar!K82</f>
        <v>0</v>
      </c>
      <c r="G80" s="1000">
        <f>PirteiKisuiBeMutzar!M82</f>
        <v>0</v>
      </c>
      <c r="H80" s="1000">
        <f>PirteiKisuiBeMutzar!P82</f>
        <v>0</v>
      </c>
      <c r="I80" s="1000">
        <f>PirteiKisuiBeMutzar!X82</f>
        <v>0</v>
      </c>
      <c r="J80" s="1000">
        <f>PirteiKisuiBeMutzar!Y82</f>
        <v>0</v>
      </c>
      <c r="K80" s="1000">
        <f>PirteiKisuiBeMutzar!AL82</f>
        <v>0</v>
      </c>
      <c r="L80" s="1000">
        <f>PirteiKisuiBeMutzar!AO82</f>
        <v>0</v>
      </c>
      <c r="M80" s="1000">
        <f>PirteiKisuiBeMutzar!AP82</f>
        <v>0</v>
      </c>
    </row>
    <row r="81" spans="1:13" x14ac:dyDescent="0.2">
      <c r="A81" s="178">
        <f>PirteiKisuiBeMutzar!D83</f>
        <v>0</v>
      </c>
      <c r="B81" s="178">
        <f>PirteiKisuiBeMutzar!AQ83</f>
        <v>0</v>
      </c>
      <c r="C81" s="178">
        <f>PirteiKisuiBeMutzar!AM83</f>
        <v>0</v>
      </c>
      <c r="D81" s="1000">
        <f>PirteiKisuiBeMutzar!G83</f>
        <v>0</v>
      </c>
      <c r="E81" s="1000">
        <f>PirteiKisuiBeMutzar!W83</f>
        <v>0</v>
      </c>
      <c r="F81" s="1000">
        <f>PirteiKisuiBeMutzar!K83</f>
        <v>0</v>
      </c>
      <c r="G81" s="1000">
        <f>PirteiKisuiBeMutzar!M83</f>
        <v>0</v>
      </c>
      <c r="H81" s="1000">
        <f>PirteiKisuiBeMutzar!P83</f>
        <v>0</v>
      </c>
      <c r="I81" s="1000">
        <f>PirteiKisuiBeMutzar!X83</f>
        <v>0</v>
      </c>
      <c r="J81" s="1000">
        <f>PirteiKisuiBeMutzar!Y83</f>
        <v>0</v>
      </c>
      <c r="K81" s="1000">
        <f>PirteiKisuiBeMutzar!AL83</f>
        <v>0</v>
      </c>
      <c r="L81" s="1000">
        <f>PirteiKisuiBeMutzar!AO83</f>
        <v>0</v>
      </c>
      <c r="M81" s="1000">
        <f>PirteiKisuiBeMutzar!AP83</f>
        <v>0</v>
      </c>
    </row>
    <row r="82" spans="1:13" x14ac:dyDescent="0.2">
      <c r="A82" s="178">
        <f>PirteiKisuiBeMutzar!D84</f>
        <v>0</v>
      </c>
      <c r="B82" s="178">
        <f>PirteiKisuiBeMutzar!AQ84</f>
        <v>0</v>
      </c>
      <c r="C82" s="178">
        <f>PirteiKisuiBeMutzar!AM84</f>
        <v>0</v>
      </c>
      <c r="D82" s="1000">
        <f>PirteiKisuiBeMutzar!G84</f>
        <v>0</v>
      </c>
      <c r="E82" s="1000">
        <f>PirteiKisuiBeMutzar!W84</f>
        <v>0</v>
      </c>
      <c r="F82" s="1000">
        <f>PirteiKisuiBeMutzar!K84</f>
        <v>0</v>
      </c>
      <c r="G82" s="1000">
        <f>PirteiKisuiBeMutzar!M84</f>
        <v>0</v>
      </c>
      <c r="H82" s="1000">
        <f>PirteiKisuiBeMutzar!P84</f>
        <v>0</v>
      </c>
      <c r="I82" s="1000">
        <f>PirteiKisuiBeMutzar!X84</f>
        <v>0</v>
      </c>
      <c r="J82" s="1000">
        <f>PirteiKisuiBeMutzar!Y84</f>
        <v>0</v>
      </c>
      <c r="K82" s="1000">
        <f>PirteiKisuiBeMutzar!AL84</f>
        <v>0</v>
      </c>
      <c r="L82" s="1000">
        <f>PirteiKisuiBeMutzar!AO84</f>
        <v>0</v>
      </c>
      <c r="M82" s="1000">
        <f>PirteiKisuiBeMutzar!AP84</f>
        <v>0</v>
      </c>
    </row>
    <row r="83" spans="1:13" x14ac:dyDescent="0.2">
      <c r="A83" s="178">
        <f>PirteiKisuiBeMutzar!D85</f>
        <v>0</v>
      </c>
      <c r="B83" s="178">
        <f>PirteiKisuiBeMutzar!AQ85</f>
        <v>0</v>
      </c>
      <c r="C83" s="178">
        <f>PirteiKisuiBeMutzar!AM85</f>
        <v>0</v>
      </c>
      <c r="D83" s="1000">
        <f>PirteiKisuiBeMutzar!G85</f>
        <v>0</v>
      </c>
      <c r="E83" s="1000">
        <f>PirteiKisuiBeMutzar!W85</f>
        <v>0</v>
      </c>
      <c r="F83" s="1000">
        <f>PirteiKisuiBeMutzar!K85</f>
        <v>0</v>
      </c>
      <c r="G83" s="1000">
        <f>PirteiKisuiBeMutzar!M85</f>
        <v>0</v>
      </c>
      <c r="H83" s="1000">
        <f>PirteiKisuiBeMutzar!P85</f>
        <v>0</v>
      </c>
      <c r="I83" s="1000">
        <f>PirteiKisuiBeMutzar!X85</f>
        <v>0</v>
      </c>
      <c r="J83" s="1000">
        <f>PirteiKisuiBeMutzar!Y85</f>
        <v>0</v>
      </c>
      <c r="K83" s="1000">
        <f>PirteiKisuiBeMutzar!AL85</f>
        <v>0</v>
      </c>
      <c r="L83" s="1000">
        <f>PirteiKisuiBeMutzar!AO85</f>
        <v>0</v>
      </c>
      <c r="M83" s="1000">
        <f>PirteiKisuiBeMutzar!AP85</f>
        <v>0</v>
      </c>
    </row>
    <row r="84" spans="1:13" x14ac:dyDescent="0.2">
      <c r="A84" s="178">
        <f>PirteiKisuiBeMutzar!D86</f>
        <v>0</v>
      </c>
      <c r="B84" s="178">
        <f>PirteiKisuiBeMutzar!AQ86</f>
        <v>0</v>
      </c>
      <c r="C84" s="178">
        <f>PirteiKisuiBeMutzar!AM86</f>
        <v>0</v>
      </c>
      <c r="D84" s="1000">
        <f>PirteiKisuiBeMutzar!G86</f>
        <v>0</v>
      </c>
      <c r="E84" s="1000">
        <f>PirteiKisuiBeMutzar!W86</f>
        <v>0</v>
      </c>
      <c r="F84" s="1000">
        <f>PirteiKisuiBeMutzar!K86</f>
        <v>0</v>
      </c>
      <c r="G84" s="1000">
        <f>PirteiKisuiBeMutzar!M86</f>
        <v>0</v>
      </c>
      <c r="H84" s="1000">
        <f>PirteiKisuiBeMutzar!P86</f>
        <v>0</v>
      </c>
      <c r="I84" s="1000">
        <f>PirteiKisuiBeMutzar!X86</f>
        <v>0</v>
      </c>
      <c r="J84" s="1000">
        <f>PirteiKisuiBeMutzar!Y86</f>
        <v>0</v>
      </c>
      <c r="K84" s="1000">
        <f>PirteiKisuiBeMutzar!AL86</f>
        <v>0</v>
      </c>
      <c r="L84" s="1000">
        <f>PirteiKisuiBeMutzar!AO86</f>
        <v>0</v>
      </c>
      <c r="M84" s="1000">
        <f>PirteiKisuiBeMutzar!AP86</f>
        <v>0</v>
      </c>
    </row>
    <row r="85" spans="1:13" x14ac:dyDescent="0.2">
      <c r="A85" s="178">
        <f>PirteiKisuiBeMutzar!D87</f>
        <v>0</v>
      </c>
      <c r="B85" s="178">
        <f>PirteiKisuiBeMutzar!AQ87</f>
        <v>0</v>
      </c>
      <c r="C85" s="178">
        <f>PirteiKisuiBeMutzar!AM87</f>
        <v>0</v>
      </c>
      <c r="D85" s="1000">
        <f>PirteiKisuiBeMutzar!G87</f>
        <v>0</v>
      </c>
      <c r="E85" s="1000">
        <f>PirteiKisuiBeMutzar!W87</f>
        <v>0</v>
      </c>
      <c r="F85" s="1000">
        <f>PirteiKisuiBeMutzar!K87</f>
        <v>0</v>
      </c>
      <c r="G85" s="1000">
        <f>PirteiKisuiBeMutzar!M87</f>
        <v>0</v>
      </c>
      <c r="H85" s="1000">
        <f>PirteiKisuiBeMutzar!P87</f>
        <v>0</v>
      </c>
      <c r="I85" s="1000">
        <f>PirteiKisuiBeMutzar!X87</f>
        <v>0</v>
      </c>
      <c r="J85" s="1000">
        <f>PirteiKisuiBeMutzar!Y87</f>
        <v>0</v>
      </c>
      <c r="K85" s="1000">
        <f>PirteiKisuiBeMutzar!AL87</f>
        <v>0</v>
      </c>
      <c r="L85" s="1000">
        <f>PirteiKisuiBeMutzar!AO87</f>
        <v>0</v>
      </c>
      <c r="M85" s="1000">
        <f>PirteiKisuiBeMutzar!AP87</f>
        <v>0</v>
      </c>
    </row>
    <row r="86" spans="1:13" x14ac:dyDescent="0.2">
      <c r="A86" s="178">
        <f>PirteiKisuiBeMutzar!D88</f>
        <v>0</v>
      </c>
      <c r="B86" s="178">
        <f>PirteiKisuiBeMutzar!AQ88</f>
        <v>0</v>
      </c>
      <c r="C86" s="178">
        <f>PirteiKisuiBeMutzar!AM88</f>
        <v>0</v>
      </c>
      <c r="D86" s="1000">
        <f>PirteiKisuiBeMutzar!G88</f>
        <v>0</v>
      </c>
      <c r="E86" s="1000">
        <f>PirteiKisuiBeMutzar!W88</f>
        <v>0</v>
      </c>
      <c r="F86" s="1000">
        <f>PirteiKisuiBeMutzar!K88</f>
        <v>0</v>
      </c>
      <c r="G86" s="1000">
        <f>PirteiKisuiBeMutzar!M88</f>
        <v>0</v>
      </c>
      <c r="H86" s="1000">
        <f>PirteiKisuiBeMutzar!P88</f>
        <v>0</v>
      </c>
      <c r="I86" s="1000">
        <f>PirteiKisuiBeMutzar!X88</f>
        <v>0</v>
      </c>
      <c r="J86" s="1000">
        <f>PirteiKisuiBeMutzar!Y88</f>
        <v>0</v>
      </c>
      <c r="K86" s="1000">
        <f>PirteiKisuiBeMutzar!AL88</f>
        <v>0</v>
      </c>
      <c r="L86" s="1000">
        <f>PirteiKisuiBeMutzar!AO88</f>
        <v>0</v>
      </c>
      <c r="M86" s="1000">
        <f>PirteiKisuiBeMutzar!AP88</f>
        <v>0</v>
      </c>
    </row>
    <row r="87" spans="1:13" x14ac:dyDescent="0.2">
      <c r="A87" s="178">
        <f>PirteiKisuiBeMutzar!D89</f>
        <v>0</v>
      </c>
      <c r="B87" s="178">
        <f>PirteiKisuiBeMutzar!AQ89</f>
        <v>0</v>
      </c>
      <c r="C87" s="178">
        <f>PirteiKisuiBeMutzar!AM89</f>
        <v>0</v>
      </c>
      <c r="D87" s="1000">
        <f>PirteiKisuiBeMutzar!G89</f>
        <v>0</v>
      </c>
      <c r="E87" s="1000">
        <f>PirteiKisuiBeMutzar!W89</f>
        <v>0</v>
      </c>
      <c r="F87" s="1000">
        <f>PirteiKisuiBeMutzar!K89</f>
        <v>0</v>
      </c>
      <c r="G87" s="1000">
        <f>PirteiKisuiBeMutzar!M89</f>
        <v>0</v>
      </c>
      <c r="H87" s="1000">
        <f>PirteiKisuiBeMutzar!P89</f>
        <v>0</v>
      </c>
      <c r="I87" s="1000">
        <f>PirteiKisuiBeMutzar!X89</f>
        <v>0</v>
      </c>
      <c r="J87" s="1000">
        <f>PirteiKisuiBeMutzar!Y89</f>
        <v>0</v>
      </c>
      <c r="K87" s="1000">
        <f>PirteiKisuiBeMutzar!AL89</f>
        <v>0</v>
      </c>
      <c r="L87" s="1000">
        <f>PirteiKisuiBeMutzar!AO89</f>
        <v>0</v>
      </c>
      <c r="M87" s="1000">
        <f>PirteiKisuiBeMutzar!AP89</f>
        <v>0</v>
      </c>
    </row>
    <row r="88" spans="1:13" x14ac:dyDescent="0.2">
      <c r="A88" s="178">
        <f>PirteiKisuiBeMutzar!D90</f>
        <v>0</v>
      </c>
      <c r="B88" s="178">
        <f>PirteiKisuiBeMutzar!AQ90</f>
        <v>0</v>
      </c>
      <c r="C88" s="178">
        <f>PirteiKisuiBeMutzar!AM90</f>
        <v>0</v>
      </c>
      <c r="D88" s="1000">
        <f>PirteiKisuiBeMutzar!G90</f>
        <v>0</v>
      </c>
      <c r="E88" s="1000">
        <f>PirteiKisuiBeMutzar!W90</f>
        <v>0</v>
      </c>
      <c r="F88" s="1000">
        <f>PirteiKisuiBeMutzar!K90</f>
        <v>0</v>
      </c>
      <c r="G88" s="1000">
        <f>PirteiKisuiBeMutzar!M90</f>
        <v>0</v>
      </c>
      <c r="H88" s="1000">
        <f>PirteiKisuiBeMutzar!P90</f>
        <v>0</v>
      </c>
      <c r="I88" s="1000">
        <f>PirteiKisuiBeMutzar!X90</f>
        <v>0</v>
      </c>
      <c r="J88" s="1000">
        <f>PirteiKisuiBeMutzar!Y90</f>
        <v>0</v>
      </c>
      <c r="K88" s="1000">
        <f>PirteiKisuiBeMutzar!AL90</f>
        <v>0</v>
      </c>
      <c r="L88" s="1000">
        <f>PirteiKisuiBeMutzar!AO90</f>
        <v>0</v>
      </c>
      <c r="M88" s="1000">
        <f>PirteiKisuiBeMutzar!AP90</f>
        <v>0</v>
      </c>
    </row>
    <row r="89" spans="1:13" x14ac:dyDescent="0.2">
      <c r="A89" s="178">
        <f>PirteiKisuiBeMutzar!D91</f>
        <v>0</v>
      </c>
      <c r="B89" s="178">
        <f>PirteiKisuiBeMutzar!AQ91</f>
        <v>0</v>
      </c>
      <c r="C89" s="178">
        <f>PirteiKisuiBeMutzar!AM91</f>
        <v>0</v>
      </c>
      <c r="D89" s="1000">
        <f>PirteiKisuiBeMutzar!G91</f>
        <v>0</v>
      </c>
      <c r="E89" s="1000">
        <f>PirteiKisuiBeMutzar!W91</f>
        <v>0</v>
      </c>
      <c r="F89" s="1000">
        <f>PirteiKisuiBeMutzar!K91</f>
        <v>0</v>
      </c>
      <c r="G89" s="1000">
        <f>PirteiKisuiBeMutzar!M91</f>
        <v>0</v>
      </c>
      <c r="H89" s="1000">
        <f>PirteiKisuiBeMutzar!P91</f>
        <v>0</v>
      </c>
      <c r="I89" s="1000">
        <f>PirteiKisuiBeMutzar!X91</f>
        <v>0</v>
      </c>
      <c r="J89" s="1000">
        <f>PirteiKisuiBeMutzar!Y91</f>
        <v>0</v>
      </c>
      <c r="K89" s="1000">
        <f>PirteiKisuiBeMutzar!AL91</f>
        <v>0</v>
      </c>
      <c r="L89" s="1000">
        <f>PirteiKisuiBeMutzar!AO91</f>
        <v>0</v>
      </c>
      <c r="M89" s="1000">
        <f>PirteiKisuiBeMutzar!AP91</f>
        <v>0</v>
      </c>
    </row>
    <row r="90" spans="1:13" x14ac:dyDescent="0.2">
      <c r="A90" s="178">
        <f>PirteiKisuiBeMutzar!D92</f>
        <v>0</v>
      </c>
      <c r="B90" s="178">
        <f>PirteiKisuiBeMutzar!AQ92</f>
        <v>0</v>
      </c>
      <c r="C90" s="178">
        <f>PirteiKisuiBeMutzar!AM92</f>
        <v>0</v>
      </c>
      <c r="D90" s="1000">
        <f>PirteiKisuiBeMutzar!G92</f>
        <v>0</v>
      </c>
      <c r="E90" s="1000">
        <f>PirteiKisuiBeMutzar!W92</f>
        <v>0</v>
      </c>
      <c r="F90" s="1000">
        <f>PirteiKisuiBeMutzar!K92</f>
        <v>0</v>
      </c>
      <c r="G90" s="1000">
        <f>PirteiKisuiBeMutzar!M92</f>
        <v>0</v>
      </c>
      <c r="H90" s="1000">
        <f>PirteiKisuiBeMutzar!P92</f>
        <v>0</v>
      </c>
      <c r="I90" s="1000">
        <f>PirteiKisuiBeMutzar!X92</f>
        <v>0</v>
      </c>
      <c r="J90" s="1000">
        <f>PirteiKisuiBeMutzar!Y92</f>
        <v>0</v>
      </c>
      <c r="K90" s="1000">
        <f>PirteiKisuiBeMutzar!AL92</f>
        <v>0</v>
      </c>
      <c r="L90" s="1000">
        <f>PirteiKisuiBeMutzar!AO92</f>
        <v>0</v>
      </c>
      <c r="M90" s="1000">
        <f>PirteiKisuiBeMutzar!AP92</f>
        <v>0</v>
      </c>
    </row>
    <row r="91" spans="1:13" x14ac:dyDescent="0.2">
      <c r="A91" s="178">
        <f>PirteiKisuiBeMutzar!D93</f>
        <v>0</v>
      </c>
      <c r="B91" s="178">
        <f>PirteiKisuiBeMutzar!AQ93</f>
        <v>0</v>
      </c>
      <c r="C91" s="178">
        <f>PirteiKisuiBeMutzar!AM93</f>
        <v>0</v>
      </c>
      <c r="D91" s="1000">
        <f>PirteiKisuiBeMutzar!G93</f>
        <v>0</v>
      </c>
      <c r="E91" s="1000">
        <f>PirteiKisuiBeMutzar!W93</f>
        <v>0</v>
      </c>
      <c r="F91" s="1000">
        <f>PirteiKisuiBeMutzar!K93</f>
        <v>0</v>
      </c>
      <c r="G91" s="1000">
        <f>PirteiKisuiBeMutzar!M93</f>
        <v>0</v>
      </c>
      <c r="H91" s="1000">
        <f>PirteiKisuiBeMutzar!P93</f>
        <v>0</v>
      </c>
      <c r="I91" s="1000">
        <f>PirteiKisuiBeMutzar!X93</f>
        <v>0</v>
      </c>
      <c r="J91" s="1000">
        <f>PirteiKisuiBeMutzar!Y93</f>
        <v>0</v>
      </c>
      <c r="K91" s="1000">
        <f>PirteiKisuiBeMutzar!AL93</f>
        <v>0</v>
      </c>
      <c r="L91" s="1000">
        <f>PirteiKisuiBeMutzar!AO93</f>
        <v>0</v>
      </c>
      <c r="M91" s="1000">
        <f>PirteiKisuiBeMutzar!AP93</f>
        <v>0</v>
      </c>
    </row>
    <row r="92" spans="1:13" x14ac:dyDescent="0.2">
      <c r="A92" s="178">
        <f>PirteiKisuiBeMutzar!D94</f>
        <v>0</v>
      </c>
      <c r="B92" s="178">
        <f>PirteiKisuiBeMutzar!AQ94</f>
        <v>0</v>
      </c>
      <c r="C92" s="178">
        <f>PirteiKisuiBeMutzar!AM94</f>
        <v>0</v>
      </c>
      <c r="D92" s="1000">
        <f>PirteiKisuiBeMutzar!G94</f>
        <v>0</v>
      </c>
      <c r="E92" s="1000">
        <f>PirteiKisuiBeMutzar!W94</f>
        <v>0</v>
      </c>
      <c r="F92" s="1000">
        <f>PirteiKisuiBeMutzar!K94</f>
        <v>0</v>
      </c>
      <c r="G92" s="1000">
        <f>PirteiKisuiBeMutzar!M94</f>
        <v>0</v>
      </c>
      <c r="H92" s="1000">
        <f>PirteiKisuiBeMutzar!P94</f>
        <v>0</v>
      </c>
      <c r="I92" s="1000">
        <f>PirteiKisuiBeMutzar!X94</f>
        <v>0</v>
      </c>
      <c r="J92" s="1000">
        <f>PirteiKisuiBeMutzar!Y94</f>
        <v>0</v>
      </c>
      <c r="K92" s="1000">
        <f>PirteiKisuiBeMutzar!AL94</f>
        <v>0</v>
      </c>
      <c r="L92" s="1000">
        <f>PirteiKisuiBeMutzar!AO94</f>
        <v>0</v>
      </c>
      <c r="M92" s="1000">
        <f>PirteiKisuiBeMutzar!AP94</f>
        <v>0</v>
      </c>
    </row>
    <row r="93" spans="1:13" x14ac:dyDescent="0.2">
      <c r="A93" s="178">
        <f>PirteiKisuiBeMutzar!D95</f>
        <v>0</v>
      </c>
      <c r="B93" s="178">
        <f>PirteiKisuiBeMutzar!AQ95</f>
        <v>0</v>
      </c>
      <c r="C93" s="178">
        <f>PirteiKisuiBeMutzar!AM95</f>
        <v>0</v>
      </c>
      <c r="D93" s="1000">
        <f>PirteiKisuiBeMutzar!G95</f>
        <v>0</v>
      </c>
      <c r="E93" s="1000">
        <f>PirteiKisuiBeMutzar!W95</f>
        <v>0</v>
      </c>
      <c r="F93" s="1000">
        <f>PirteiKisuiBeMutzar!K95</f>
        <v>0</v>
      </c>
      <c r="G93" s="1000">
        <f>PirteiKisuiBeMutzar!M95</f>
        <v>0</v>
      </c>
      <c r="H93" s="1000">
        <f>PirteiKisuiBeMutzar!P95</f>
        <v>0</v>
      </c>
      <c r="I93" s="1000">
        <f>PirteiKisuiBeMutzar!X95</f>
        <v>0</v>
      </c>
      <c r="J93" s="1000">
        <f>PirteiKisuiBeMutzar!Y95</f>
        <v>0</v>
      </c>
      <c r="K93" s="1000">
        <f>PirteiKisuiBeMutzar!AL95</f>
        <v>0</v>
      </c>
      <c r="L93" s="1000">
        <f>PirteiKisuiBeMutzar!AO95</f>
        <v>0</v>
      </c>
      <c r="M93" s="1000">
        <f>PirteiKisuiBeMutzar!AP95</f>
        <v>0</v>
      </c>
    </row>
    <row r="94" spans="1:13" x14ac:dyDescent="0.2">
      <c r="A94" s="178">
        <f>PirteiKisuiBeMutzar!D96</f>
        <v>0</v>
      </c>
      <c r="B94" s="178">
        <f>PirteiKisuiBeMutzar!AQ96</f>
        <v>0</v>
      </c>
      <c r="C94" s="178">
        <f>PirteiKisuiBeMutzar!AM96</f>
        <v>0</v>
      </c>
      <c r="D94" s="1000">
        <f>PirteiKisuiBeMutzar!G96</f>
        <v>0</v>
      </c>
      <c r="E94" s="1000">
        <f>PirteiKisuiBeMutzar!W96</f>
        <v>0</v>
      </c>
      <c r="F94" s="1000">
        <f>PirteiKisuiBeMutzar!K96</f>
        <v>0</v>
      </c>
      <c r="G94" s="1000">
        <f>PirteiKisuiBeMutzar!M96</f>
        <v>0</v>
      </c>
      <c r="H94" s="1000">
        <f>PirteiKisuiBeMutzar!P96</f>
        <v>0</v>
      </c>
      <c r="I94" s="1000">
        <f>PirteiKisuiBeMutzar!X96</f>
        <v>0</v>
      </c>
      <c r="J94" s="1000">
        <f>PirteiKisuiBeMutzar!Y96</f>
        <v>0</v>
      </c>
      <c r="K94" s="1000">
        <f>PirteiKisuiBeMutzar!AL96</f>
        <v>0</v>
      </c>
      <c r="L94" s="1000">
        <f>PirteiKisuiBeMutzar!AO96</f>
        <v>0</v>
      </c>
      <c r="M94" s="1000">
        <f>PirteiKisuiBeMutzar!AP96</f>
        <v>0</v>
      </c>
    </row>
    <row r="95" spans="1:13" x14ac:dyDescent="0.2">
      <c r="A95" s="178">
        <f>PirteiKisuiBeMutzar!D97</f>
        <v>0</v>
      </c>
      <c r="B95" s="178">
        <f>PirteiKisuiBeMutzar!AQ97</f>
        <v>0</v>
      </c>
      <c r="C95" s="178">
        <f>PirteiKisuiBeMutzar!AM97</f>
        <v>0</v>
      </c>
      <c r="D95" s="1000">
        <f>PirteiKisuiBeMutzar!G97</f>
        <v>0</v>
      </c>
      <c r="E95" s="1000">
        <f>PirteiKisuiBeMutzar!W97</f>
        <v>0</v>
      </c>
      <c r="F95" s="1000">
        <f>PirteiKisuiBeMutzar!K97</f>
        <v>0</v>
      </c>
      <c r="G95" s="1000">
        <f>PirteiKisuiBeMutzar!M97</f>
        <v>0</v>
      </c>
      <c r="H95" s="1000">
        <f>PirteiKisuiBeMutzar!P97</f>
        <v>0</v>
      </c>
      <c r="I95" s="1000">
        <f>PirteiKisuiBeMutzar!X97</f>
        <v>0</v>
      </c>
      <c r="J95" s="1000">
        <f>PirteiKisuiBeMutzar!Y97</f>
        <v>0</v>
      </c>
      <c r="K95" s="1000">
        <f>PirteiKisuiBeMutzar!AL97</f>
        <v>0</v>
      </c>
      <c r="L95" s="1000">
        <f>PirteiKisuiBeMutzar!AO97</f>
        <v>0</v>
      </c>
      <c r="M95" s="1000">
        <f>PirteiKisuiBeMutzar!AP97</f>
        <v>0</v>
      </c>
    </row>
    <row r="96" spans="1:13" x14ac:dyDescent="0.2">
      <c r="A96" s="178">
        <f>PirteiKisuiBeMutzar!D98</f>
        <v>0</v>
      </c>
      <c r="B96" s="178">
        <f>PirteiKisuiBeMutzar!AQ98</f>
        <v>0</v>
      </c>
      <c r="C96" s="178">
        <f>PirteiKisuiBeMutzar!AM98</f>
        <v>0</v>
      </c>
      <c r="D96" s="1000">
        <f>PirteiKisuiBeMutzar!G98</f>
        <v>0</v>
      </c>
      <c r="E96" s="1000">
        <f>PirteiKisuiBeMutzar!W98</f>
        <v>0</v>
      </c>
      <c r="F96" s="1000">
        <f>PirteiKisuiBeMutzar!K98</f>
        <v>0</v>
      </c>
      <c r="G96" s="1000">
        <f>PirteiKisuiBeMutzar!M98</f>
        <v>0</v>
      </c>
      <c r="H96" s="1000">
        <f>PirteiKisuiBeMutzar!P98</f>
        <v>0</v>
      </c>
      <c r="I96" s="1000">
        <f>PirteiKisuiBeMutzar!X98</f>
        <v>0</v>
      </c>
      <c r="J96" s="1000">
        <f>PirteiKisuiBeMutzar!Y98</f>
        <v>0</v>
      </c>
      <c r="K96" s="1000">
        <f>PirteiKisuiBeMutzar!AL98</f>
        <v>0</v>
      </c>
      <c r="L96" s="1000">
        <f>PirteiKisuiBeMutzar!AO98</f>
        <v>0</v>
      </c>
      <c r="M96" s="1000">
        <f>PirteiKisuiBeMutzar!AP98</f>
        <v>0</v>
      </c>
    </row>
    <row r="97" spans="1:13" x14ac:dyDescent="0.2">
      <c r="A97" s="178">
        <f>PirteiKisuiBeMutzar!D99</f>
        <v>0</v>
      </c>
      <c r="B97" s="178">
        <f>PirteiKisuiBeMutzar!AQ99</f>
        <v>0</v>
      </c>
      <c r="C97" s="178">
        <f>PirteiKisuiBeMutzar!AM99</f>
        <v>0</v>
      </c>
      <c r="D97" s="1000">
        <f>PirteiKisuiBeMutzar!G99</f>
        <v>0</v>
      </c>
      <c r="E97" s="1000">
        <f>PirteiKisuiBeMutzar!W99</f>
        <v>0</v>
      </c>
      <c r="F97" s="1000">
        <f>PirteiKisuiBeMutzar!K99</f>
        <v>0</v>
      </c>
      <c r="G97" s="1000">
        <f>PirteiKisuiBeMutzar!M99</f>
        <v>0</v>
      </c>
      <c r="H97" s="1000">
        <f>PirteiKisuiBeMutzar!P99</f>
        <v>0</v>
      </c>
      <c r="I97" s="1000">
        <f>PirteiKisuiBeMutzar!X99</f>
        <v>0</v>
      </c>
      <c r="J97" s="1000">
        <f>PirteiKisuiBeMutzar!Y99</f>
        <v>0</v>
      </c>
      <c r="K97" s="1000">
        <f>PirteiKisuiBeMutzar!AL99</f>
        <v>0</v>
      </c>
      <c r="L97" s="1000">
        <f>PirteiKisuiBeMutzar!AO99</f>
        <v>0</v>
      </c>
      <c r="M97" s="1000">
        <f>PirteiKisuiBeMutzar!AP99</f>
        <v>0</v>
      </c>
    </row>
    <row r="98" spans="1:13" x14ac:dyDescent="0.2">
      <c r="A98" s="178">
        <f>PirteiKisuiBeMutzar!D100</f>
        <v>0</v>
      </c>
      <c r="B98" s="178">
        <f>PirteiKisuiBeMutzar!AQ100</f>
        <v>0</v>
      </c>
      <c r="C98" s="178">
        <f>PirteiKisuiBeMutzar!AM100</f>
        <v>0</v>
      </c>
      <c r="D98" s="1000">
        <f>PirteiKisuiBeMutzar!G100</f>
        <v>0</v>
      </c>
      <c r="E98" s="1000">
        <f>PirteiKisuiBeMutzar!W100</f>
        <v>0</v>
      </c>
      <c r="F98" s="1000">
        <f>PirteiKisuiBeMutzar!K100</f>
        <v>0</v>
      </c>
      <c r="G98" s="1000">
        <f>PirteiKisuiBeMutzar!M100</f>
        <v>0</v>
      </c>
      <c r="H98" s="1000">
        <f>PirteiKisuiBeMutzar!P100</f>
        <v>0</v>
      </c>
      <c r="I98" s="1000">
        <f>PirteiKisuiBeMutzar!X100</f>
        <v>0</v>
      </c>
      <c r="J98" s="1000">
        <f>PirteiKisuiBeMutzar!Y100</f>
        <v>0</v>
      </c>
      <c r="K98" s="1000">
        <f>PirteiKisuiBeMutzar!AL100</f>
        <v>0</v>
      </c>
      <c r="L98" s="1000">
        <f>PirteiKisuiBeMutzar!AO100</f>
        <v>0</v>
      </c>
      <c r="M98" s="1000">
        <f>PirteiKisuiBeMutzar!AP100</f>
        <v>0</v>
      </c>
    </row>
    <row r="99" spans="1:13" x14ac:dyDescent="0.2">
      <c r="A99" s="178">
        <f>PirteiKisuiBeMutzar!D101</f>
        <v>0</v>
      </c>
      <c r="B99" s="178">
        <f>PirteiKisuiBeMutzar!AQ101</f>
        <v>0</v>
      </c>
      <c r="C99" s="178">
        <f>PirteiKisuiBeMutzar!AM101</f>
        <v>0</v>
      </c>
      <c r="D99" s="1000">
        <f>PirteiKisuiBeMutzar!G101</f>
        <v>0</v>
      </c>
      <c r="E99" s="1000">
        <f>PirteiKisuiBeMutzar!W101</f>
        <v>0</v>
      </c>
      <c r="F99" s="1000">
        <f>PirteiKisuiBeMutzar!K101</f>
        <v>0</v>
      </c>
      <c r="G99" s="1000">
        <f>PirteiKisuiBeMutzar!M101</f>
        <v>0</v>
      </c>
      <c r="H99" s="1000">
        <f>PirteiKisuiBeMutzar!P101</f>
        <v>0</v>
      </c>
      <c r="I99" s="1000">
        <f>PirteiKisuiBeMutzar!X101</f>
        <v>0</v>
      </c>
      <c r="J99" s="1000">
        <f>PirteiKisuiBeMutzar!Y101</f>
        <v>0</v>
      </c>
      <c r="K99" s="1000">
        <f>PirteiKisuiBeMutzar!AL101</f>
        <v>0</v>
      </c>
      <c r="L99" s="1000">
        <f>PirteiKisuiBeMutzar!AO101</f>
        <v>0</v>
      </c>
      <c r="M99" s="1000">
        <f>PirteiKisuiBeMutzar!AP101</f>
        <v>0</v>
      </c>
    </row>
    <row r="100" spans="1:13" x14ac:dyDescent="0.2">
      <c r="A100" s="178">
        <f>PirteiKisuiBeMutzar!D102</f>
        <v>0</v>
      </c>
      <c r="B100" s="178">
        <f>PirteiKisuiBeMutzar!AQ102</f>
        <v>0</v>
      </c>
      <c r="C100" s="178">
        <f>PirteiKisuiBeMutzar!AM102</f>
        <v>0</v>
      </c>
      <c r="D100" s="1000">
        <f>PirteiKisuiBeMutzar!G102</f>
        <v>0</v>
      </c>
      <c r="E100" s="1000">
        <f>PirteiKisuiBeMutzar!W102</f>
        <v>0</v>
      </c>
      <c r="F100" s="1000">
        <f>PirteiKisuiBeMutzar!K102</f>
        <v>0</v>
      </c>
      <c r="G100" s="1000">
        <f>PirteiKisuiBeMutzar!M102</f>
        <v>0</v>
      </c>
      <c r="H100" s="1000">
        <f>PirteiKisuiBeMutzar!P102</f>
        <v>0</v>
      </c>
      <c r="I100" s="1000">
        <f>PirteiKisuiBeMutzar!X102</f>
        <v>0</v>
      </c>
      <c r="J100" s="1000">
        <f>PirteiKisuiBeMutzar!Y102</f>
        <v>0</v>
      </c>
      <c r="K100" s="1000">
        <f>PirteiKisuiBeMutzar!AL102</f>
        <v>0</v>
      </c>
      <c r="L100" s="1000">
        <f>PirteiKisuiBeMutzar!AO102</f>
        <v>0</v>
      </c>
      <c r="M100" s="1000">
        <f>PirteiKisuiBeMutzar!AP102</f>
        <v>0</v>
      </c>
    </row>
    <row r="101" spans="1:13" x14ac:dyDescent="0.2">
      <c r="A101" s="178">
        <f>PirteiKisuiBeMutzar!D103</f>
        <v>0</v>
      </c>
      <c r="B101" s="178">
        <f>PirteiKisuiBeMutzar!AQ103</f>
        <v>0</v>
      </c>
      <c r="C101" s="178">
        <f>PirteiKisuiBeMutzar!AM103</f>
        <v>0</v>
      </c>
      <c r="D101" s="1000">
        <f>PirteiKisuiBeMutzar!G103</f>
        <v>0</v>
      </c>
      <c r="E101" s="1000">
        <f>PirteiKisuiBeMutzar!W103</f>
        <v>0</v>
      </c>
      <c r="F101" s="1000">
        <f>PirteiKisuiBeMutzar!K103</f>
        <v>0</v>
      </c>
      <c r="G101" s="1000">
        <f>PirteiKisuiBeMutzar!M103</f>
        <v>0</v>
      </c>
      <c r="H101" s="1000">
        <f>PirteiKisuiBeMutzar!P103</f>
        <v>0</v>
      </c>
      <c r="I101" s="1000">
        <f>PirteiKisuiBeMutzar!X103</f>
        <v>0</v>
      </c>
      <c r="J101" s="1000">
        <f>PirteiKisuiBeMutzar!Y103</f>
        <v>0</v>
      </c>
      <c r="K101" s="1000">
        <f>PirteiKisuiBeMutzar!AL103</f>
        <v>0</v>
      </c>
      <c r="L101" s="1000">
        <f>PirteiKisuiBeMutzar!AO103</f>
        <v>0</v>
      </c>
      <c r="M101" s="1000">
        <f>PirteiKisuiBeMutzar!AP103</f>
        <v>0</v>
      </c>
    </row>
    <row r="102" spans="1:13" x14ac:dyDescent="0.2">
      <c r="A102" s="178">
        <f>PirteiKisuiBeMutzar!D104</f>
        <v>0</v>
      </c>
      <c r="B102" s="178">
        <f>PirteiKisuiBeMutzar!AQ104</f>
        <v>0</v>
      </c>
      <c r="C102" s="178">
        <f>PirteiKisuiBeMutzar!AM104</f>
        <v>0</v>
      </c>
      <c r="D102" s="1000">
        <f>PirteiKisuiBeMutzar!G104</f>
        <v>0</v>
      </c>
      <c r="E102" s="1000">
        <f>PirteiKisuiBeMutzar!W104</f>
        <v>0</v>
      </c>
      <c r="F102" s="1000">
        <f>PirteiKisuiBeMutzar!K104</f>
        <v>0</v>
      </c>
      <c r="G102" s="1000">
        <f>PirteiKisuiBeMutzar!M104</f>
        <v>0</v>
      </c>
      <c r="H102" s="1000">
        <f>PirteiKisuiBeMutzar!P104</f>
        <v>0</v>
      </c>
      <c r="I102" s="1000">
        <f>PirteiKisuiBeMutzar!X104</f>
        <v>0</v>
      </c>
      <c r="J102" s="1000">
        <f>PirteiKisuiBeMutzar!Y104</f>
        <v>0</v>
      </c>
      <c r="K102" s="1000">
        <f>PirteiKisuiBeMutzar!AL104</f>
        <v>0</v>
      </c>
      <c r="L102" s="1000">
        <f>PirteiKisuiBeMutzar!AO104</f>
        <v>0</v>
      </c>
      <c r="M102" s="1000">
        <f>PirteiKisuiBeMutzar!AP104</f>
        <v>0</v>
      </c>
    </row>
    <row r="103" spans="1:13" x14ac:dyDescent="0.2">
      <c r="A103" s="178">
        <f>PirteiKisuiBeMutzar!D105</f>
        <v>0</v>
      </c>
      <c r="B103" s="178">
        <f>PirteiKisuiBeMutzar!AQ105</f>
        <v>0</v>
      </c>
      <c r="C103" s="178">
        <f>PirteiKisuiBeMutzar!AM105</f>
        <v>0</v>
      </c>
      <c r="D103" s="1000">
        <f>PirteiKisuiBeMutzar!G105</f>
        <v>0</v>
      </c>
      <c r="E103" s="1000">
        <f>PirteiKisuiBeMutzar!W105</f>
        <v>0</v>
      </c>
      <c r="F103" s="1000">
        <f>PirteiKisuiBeMutzar!K105</f>
        <v>0</v>
      </c>
      <c r="G103" s="1000">
        <f>PirteiKisuiBeMutzar!M105</f>
        <v>0</v>
      </c>
      <c r="H103" s="1000">
        <f>PirteiKisuiBeMutzar!P105</f>
        <v>0</v>
      </c>
      <c r="I103" s="1000">
        <f>PirteiKisuiBeMutzar!X105</f>
        <v>0</v>
      </c>
      <c r="J103" s="1000">
        <f>PirteiKisuiBeMutzar!Y105</f>
        <v>0</v>
      </c>
      <c r="K103" s="1000">
        <f>PirteiKisuiBeMutzar!AL105</f>
        <v>0</v>
      </c>
      <c r="L103" s="1000">
        <f>PirteiKisuiBeMutzar!AO105</f>
        <v>0</v>
      </c>
      <c r="M103" s="1000">
        <f>PirteiKisuiBeMutzar!AP105</f>
        <v>0</v>
      </c>
    </row>
    <row r="104" spans="1:13" x14ac:dyDescent="0.2">
      <c r="A104" s="178">
        <f>PirteiKisuiBeMutzar!D106</f>
        <v>0</v>
      </c>
      <c r="B104" s="178">
        <f>PirteiKisuiBeMutzar!AQ106</f>
        <v>0</v>
      </c>
      <c r="C104" s="178">
        <f>PirteiKisuiBeMutzar!AM106</f>
        <v>0</v>
      </c>
      <c r="D104" s="1000">
        <f>PirteiKisuiBeMutzar!G106</f>
        <v>0</v>
      </c>
      <c r="E104" s="1000">
        <f>PirteiKisuiBeMutzar!W106</f>
        <v>0</v>
      </c>
      <c r="F104" s="1000">
        <f>PirteiKisuiBeMutzar!K106</f>
        <v>0</v>
      </c>
      <c r="G104" s="1000">
        <f>PirteiKisuiBeMutzar!M106</f>
        <v>0</v>
      </c>
      <c r="H104" s="1000">
        <f>PirteiKisuiBeMutzar!P106</f>
        <v>0</v>
      </c>
      <c r="I104" s="1000">
        <f>PirteiKisuiBeMutzar!X106</f>
        <v>0</v>
      </c>
      <c r="J104" s="1000">
        <f>PirteiKisuiBeMutzar!Y106</f>
        <v>0</v>
      </c>
      <c r="K104" s="1000">
        <f>PirteiKisuiBeMutzar!AL106</f>
        <v>0</v>
      </c>
      <c r="L104" s="1000">
        <f>PirteiKisuiBeMutzar!AO106</f>
        <v>0</v>
      </c>
      <c r="M104" s="1000">
        <f>PirteiKisuiBeMutzar!AP106</f>
        <v>0</v>
      </c>
    </row>
    <row r="105" spans="1:13" x14ac:dyDescent="0.2">
      <c r="A105" s="178">
        <f>PirteiKisuiBeMutzar!D107</f>
        <v>0</v>
      </c>
      <c r="B105" s="178">
        <f>PirteiKisuiBeMutzar!AQ107</f>
        <v>0</v>
      </c>
      <c r="C105" s="178">
        <f>PirteiKisuiBeMutzar!AM107</f>
        <v>0</v>
      </c>
      <c r="D105" s="1000">
        <f>PirteiKisuiBeMutzar!G107</f>
        <v>0</v>
      </c>
      <c r="E105" s="1000">
        <f>PirteiKisuiBeMutzar!W107</f>
        <v>0</v>
      </c>
      <c r="F105" s="1000">
        <f>PirteiKisuiBeMutzar!K107</f>
        <v>0</v>
      </c>
      <c r="G105" s="1000">
        <f>PirteiKisuiBeMutzar!M107</f>
        <v>0</v>
      </c>
      <c r="H105" s="1000">
        <f>PirteiKisuiBeMutzar!P107</f>
        <v>0</v>
      </c>
      <c r="I105" s="1000">
        <f>PirteiKisuiBeMutzar!X107</f>
        <v>0</v>
      </c>
      <c r="J105" s="1000">
        <f>PirteiKisuiBeMutzar!Y107</f>
        <v>0</v>
      </c>
      <c r="K105" s="1000">
        <f>PirteiKisuiBeMutzar!AL107</f>
        <v>0</v>
      </c>
      <c r="L105" s="1000">
        <f>PirteiKisuiBeMutzar!AO107</f>
        <v>0</v>
      </c>
      <c r="M105" s="1000">
        <f>PirteiKisuiBeMutzar!AP107</f>
        <v>0</v>
      </c>
    </row>
    <row r="106" spans="1:13" x14ac:dyDescent="0.2">
      <c r="A106" s="178">
        <f>PirteiKisuiBeMutzar!D108</f>
        <v>0</v>
      </c>
      <c r="B106" s="178">
        <f>PirteiKisuiBeMutzar!AQ108</f>
        <v>0</v>
      </c>
      <c r="C106" s="178">
        <f>PirteiKisuiBeMutzar!AM108</f>
        <v>0</v>
      </c>
      <c r="D106" s="1000">
        <f>PirteiKisuiBeMutzar!G108</f>
        <v>0</v>
      </c>
      <c r="E106" s="1000">
        <f>PirteiKisuiBeMutzar!W108</f>
        <v>0</v>
      </c>
      <c r="F106" s="1000">
        <f>PirteiKisuiBeMutzar!K108</f>
        <v>0</v>
      </c>
      <c r="G106" s="1000">
        <f>PirteiKisuiBeMutzar!M108</f>
        <v>0</v>
      </c>
      <c r="H106" s="1000">
        <f>PirteiKisuiBeMutzar!P108</f>
        <v>0</v>
      </c>
      <c r="I106" s="1000">
        <f>PirteiKisuiBeMutzar!X108</f>
        <v>0</v>
      </c>
      <c r="J106" s="1000">
        <f>PirteiKisuiBeMutzar!Y108</f>
        <v>0</v>
      </c>
      <c r="K106" s="1000">
        <f>PirteiKisuiBeMutzar!AL108</f>
        <v>0</v>
      </c>
      <c r="L106" s="1000">
        <f>PirteiKisuiBeMutzar!AO108</f>
        <v>0</v>
      </c>
      <c r="M106" s="1000">
        <f>PirteiKisuiBeMutzar!AP108</f>
        <v>0</v>
      </c>
    </row>
    <row r="107" spans="1:13" x14ac:dyDescent="0.2">
      <c r="A107" s="178">
        <f>PirteiKisuiBeMutzar!D109</f>
        <v>0</v>
      </c>
      <c r="B107" s="178">
        <f>PirteiKisuiBeMutzar!AQ109</f>
        <v>0</v>
      </c>
      <c r="C107" s="178">
        <f>PirteiKisuiBeMutzar!AM109</f>
        <v>0</v>
      </c>
      <c r="D107" s="1000">
        <f>PirteiKisuiBeMutzar!G109</f>
        <v>0</v>
      </c>
      <c r="E107" s="1000">
        <f>PirteiKisuiBeMutzar!W109</f>
        <v>0</v>
      </c>
      <c r="F107" s="1000">
        <f>PirteiKisuiBeMutzar!K109</f>
        <v>0</v>
      </c>
      <c r="G107" s="1000">
        <f>PirteiKisuiBeMutzar!M109</f>
        <v>0</v>
      </c>
      <c r="H107" s="1000">
        <f>PirteiKisuiBeMutzar!P109</f>
        <v>0</v>
      </c>
      <c r="I107" s="1000">
        <f>PirteiKisuiBeMutzar!X109</f>
        <v>0</v>
      </c>
      <c r="J107" s="1000">
        <f>PirteiKisuiBeMutzar!Y109</f>
        <v>0</v>
      </c>
      <c r="K107" s="1000">
        <f>PirteiKisuiBeMutzar!AL109</f>
        <v>0</v>
      </c>
      <c r="L107" s="1000">
        <f>PirteiKisuiBeMutzar!AO109</f>
        <v>0</v>
      </c>
      <c r="M107" s="1000">
        <f>PirteiKisuiBeMutzar!AP109</f>
        <v>0</v>
      </c>
    </row>
    <row r="108" spans="1:13" x14ac:dyDescent="0.2">
      <c r="A108" s="178">
        <f>PirteiKisuiBeMutzar!D110</f>
        <v>0</v>
      </c>
      <c r="B108" s="178">
        <f>PirteiKisuiBeMutzar!AQ110</f>
        <v>0</v>
      </c>
      <c r="C108" s="178">
        <f>PirteiKisuiBeMutzar!AM110</f>
        <v>0</v>
      </c>
      <c r="D108" s="1000">
        <f>PirteiKisuiBeMutzar!G110</f>
        <v>0</v>
      </c>
      <c r="E108" s="1000">
        <f>PirteiKisuiBeMutzar!W110</f>
        <v>0</v>
      </c>
      <c r="F108" s="1000">
        <f>PirteiKisuiBeMutzar!K110</f>
        <v>0</v>
      </c>
      <c r="G108" s="1000">
        <f>PirteiKisuiBeMutzar!M110</f>
        <v>0</v>
      </c>
      <c r="H108" s="1000">
        <f>PirteiKisuiBeMutzar!P110</f>
        <v>0</v>
      </c>
      <c r="I108" s="1000">
        <f>PirteiKisuiBeMutzar!X110</f>
        <v>0</v>
      </c>
      <c r="J108" s="1000">
        <f>PirteiKisuiBeMutzar!Y110</f>
        <v>0</v>
      </c>
      <c r="K108" s="1000">
        <f>PirteiKisuiBeMutzar!AL110</f>
        <v>0</v>
      </c>
      <c r="L108" s="1000">
        <f>PirteiKisuiBeMutzar!AO110</f>
        <v>0</v>
      </c>
      <c r="M108" s="1000">
        <f>PirteiKisuiBeMutzar!AP110</f>
        <v>0</v>
      </c>
    </row>
    <row r="109" spans="1:13" x14ac:dyDescent="0.2">
      <c r="A109" s="178">
        <f>PirteiKisuiBeMutzar!D111</f>
        <v>0</v>
      </c>
      <c r="B109" s="178">
        <f>PirteiKisuiBeMutzar!AQ111</f>
        <v>0</v>
      </c>
      <c r="C109" s="178">
        <f>PirteiKisuiBeMutzar!AM111</f>
        <v>0</v>
      </c>
      <c r="D109" s="1000">
        <f>PirteiKisuiBeMutzar!G111</f>
        <v>0</v>
      </c>
      <c r="E109" s="1000">
        <f>PirteiKisuiBeMutzar!W111</f>
        <v>0</v>
      </c>
      <c r="F109" s="1000">
        <f>PirteiKisuiBeMutzar!K111</f>
        <v>0</v>
      </c>
      <c r="G109" s="1000">
        <f>PirteiKisuiBeMutzar!M111</f>
        <v>0</v>
      </c>
      <c r="H109" s="1000">
        <f>PirteiKisuiBeMutzar!P111</f>
        <v>0</v>
      </c>
      <c r="I109" s="1000">
        <f>PirteiKisuiBeMutzar!X111</f>
        <v>0</v>
      </c>
      <c r="J109" s="1000">
        <f>PirteiKisuiBeMutzar!Y111</f>
        <v>0</v>
      </c>
      <c r="K109" s="1000">
        <f>PirteiKisuiBeMutzar!AL111</f>
        <v>0</v>
      </c>
      <c r="L109" s="1000">
        <f>PirteiKisuiBeMutzar!AO111</f>
        <v>0</v>
      </c>
      <c r="M109" s="1000">
        <f>PirteiKisuiBeMutzar!AP111</f>
        <v>0</v>
      </c>
    </row>
    <row r="110" spans="1:13" x14ac:dyDescent="0.2">
      <c r="A110" s="178">
        <f>PirteiKisuiBeMutzar!D112</f>
        <v>0</v>
      </c>
      <c r="B110" s="178">
        <f>PirteiKisuiBeMutzar!AQ112</f>
        <v>0</v>
      </c>
      <c r="C110" s="178">
        <f>PirteiKisuiBeMutzar!AM112</f>
        <v>0</v>
      </c>
      <c r="D110" s="1000">
        <f>PirteiKisuiBeMutzar!G112</f>
        <v>0</v>
      </c>
      <c r="E110" s="1000">
        <f>PirteiKisuiBeMutzar!W112</f>
        <v>0</v>
      </c>
      <c r="F110" s="1000">
        <f>PirteiKisuiBeMutzar!K112</f>
        <v>0</v>
      </c>
      <c r="G110" s="1000">
        <f>PirteiKisuiBeMutzar!M112</f>
        <v>0</v>
      </c>
      <c r="H110" s="1000">
        <f>PirteiKisuiBeMutzar!P112</f>
        <v>0</v>
      </c>
      <c r="I110" s="1000">
        <f>PirteiKisuiBeMutzar!X112</f>
        <v>0</v>
      </c>
      <c r="J110" s="1000">
        <f>PirteiKisuiBeMutzar!Y112</f>
        <v>0</v>
      </c>
      <c r="K110" s="1000">
        <f>PirteiKisuiBeMutzar!AL112</f>
        <v>0</v>
      </c>
      <c r="L110" s="1000">
        <f>PirteiKisuiBeMutzar!AO112</f>
        <v>0</v>
      </c>
      <c r="M110" s="1000">
        <f>PirteiKisuiBeMutzar!AP112</f>
        <v>0</v>
      </c>
    </row>
    <row r="111" spans="1:13" x14ac:dyDescent="0.2">
      <c r="A111" s="178">
        <f>PirteiKisuiBeMutzar!D113</f>
        <v>0</v>
      </c>
      <c r="B111" s="178">
        <f>PirteiKisuiBeMutzar!AQ113</f>
        <v>0</v>
      </c>
      <c r="C111" s="178">
        <f>PirteiKisuiBeMutzar!AM113</f>
        <v>0</v>
      </c>
      <c r="D111" s="1000">
        <f>PirteiKisuiBeMutzar!G113</f>
        <v>0</v>
      </c>
      <c r="E111" s="1000">
        <f>PirteiKisuiBeMutzar!W113</f>
        <v>0</v>
      </c>
      <c r="F111" s="1000">
        <f>PirteiKisuiBeMutzar!K113</f>
        <v>0</v>
      </c>
      <c r="G111" s="1000">
        <f>PirteiKisuiBeMutzar!M113</f>
        <v>0</v>
      </c>
      <c r="H111" s="1000">
        <f>PirteiKisuiBeMutzar!P113</f>
        <v>0</v>
      </c>
      <c r="I111" s="1000">
        <f>PirteiKisuiBeMutzar!X113</f>
        <v>0</v>
      </c>
      <c r="J111" s="1000">
        <f>PirteiKisuiBeMutzar!Y113</f>
        <v>0</v>
      </c>
      <c r="K111" s="1000">
        <f>PirteiKisuiBeMutzar!AL113</f>
        <v>0</v>
      </c>
      <c r="L111" s="1000">
        <f>PirteiKisuiBeMutzar!AO113</f>
        <v>0</v>
      </c>
      <c r="M111" s="1000">
        <f>PirteiKisuiBeMutzar!AP113</f>
        <v>0</v>
      </c>
    </row>
    <row r="112" spans="1:13" x14ac:dyDescent="0.2">
      <c r="A112" s="178">
        <f>PirteiKisuiBeMutzar!D114</f>
        <v>0</v>
      </c>
      <c r="B112" s="178">
        <f>PirteiKisuiBeMutzar!AQ114</f>
        <v>0</v>
      </c>
      <c r="C112" s="178">
        <f>PirteiKisuiBeMutzar!AM114</f>
        <v>0</v>
      </c>
      <c r="D112" s="1000">
        <f>PirteiKisuiBeMutzar!G114</f>
        <v>0</v>
      </c>
      <c r="E112" s="1000">
        <f>PirteiKisuiBeMutzar!W114</f>
        <v>0</v>
      </c>
      <c r="F112" s="1000">
        <f>PirteiKisuiBeMutzar!K114</f>
        <v>0</v>
      </c>
      <c r="G112" s="1000">
        <f>PirteiKisuiBeMutzar!M114</f>
        <v>0</v>
      </c>
      <c r="H112" s="1000">
        <f>PirteiKisuiBeMutzar!P114</f>
        <v>0</v>
      </c>
      <c r="I112" s="1000">
        <f>PirteiKisuiBeMutzar!X114</f>
        <v>0</v>
      </c>
      <c r="J112" s="1000">
        <f>PirteiKisuiBeMutzar!Y114</f>
        <v>0</v>
      </c>
      <c r="K112" s="1000">
        <f>PirteiKisuiBeMutzar!AL114</f>
        <v>0</v>
      </c>
      <c r="L112" s="1000">
        <f>PirteiKisuiBeMutzar!AO114</f>
        <v>0</v>
      </c>
      <c r="M112" s="1000">
        <f>PirteiKisuiBeMutzar!AP114</f>
        <v>0</v>
      </c>
    </row>
    <row r="113" spans="1:13" x14ac:dyDescent="0.2">
      <c r="A113" s="178">
        <f>PirteiKisuiBeMutzar!D115</f>
        <v>0</v>
      </c>
      <c r="B113" s="178">
        <f>PirteiKisuiBeMutzar!AQ115</f>
        <v>0</v>
      </c>
      <c r="C113" s="178">
        <f>PirteiKisuiBeMutzar!AM115</f>
        <v>0</v>
      </c>
      <c r="D113" s="1000">
        <f>PirteiKisuiBeMutzar!G115</f>
        <v>0</v>
      </c>
      <c r="E113" s="1000">
        <f>PirteiKisuiBeMutzar!W115</f>
        <v>0</v>
      </c>
      <c r="F113" s="1000">
        <f>PirteiKisuiBeMutzar!K115</f>
        <v>0</v>
      </c>
      <c r="G113" s="1000">
        <f>PirteiKisuiBeMutzar!M115</f>
        <v>0</v>
      </c>
      <c r="H113" s="1000">
        <f>PirteiKisuiBeMutzar!P115</f>
        <v>0</v>
      </c>
      <c r="I113" s="1000">
        <f>PirteiKisuiBeMutzar!X115</f>
        <v>0</v>
      </c>
      <c r="J113" s="1000">
        <f>PirteiKisuiBeMutzar!Y115</f>
        <v>0</v>
      </c>
      <c r="K113" s="1000">
        <f>PirteiKisuiBeMutzar!AL115</f>
        <v>0</v>
      </c>
      <c r="L113" s="1000">
        <f>PirteiKisuiBeMutzar!AO115</f>
        <v>0</v>
      </c>
      <c r="M113" s="1000">
        <f>PirteiKisuiBeMutzar!AP115</f>
        <v>0</v>
      </c>
    </row>
    <row r="114" spans="1:13" x14ac:dyDescent="0.2">
      <c r="A114" s="178">
        <f>PirteiKisuiBeMutzar!D116</f>
        <v>0</v>
      </c>
      <c r="B114" s="178">
        <f>PirteiKisuiBeMutzar!AQ116</f>
        <v>0</v>
      </c>
      <c r="C114" s="178">
        <f>PirteiKisuiBeMutzar!AM116</f>
        <v>0</v>
      </c>
      <c r="D114" s="1000">
        <f>PirteiKisuiBeMutzar!G116</f>
        <v>0</v>
      </c>
      <c r="E114" s="1000">
        <f>PirteiKisuiBeMutzar!W116</f>
        <v>0</v>
      </c>
      <c r="F114" s="1000">
        <f>PirteiKisuiBeMutzar!K116</f>
        <v>0</v>
      </c>
      <c r="G114" s="1000">
        <f>PirteiKisuiBeMutzar!M116</f>
        <v>0</v>
      </c>
      <c r="H114" s="1000">
        <f>PirteiKisuiBeMutzar!P116</f>
        <v>0</v>
      </c>
      <c r="I114" s="1000">
        <f>PirteiKisuiBeMutzar!X116</f>
        <v>0</v>
      </c>
      <c r="J114" s="1000">
        <f>PirteiKisuiBeMutzar!Y116</f>
        <v>0</v>
      </c>
      <c r="K114" s="1000">
        <f>PirteiKisuiBeMutzar!AL116</f>
        <v>0</v>
      </c>
      <c r="L114" s="1000">
        <f>PirteiKisuiBeMutzar!AO116</f>
        <v>0</v>
      </c>
      <c r="M114" s="1000">
        <f>PirteiKisuiBeMutzar!AP116</f>
        <v>0</v>
      </c>
    </row>
    <row r="115" spans="1:13" x14ac:dyDescent="0.2">
      <c r="A115" s="178">
        <f>PirteiKisuiBeMutzar!D117</f>
        <v>0</v>
      </c>
      <c r="B115" s="178">
        <f>PirteiKisuiBeMutzar!AQ117</f>
        <v>0</v>
      </c>
      <c r="C115" s="178">
        <f>PirteiKisuiBeMutzar!AM117</f>
        <v>0</v>
      </c>
      <c r="D115" s="1000">
        <f>PirteiKisuiBeMutzar!G117</f>
        <v>0</v>
      </c>
      <c r="E115" s="1000">
        <f>PirteiKisuiBeMutzar!W117</f>
        <v>0</v>
      </c>
      <c r="F115" s="1000">
        <f>PirteiKisuiBeMutzar!K117</f>
        <v>0</v>
      </c>
      <c r="G115" s="1000">
        <f>PirteiKisuiBeMutzar!M117</f>
        <v>0</v>
      </c>
      <c r="H115" s="1000">
        <f>PirteiKisuiBeMutzar!P117</f>
        <v>0</v>
      </c>
      <c r="I115" s="1000">
        <f>PirteiKisuiBeMutzar!X117</f>
        <v>0</v>
      </c>
      <c r="J115" s="1000">
        <f>PirteiKisuiBeMutzar!Y117</f>
        <v>0</v>
      </c>
      <c r="K115" s="1000">
        <f>PirteiKisuiBeMutzar!AL117</f>
        <v>0</v>
      </c>
      <c r="L115" s="1000">
        <f>PirteiKisuiBeMutzar!AO117</f>
        <v>0</v>
      </c>
      <c r="M115" s="1000">
        <f>PirteiKisuiBeMutzar!AP117</f>
        <v>0</v>
      </c>
    </row>
    <row r="116" spans="1:13" x14ac:dyDescent="0.2">
      <c r="A116" s="178">
        <f>PirteiKisuiBeMutzar!D118</f>
        <v>0</v>
      </c>
      <c r="B116" s="178">
        <f>PirteiKisuiBeMutzar!AQ118</f>
        <v>0</v>
      </c>
      <c r="C116" s="178">
        <f>PirteiKisuiBeMutzar!AM118</f>
        <v>0</v>
      </c>
      <c r="D116" s="1000">
        <f>PirteiKisuiBeMutzar!G118</f>
        <v>0</v>
      </c>
      <c r="E116" s="1000">
        <f>PirteiKisuiBeMutzar!W118</f>
        <v>0</v>
      </c>
      <c r="F116" s="1000">
        <f>PirteiKisuiBeMutzar!K118</f>
        <v>0</v>
      </c>
      <c r="G116" s="1000">
        <f>PirteiKisuiBeMutzar!M118</f>
        <v>0</v>
      </c>
      <c r="H116" s="1000">
        <f>PirteiKisuiBeMutzar!P118</f>
        <v>0</v>
      </c>
      <c r="I116" s="1000">
        <f>PirteiKisuiBeMutzar!X118</f>
        <v>0</v>
      </c>
      <c r="J116" s="1000">
        <f>PirteiKisuiBeMutzar!Y118</f>
        <v>0</v>
      </c>
      <c r="K116" s="1000">
        <f>PirteiKisuiBeMutzar!AL118</f>
        <v>0</v>
      </c>
      <c r="L116" s="1000">
        <f>PirteiKisuiBeMutzar!AO118</f>
        <v>0</v>
      </c>
      <c r="M116" s="1000">
        <f>PirteiKisuiBeMutzar!AP118</f>
        <v>0</v>
      </c>
    </row>
    <row r="117" spans="1:13" x14ac:dyDescent="0.2">
      <c r="A117" s="178">
        <f>PirteiKisuiBeMutzar!D119</f>
        <v>0</v>
      </c>
      <c r="B117" s="178">
        <f>PirteiKisuiBeMutzar!AQ119</f>
        <v>0</v>
      </c>
      <c r="C117" s="178">
        <f>PirteiKisuiBeMutzar!AM119</f>
        <v>0</v>
      </c>
      <c r="D117" s="1000">
        <f>PirteiKisuiBeMutzar!G119</f>
        <v>0</v>
      </c>
      <c r="E117" s="1000">
        <f>PirteiKisuiBeMutzar!W119</f>
        <v>0</v>
      </c>
      <c r="F117" s="1000">
        <f>PirteiKisuiBeMutzar!K119</f>
        <v>0</v>
      </c>
      <c r="G117" s="1000">
        <f>PirteiKisuiBeMutzar!M119</f>
        <v>0</v>
      </c>
      <c r="H117" s="1000">
        <f>PirteiKisuiBeMutzar!P119</f>
        <v>0</v>
      </c>
      <c r="I117" s="1000">
        <f>PirteiKisuiBeMutzar!X119</f>
        <v>0</v>
      </c>
      <c r="J117" s="1000">
        <f>PirteiKisuiBeMutzar!Y119</f>
        <v>0</v>
      </c>
      <c r="K117" s="1000">
        <f>PirteiKisuiBeMutzar!AL119</f>
        <v>0</v>
      </c>
      <c r="L117" s="1000">
        <f>PirteiKisuiBeMutzar!AO119</f>
        <v>0</v>
      </c>
      <c r="M117" s="1000">
        <f>PirteiKisuiBeMutzar!AP119</f>
        <v>0</v>
      </c>
    </row>
    <row r="118" spans="1:13" x14ac:dyDescent="0.2">
      <c r="A118" s="178">
        <f>PirteiKisuiBeMutzar!D120</f>
        <v>0</v>
      </c>
      <c r="B118" s="178">
        <f>PirteiKisuiBeMutzar!AQ120</f>
        <v>0</v>
      </c>
      <c r="C118" s="178">
        <f>PirteiKisuiBeMutzar!AM120</f>
        <v>0</v>
      </c>
      <c r="D118" s="1000">
        <f>PirteiKisuiBeMutzar!G120</f>
        <v>0</v>
      </c>
      <c r="E118" s="1000">
        <f>PirteiKisuiBeMutzar!W120</f>
        <v>0</v>
      </c>
      <c r="F118" s="1000">
        <f>PirteiKisuiBeMutzar!K120</f>
        <v>0</v>
      </c>
      <c r="G118" s="1000">
        <f>PirteiKisuiBeMutzar!M120</f>
        <v>0</v>
      </c>
      <c r="H118" s="1000">
        <f>PirteiKisuiBeMutzar!P120</f>
        <v>0</v>
      </c>
      <c r="I118" s="1000">
        <f>PirteiKisuiBeMutzar!X120</f>
        <v>0</v>
      </c>
      <c r="J118" s="1000">
        <f>PirteiKisuiBeMutzar!Y120</f>
        <v>0</v>
      </c>
      <c r="K118" s="1000">
        <f>PirteiKisuiBeMutzar!AL120</f>
        <v>0</v>
      </c>
      <c r="L118" s="1000">
        <f>PirteiKisuiBeMutzar!AO120</f>
        <v>0</v>
      </c>
      <c r="M118" s="1000">
        <f>PirteiKisuiBeMutzar!AP120</f>
        <v>0</v>
      </c>
    </row>
    <row r="119" spans="1:13" x14ac:dyDescent="0.2">
      <c r="A119" s="178">
        <f>PirteiKisuiBeMutzar!D121</f>
        <v>0</v>
      </c>
      <c r="B119" s="178">
        <f>PirteiKisuiBeMutzar!AQ121</f>
        <v>0</v>
      </c>
      <c r="C119" s="178">
        <f>PirteiKisuiBeMutzar!AM121</f>
        <v>0</v>
      </c>
      <c r="D119" s="1000">
        <f>PirteiKisuiBeMutzar!G121</f>
        <v>0</v>
      </c>
      <c r="E119" s="1000">
        <f>PirteiKisuiBeMutzar!W121</f>
        <v>0</v>
      </c>
      <c r="F119" s="1000">
        <f>PirteiKisuiBeMutzar!K121</f>
        <v>0</v>
      </c>
      <c r="G119" s="1000">
        <f>PirteiKisuiBeMutzar!M121</f>
        <v>0</v>
      </c>
      <c r="H119" s="1000">
        <f>PirteiKisuiBeMutzar!P121</f>
        <v>0</v>
      </c>
      <c r="I119" s="1000">
        <f>PirteiKisuiBeMutzar!X121</f>
        <v>0</v>
      </c>
      <c r="J119" s="1000">
        <f>PirteiKisuiBeMutzar!Y121</f>
        <v>0</v>
      </c>
      <c r="K119" s="1000">
        <f>PirteiKisuiBeMutzar!AL121</f>
        <v>0</v>
      </c>
      <c r="L119" s="1000">
        <f>PirteiKisuiBeMutzar!AO121</f>
        <v>0</v>
      </c>
      <c r="M119" s="1000">
        <f>PirteiKisuiBeMutzar!AP121</f>
        <v>0</v>
      </c>
    </row>
    <row r="120" spans="1:13" x14ac:dyDescent="0.2">
      <c r="A120" s="178">
        <f>PirteiKisuiBeMutzar!D122</f>
        <v>0</v>
      </c>
      <c r="B120" s="178">
        <f>PirteiKisuiBeMutzar!AQ122</f>
        <v>0</v>
      </c>
      <c r="C120" s="178">
        <f>PirteiKisuiBeMutzar!AM122</f>
        <v>0</v>
      </c>
      <c r="D120" s="1000">
        <f>PirteiKisuiBeMutzar!G122</f>
        <v>0</v>
      </c>
      <c r="E120" s="1000">
        <f>PirteiKisuiBeMutzar!W122</f>
        <v>0</v>
      </c>
      <c r="F120" s="1000">
        <f>PirteiKisuiBeMutzar!K122</f>
        <v>0</v>
      </c>
      <c r="G120" s="1000">
        <f>PirteiKisuiBeMutzar!M122</f>
        <v>0</v>
      </c>
      <c r="H120" s="1000">
        <f>PirteiKisuiBeMutzar!P122</f>
        <v>0</v>
      </c>
      <c r="I120" s="1000">
        <f>PirteiKisuiBeMutzar!X122</f>
        <v>0</v>
      </c>
      <c r="J120" s="1000">
        <f>PirteiKisuiBeMutzar!Y122</f>
        <v>0</v>
      </c>
      <c r="K120" s="1000">
        <f>PirteiKisuiBeMutzar!AL122</f>
        <v>0</v>
      </c>
      <c r="L120" s="1000">
        <f>PirteiKisuiBeMutzar!AO122</f>
        <v>0</v>
      </c>
      <c r="M120" s="1000">
        <f>PirteiKisuiBeMutzar!AP122</f>
        <v>0</v>
      </c>
    </row>
    <row r="121" spans="1:13" x14ac:dyDescent="0.2">
      <c r="A121" s="178">
        <f>PirteiKisuiBeMutzar!D123</f>
        <v>0</v>
      </c>
      <c r="B121" s="178">
        <f>PirteiKisuiBeMutzar!AQ123</f>
        <v>0</v>
      </c>
      <c r="C121" s="178">
        <f>PirteiKisuiBeMutzar!AM123</f>
        <v>0</v>
      </c>
      <c r="D121" s="1000">
        <f>PirteiKisuiBeMutzar!G123</f>
        <v>0</v>
      </c>
      <c r="E121" s="1000">
        <f>PirteiKisuiBeMutzar!W123</f>
        <v>0</v>
      </c>
      <c r="F121" s="1000">
        <f>PirteiKisuiBeMutzar!K123</f>
        <v>0</v>
      </c>
      <c r="G121" s="1000">
        <f>PirteiKisuiBeMutzar!M123</f>
        <v>0</v>
      </c>
      <c r="H121" s="1000">
        <f>PirteiKisuiBeMutzar!P123</f>
        <v>0</v>
      </c>
      <c r="I121" s="1000">
        <f>PirteiKisuiBeMutzar!X123</f>
        <v>0</v>
      </c>
      <c r="J121" s="1000">
        <f>PirteiKisuiBeMutzar!Y123</f>
        <v>0</v>
      </c>
      <c r="K121" s="1000">
        <f>PirteiKisuiBeMutzar!AL123</f>
        <v>0</v>
      </c>
      <c r="L121" s="1000">
        <f>PirteiKisuiBeMutzar!AO123</f>
        <v>0</v>
      </c>
      <c r="M121" s="1000">
        <f>PirteiKisuiBeMutzar!AP123</f>
        <v>0</v>
      </c>
    </row>
    <row r="122" spans="1:13" x14ac:dyDescent="0.2">
      <c r="A122" s="178">
        <f>PirteiKisuiBeMutzar!D124</f>
        <v>0</v>
      </c>
      <c r="B122" s="178">
        <f>PirteiKisuiBeMutzar!AQ124</f>
        <v>0</v>
      </c>
      <c r="C122" s="178">
        <f>PirteiKisuiBeMutzar!AM124</f>
        <v>0</v>
      </c>
      <c r="D122" s="1000">
        <f>PirteiKisuiBeMutzar!G124</f>
        <v>0</v>
      </c>
      <c r="E122" s="1000">
        <f>PirteiKisuiBeMutzar!W124</f>
        <v>0</v>
      </c>
      <c r="F122" s="1000">
        <f>PirteiKisuiBeMutzar!K124</f>
        <v>0</v>
      </c>
      <c r="G122" s="1000">
        <f>PirteiKisuiBeMutzar!M124</f>
        <v>0</v>
      </c>
      <c r="H122" s="1000">
        <f>PirteiKisuiBeMutzar!P124</f>
        <v>0</v>
      </c>
      <c r="I122" s="1000">
        <f>PirteiKisuiBeMutzar!X124</f>
        <v>0</v>
      </c>
      <c r="J122" s="1000">
        <f>PirteiKisuiBeMutzar!Y124</f>
        <v>0</v>
      </c>
      <c r="K122" s="1000">
        <f>PirteiKisuiBeMutzar!AL124</f>
        <v>0</v>
      </c>
      <c r="L122" s="1000">
        <f>PirteiKisuiBeMutzar!AO124</f>
        <v>0</v>
      </c>
      <c r="M122" s="1000">
        <f>PirteiKisuiBeMutzar!AP124</f>
        <v>0</v>
      </c>
    </row>
    <row r="123" spans="1:13" x14ac:dyDescent="0.2">
      <c r="A123" s="178">
        <f>PirteiKisuiBeMutzar!D125</f>
        <v>0</v>
      </c>
      <c r="B123" s="178">
        <f>PirteiKisuiBeMutzar!AQ125</f>
        <v>0</v>
      </c>
      <c r="C123" s="178">
        <f>PirteiKisuiBeMutzar!AM125</f>
        <v>0</v>
      </c>
      <c r="D123" s="1000">
        <f>PirteiKisuiBeMutzar!G125</f>
        <v>0</v>
      </c>
      <c r="E123" s="1000">
        <f>PirteiKisuiBeMutzar!W125</f>
        <v>0</v>
      </c>
      <c r="F123" s="1000">
        <f>PirteiKisuiBeMutzar!K125</f>
        <v>0</v>
      </c>
      <c r="G123" s="1000">
        <f>PirteiKisuiBeMutzar!M125</f>
        <v>0</v>
      </c>
      <c r="H123" s="1000">
        <f>PirteiKisuiBeMutzar!P125</f>
        <v>0</v>
      </c>
      <c r="I123" s="1000">
        <f>PirteiKisuiBeMutzar!X125</f>
        <v>0</v>
      </c>
      <c r="J123" s="1000">
        <f>PirteiKisuiBeMutzar!Y125</f>
        <v>0</v>
      </c>
      <c r="K123" s="1000">
        <f>PirteiKisuiBeMutzar!AL125</f>
        <v>0</v>
      </c>
      <c r="L123" s="1000">
        <f>PirteiKisuiBeMutzar!AO125</f>
        <v>0</v>
      </c>
      <c r="M123" s="1000">
        <f>PirteiKisuiBeMutzar!AP125</f>
        <v>0</v>
      </c>
    </row>
    <row r="124" spans="1:13" x14ac:dyDescent="0.2">
      <c r="A124" s="178">
        <f>PirteiKisuiBeMutzar!D126</f>
        <v>0</v>
      </c>
      <c r="B124" s="178">
        <f>PirteiKisuiBeMutzar!AQ126</f>
        <v>0</v>
      </c>
      <c r="C124" s="178">
        <f>PirteiKisuiBeMutzar!AM126</f>
        <v>0</v>
      </c>
      <c r="D124" s="1000">
        <f>PirteiKisuiBeMutzar!G126</f>
        <v>0</v>
      </c>
      <c r="E124" s="1000">
        <f>PirteiKisuiBeMutzar!W126</f>
        <v>0</v>
      </c>
      <c r="F124" s="1000">
        <f>PirteiKisuiBeMutzar!K126</f>
        <v>0</v>
      </c>
      <c r="G124" s="1000">
        <f>PirteiKisuiBeMutzar!M126</f>
        <v>0</v>
      </c>
      <c r="H124" s="1000">
        <f>PirteiKisuiBeMutzar!P126</f>
        <v>0</v>
      </c>
      <c r="I124" s="1000">
        <f>PirteiKisuiBeMutzar!X126</f>
        <v>0</v>
      </c>
      <c r="J124" s="1000">
        <f>PirteiKisuiBeMutzar!Y126</f>
        <v>0</v>
      </c>
      <c r="K124" s="1000">
        <f>PirteiKisuiBeMutzar!AL126</f>
        <v>0</v>
      </c>
      <c r="L124" s="1000">
        <f>PirteiKisuiBeMutzar!AO126</f>
        <v>0</v>
      </c>
      <c r="M124" s="1000">
        <f>PirteiKisuiBeMutzar!AP126</f>
        <v>0</v>
      </c>
    </row>
    <row r="125" spans="1:13" x14ac:dyDescent="0.2">
      <c r="A125" s="178">
        <f>PirteiKisuiBeMutzar!D127</f>
        <v>0</v>
      </c>
      <c r="B125" s="178">
        <f>PirteiKisuiBeMutzar!AQ127</f>
        <v>0</v>
      </c>
      <c r="C125" s="178">
        <f>PirteiKisuiBeMutzar!AM127</f>
        <v>0</v>
      </c>
      <c r="D125" s="1000">
        <f>PirteiKisuiBeMutzar!G127</f>
        <v>0</v>
      </c>
      <c r="E125" s="1000">
        <f>PirteiKisuiBeMutzar!W127</f>
        <v>0</v>
      </c>
      <c r="F125" s="1000">
        <f>PirteiKisuiBeMutzar!K127</f>
        <v>0</v>
      </c>
      <c r="G125" s="1000">
        <f>PirteiKisuiBeMutzar!M127</f>
        <v>0</v>
      </c>
      <c r="H125" s="1000">
        <f>PirteiKisuiBeMutzar!P127</f>
        <v>0</v>
      </c>
      <c r="I125" s="1000">
        <f>PirteiKisuiBeMutzar!X127</f>
        <v>0</v>
      </c>
      <c r="J125" s="1000">
        <f>PirteiKisuiBeMutzar!Y127</f>
        <v>0</v>
      </c>
      <c r="K125" s="1000">
        <f>PirteiKisuiBeMutzar!AL127</f>
        <v>0</v>
      </c>
      <c r="L125" s="1000">
        <f>PirteiKisuiBeMutzar!AO127</f>
        <v>0</v>
      </c>
      <c r="M125" s="1000">
        <f>PirteiKisuiBeMutzar!AP127</f>
        <v>0</v>
      </c>
    </row>
    <row r="126" spans="1:13" x14ac:dyDescent="0.2">
      <c r="A126" s="178">
        <f>PirteiKisuiBeMutzar!D128</f>
        <v>0</v>
      </c>
      <c r="B126" s="178">
        <f>PirteiKisuiBeMutzar!AQ128</f>
        <v>0</v>
      </c>
      <c r="C126" s="178">
        <f>PirteiKisuiBeMutzar!AM128</f>
        <v>0</v>
      </c>
      <c r="D126" s="1000">
        <f>PirteiKisuiBeMutzar!G128</f>
        <v>0</v>
      </c>
      <c r="E126" s="1000">
        <f>PirteiKisuiBeMutzar!W128</f>
        <v>0</v>
      </c>
      <c r="F126" s="1000">
        <f>PirteiKisuiBeMutzar!K128</f>
        <v>0</v>
      </c>
      <c r="G126" s="1000">
        <f>PirteiKisuiBeMutzar!M128</f>
        <v>0</v>
      </c>
      <c r="H126" s="1000">
        <f>PirteiKisuiBeMutzar!P128</f>
        <v>0</v>
      </c>
      <c r="I126" s="1000">
        <f>PirteiKisuiBeMutzar!X128</f>
        <v>0</v>
      </c>
      <c r="J126" s="1000">
        <f>PirteiKisuiBeMutzar!Y128</f>
        <v>0</v>
      </c>
      <c r="K126" s="1000">
        <f>PirteiKisuiBeMutzar!AL128</f>
        <v>0</v>
      </c>
      <c r="L126" s="1000">
        <f>PirteiKisuiBeMutzar!AO128</f>
        <v>0</v>
      </c>
      <c r="M126" s="1000">
        <f>PirteiKisuiBeMutzar!AP128</f>
        <v>0</v>
      </c>
    </row>
    <row r="127" spans="1:13" x14ac:dyDescent="0.2">
      <c r="A127" s="178">
        <f>PirteiKisuiBeMutzar!D129</f>
        <v>0</v>
      </c>
      <c r="B127" s="178">
        <f>PirteiKisuiBeMutzar!AQ129</f>
        <v>0</v>
      </c>
      <c r="C127" s="178">
        <f>PirteiKisuiBeMutzar!AM129</f>
        <v>0</v>
      </c>
      <c r="D127" s="1000">
        <f>PirteiKisuiBeMutzar!G129</f>
        <v>0</v>
      </c>
      <c r="E127" s="1000">
        <f>PirteiKisuiBeMutzar!W129</f>
        <v>0</v>
      </c>
      <c r="F127" s="1000">
        <f>PirteiKisuiBeMutzar!K129</f>
        <v>0</v>
      </c>
      <c r="G127" s="1000">
        <f>PirteiKisuiBeMutzar!M129</f>
        <v>0</v>
      </c>
      <c r="H127" s="1000">
        <f>PirteiKisuiBeMutzar!P129</f>
        <v>0</v>
      </c>
      <c r="I127" s="1000">
        <f>PirteiKisuiBeMutzar!X129</f>
        <v>0</v>
      </c>
      <c r="J127" s="1000">
        <f>PirteiKisuiBeMutzar!Y129</f>
        <v>0</v>
      </c>
      <c r="K127" s="1000">
        <f>PirteiKisuiBeMutzar!AL129</f>
        <v>0</v>
      </c>
      <c r="L127" s="1000">
        <f>PirteiKisuiBeMutzar!AO129</f>
        <v>0</v>
      </c>
      <c r="M127" s="1000">
        <f>PirteiKisuiBeMutzar!AP129</f>
        <v>0</v>
      </c>
    </row>
    <row r="128" spans="1:13" x14ac:dyDescent="0.2">
      <c r="A128" s="178">
        <f>PirteiKisuiBeMutzar!D130</f>
        <v>0</v>
      </c>
      <c r="B128" s="178">
        <f>PirteiKisuiBeMutzar!AQ130</f>
        <v>0</v>
      </c>
      <c r="C128" s="178">
        <f>PirteiKisuiBeMutzar!AM130</f>
        <v>0</v>
      </c>
      <c r="D128" s="1000">
        <f>PirteiKisuiBeMutzar!G130</f>
        <v>0</v>
      </c>
      <c r="E128" s="1000">
        <f>PirteiKisuiBeMutzar!W130</f>
        <v>0</v>
      </c>
      <c r="F128" s="1000">
        <f>PirteiKisuiBeMutzar!K130</f>
        <v>0</v>
      </c>
      <c r="G128" s="1000">
        <f>PirteiKisuiBeMutzar!M130</f>
        <v>0</v>
      </c>
      <c r="H128" s="1000">
        <f>PirteiKisuiBeMutzar!P130</f>
        <v>0</v>
      </c>
      <c r="I128" s="1000">
        <f>PirteiKisuiBeMutzar!X130</f>
        <v>0</v>
      </c>
      <c r="J128" s="1000">
        <f>PirteiKisuiBeMutzar!Y130</f>
        <v>0</v>
      </c>
      <c r="K128" s="1000">
        <f>PirteiKisuiBeMutzar!AL130</f>
        <v>0</v>
      </c>
      <c r="L128" s="1000">
        <f>PirteiKisuiBeMutzar!AO130</f>
        <v>0</v>
      </c>
      <c r="M128" s="1000">
        <f>PirteiKisuiBeMutzar!AP130</f>
        <v>0</v>
      </c>
    </row>
    <row r="129" spans="1:13" x14ac:dyDescent="0.2">
      <c r="A129" s="178">
        <f>PirteiKisuiBeMutzar!D131</f>
        <v>0</v>
      </c>
      <c r="B129" s="178">
        <f>PirteiKisuiBeMutzar!AQ131</f>
        <v>0</v>
      </c>
      <c r="C129" s="178">
        <f>PirteiKisuiBeMutzar!AM131</f>
        <v>0</v>
      </c>
      <c r="D129" s="1000">
        <f>PirteiKisuiBeMutzar!G131</f>
        <v>0</v>
      </c>
      <c r="E129" s="1000">
        <f>PirteiKisuiBeMutzar!W131</f>
        <v>0</v>
      </c>
      <c r="F129" s="1000">
        <f>PirteiKisuiBeMutzar!K131</f>
        <v>0</v>
      </c>
      <c r="G129" s="1000">
        <f>PirteiKisuiBeMutzar!M131</f>
        <v>0</v>
      </c>
      <c r="H129" s="1000">
        <f>PirteiKisuiBeMutzar!P131</f>
        <v>0</v>
      </c>
      <c r="I129" s="1000">
        <f>PirteiKisuiBeMutzar!X131</f>
        <v>0</v>
      </c>
      <c r="J129" s="1000">
        <f>PirteiKisuiBeMutzar!Y131</f>
        <v>0</v>
      </c>
      <c r="K129" s="1000">
        <f>PirteiKisuiBeMutzar!AL131</f>
        <v>0</v>
      </c>
      <c r="L129" s="1000">
        <f>PirteiKisuiBeMutzar!AO131</f>
        <v>0</v>
      </c>
      <c r="M129" s="1000">
        <f>PirteiKisuiBeMutzar!AP131</f>
        <v>0</v>
      </c>
    </row>
    <row r="130" spans="1:13" x14ac:dyDescent="0.2">
      <c r="A130" s="178">
        <f>PirteiKisuiBeMutzar!D132</f>
        <v>0</v>
      </c>
      <c r="B130" s="178">
        <f>PirteiKisuiBeMutzar!AQ132</f>
        <v>0</v>
      </c>
      <c r="C130" s="178">
        <f>PirteiKisuiBeMutzar!AM132</f>
        <v>0</v>
      </c>
      <c r="D130" s="1000">
        <f>PirteiKisuiBeMutzar!G132</f>
        <v>0</v>
      </c>
      <c r="E130" s="1000">
        <f>PirteiKisuiBeMutzar!W132</f>
        <v>0</v>
      </c>
      <c r="F130" s="1000">
        <f>PirteiKisuiBeMutzar!K132</f>
        <v>0</v>
      </c>
      <c r="G130" s="1000">
        <f>PirteiKisuiBeMutzar!M132</f>
        <v>0</v>
      </c>
      <c r="H130" s="1000">
        <f>PirteiKisuiBeMutzar!P132</f>
        <v>0</v>
      </c>
      <c r="I130" s="1000">
        <f>PirteiKisuiBeMutzar!X132</f>
        <v>0</v>
      </c>
      <c r="J130" s="1000">
        <f>PirteiKisuiBeMutzar!Y132</f>
        <v>0</v>
      </c>
      <c r="K130" s="1000">
        <f>PirteiKisuiBeMutzar!AL132</f>
        <v>0</v>
      </c>
      <c r="L130" s="1000">
        <f>PirteiKisuiBeMutzar!AO132</f>
        <v>0</v>
      </c>
      <c r="M130" s="1000">
        <f>PirteiKisuiBeMutzar!AP132</f>
        <v>0</v>
      </c>
    </row>
    <row r="131" spans="1:13" x14ac:dyDescent="0.2">
      <c r="A131" s="178">
        <f>PirteiKisuiBeMutzar!D133</f>
        <v>0</v>
      </c>
      <c r="B131" s="178">
        <f>PirteiKisuiBeMutzar!AQ133</f>
        <v>0</v>
      </c>
      <c r="C131" s="178">
        <f>PirteiKisuiBeMutzar!AM133</f>
        <v>0</v>
      </c>
      <c r="D131" s="1000">
        <f>PirteiKisuiBeMutzar!G133</f>
        <v>0</v>
      </c>
      <c r="E131" s="1000">
        <f>PirteiKisuiBeMutzar!W133</f>
        <v>0</v>
      </c>
      <c r="F131" s="1000">
        <f>PirteiKisuiBeMutzar!K133</f>
        <v>0</v>
      </c>
      <c r="G131" s="1000">
        <f>PirteiKisuiBeMutzar!M133</f>
        <v>0</v>
      </c>
      <c r="H131" s="1000">
        <f>PirteiKisuiBeMutzar!P133</f>
        <v>0</v>
      </c>
      <c r="I131" s="1000">
        <f>PirteiKisuiBeMutzar!X133</f>
        <v>0</v>
      </c>
      <c r="J131" s="1000">
        <f>PirteiKisuiBeMutzar!Y133</f>
        <v>0</v>
      </c>
      <c r="K131" s="1000">
        <f>PirteiKisuiBeMutzar!AL133</f>
        <v>0</v>
      </c>
      <c r="L131" s="1000">
        <f>PirteiKisuiBeMutzar!AO133</f>
        <v>0</v>
      </c>
      <c r="M131" s="1000">
        <f>PirteiKisuiBeMutzar!AP133</f>
        <v>0</v>
      </c>
    </row>
    <row r="132" spans="1:13" x14ac:dyDescent="0.2">
      <c r="A132" s="178">
        <f>PirteiKisuiBeMutzar!D134</f>
        <v>0</v>
      </c>
      <c r="B132" s="178">
        <f>PirteiKisuiBeMutzar!AQ134</f>
        <v>0</v>
      </c>
      <c r="C132" s="178">
        <f>PirteiKisuiBeMutzar!AM134</f>
        <v>0</v>
      </c>
      <c r="D132" s="1000">
        <f>PirteiKisuiBeMutzar!G134</f>
        <v>0</v>
      </c>
      <c r="E132" s="1000">
        <f>PirteiKisuiBeMutzar!W134</f>
        <v>0</v>
      </c>
      <c r="F132" s="1000">
        <f>PirteiKisuiBeMutzar!K134</f>
        <v>0</v>
      </c>
      <c r="G132" s="1000">
        <f>PirteiKisuiBeMutzar!M134</f>
        <v>0</v>
      </c>
      <c r="H132" s="1000">
        <f>PirteiKisuiBeMutzar!P134</f>
        <v>0</v>
      </c>
      <c r="I132" s="1000">
        <f>PirteiKisuiBeMutzar!X134</f>
        <v>0</v>
      </c>
      <c r="J132" s="1000">
        <f>PirteiKisuiBeMutzar!Y134</f>
        <v>0</v>
      </c>
      <c r="K132" s="1000">
        <f>PirteiKisuiBeMutzar!AL134</f>
        <v>0</v>
      </c>
      <c r="L132" s="1000">
        <f>PirteiKisuiBeMutzar!AO134</f>
        <v>0</v>
      </c>
      <c r="M132" s="1000">
        <f>PirteiKisuiBeMutzar!AP134</f>
        <v>0</v>
      </c>
    </row>
    <row r="133" spans="1:13" x14ac:dyDescent="0.2">
      <c r="A133" s="178">
        <f>PirteiKisuiBeMutzar!D135</f>
        <v>0</v>
      </c>
      <c r="B133" s="178">
        <f>PirteiKisuiBeMutzar!AQ135</f>
        <v>0</v>
      </c>
      <c r="C133" s="178">
        <f>PirteiKisuiBeMutzar!AM135</f>
        <v>0</v>
      </c>
      <c r="D133" s="1000">
        <f>PirteiKisuiBeMutzar!G135</f>
        <v>0</v>
      </c>
      <c r="E133" s="1000">
        <f>PirteiKisuiBeMutzar!W135</f>
        <v>0</v>
      </c>
      <c r="F133" s="1000">
        <f>PirteiKisuiBeMutzar!K135</f>
        <v>0</v>
      </c>
      <c r="G133" s="1000">
        <f>PirteiKisuiBeMutzar!M135</f>
        <v>0</v>
      </c>
      <c r="H133" s="1000">
        <f>PirteiKisuiBeMutzar!P135</f>
        <v>0</v>
      </c>
      <c r="I133" s="1000">
        <f>PirteiKisuiBeMutzar!X135</f>
        <v>0</v>
      </c>
      <c r="J133" s="1000">
        <f>PirteiKisuiBeMutzar!Y135</f>
        <v>0</v>
      </c>
      <c r="K133" s="1000">
        <f>PirteiKisuiBeMutzar!AL135</f>
        <v>0</v>
      </c>
      <c r="L133" s="1000">
        <f>PirteiKisuiBeMutzar!AO135</f>
        <v>0</v>
      </c>
      <c r="M133" s="1000">
        <f>PirteiKisuiBeMutzar!AP135</f>
        <v>0</v>
      </c>
    </row>
    <row r="134" spans="1:13" x14ac:dyDescent="0.2">
      <c r="A134" s="178">
        <f>PirteiKisuiBeMutzar!D136</f>
        <v>0</v>
      </c>
      <c r="B134" s="178">
        <f>PirteiKisuiBeMutzar!AQ136</f>
        <v>0</v>
      </c>
      <c r="C134" s="178">
        <f>PirteiKisuiBeMutzar!AM136</f>
        <v>0</v>
      </c>
      <c r="D134" s="1000">
        <f>PirteiKisuiBeMutzar!G136</f>
        <v>0</v>
      </c>
      <c r="E134" s="1000">
        <f>PirteiKisuiBeMutzar!W136</f>
        <v>0</v>
      </c>
      <c r="F134" s="1000">
        <f>PirteiKisuiBeMutzar!K136</f>
        <v>0</v>
      </c>
      <c r="G134" s="1000">
        <f>PirteiKisuiBeMutzar!M136</f>
        <v>0</v>
      </c>
      <c r="H134" s="1000">
        <f>PirteiKisuiBeMutzar!P136</f>
        <v>0</v>
      </c>
      <c r="I134" s="1000">
        <f>PirteiKisuiBeMutzar!X136</f>
        <v>0</v>
      </c>
      <c r="J134" s="1000">
        <f>PirteiKisuiBeMutzar!Y136</f>
        <v>0</v>
      </c>
      <c r="K134" s="1000">
        <f>PirteiKisuiBeMutzar!AL136</f>
        <v>0</v>
      </c>
      <c r="L134" s="1000">
        <f>PirteiKisuiBeMutzar!AO136</f>
        <v>0</v>
      </c>
      <c r="M134" s="1000">
        <f>PirteiKisuiBeMutzar!AP136</f>
        <v>0</v>
      </c>
    </row>
    <row r="135" spans="1:13" x14ac:dyDescent="0.2">
      <c r="A135" s="178">
        <f>PirteiKisuiBeMutzar!D137</f>
        <v>0</v>
      </c>
      <c r="B135" s="178">
        <f>PirteiKisuiBeMutzar!AQ137</f>
        <v>0</v>
      </c>
      <c r="C135" s="178">
        <f>PirteiKisuiBeMutzar!AM137</f>
        <v>0</v>
      </c>
      <c r="D135" s="1000">
        <f>PirteiKisuiBeMutzar!G137</f>
        <v>0</v>
      </c>
      <c r="E135" s="1000">
        <f>PirteiKisuiBeMutzar!W137</f>
        <v>0</v>
      </c>
      <c r="F135" s="1000">
        <f>PirteiKisuiBeMutzar!K137</f>
        <v>0</v>
      </c>
      <c r="G135" s="1000">
        <f>PirteiKisuiBeMutzar!M137</f>
        <v>0</v>
      </c>
      <c r="H135" s="1000">
        <f>PirteiKisuiBeMutzar!P137</f>
        <v>0</v>
      </c>
      <c r="I135" s="1000">
        <f>PirteiKisuiBeMutzar!X137</f>
        <v>0</v>
      </c>
      <c r="J135" s="1000">
        <f>PirteiKisuiBeMutzar!Y137</f>
        <v>0</v>
      </c>
      <c r="K135" s="1000">
        <f>PirteiKisuiBeMutzar!AL137</f>
        <v>0</v>
      </c>
      <c r="L135" s="1000">
        <f>PirteiKisuiBeMutzar!AO137</f>
        <v>0</v>
      </c>
      <c r="M135" s="1000">
        <f>PirteiKisuiBeMutzar!AP137</f>
        <v>0</v>
      </c>
    </row>
    <row r="136" spans="1:13" x14ac:dyDescent="0.2">
      <c r="A136" s="178">
        <f>PirteiKisuiBeMutzar!D138</f>
        <v>0</v>
      </c>
      <c r="B136" s="178">
        <f>PirteiKisuiBeMutzar!AQ138</f>
        <v>0</v>
      </c>
      <c r="C136" s="178">
        <f>PirteiKisuiBeMutzar!AM138</f>
        <v>0</v>
      </c>
      <c r="D136" s="1000">
        <f>PirteiKisuiBeMutzar!G138</f>
        <v>0</v>
      </c>
      <c r="E136" s="1000">
        <f>PirteiKisuiBeMutzar!W138</f>
        <v>0</v>
      </c>
      <c r="F136" s="1000">
        <f>PirteiKisuiBeMutzar!K138</f>
        <v>0</v>
      </c>
      <c r="G136" s="1000">
        <f>PirteiKisuiBeMutzar!M138</f>
        <v>0</v>
      </c>
      <c r="H136" s="1000">
        <f>PirteiKisuiBeMutzar!P138</f>
        <v>0</v>
      </c>
      <c r="I136" s="1000">
        <f>PirteiKisuiBeMutzar!X138</f>
        <v>0</v>
      </c>
      <c r="J136" s="1000">
        <f>PirteiKisuiBeMutzar!Y138</f>
        <v>0</v>
      </c>
      <c r="K136" s="1000">
        <f>PirteiKisuiBeMutzar!AL138</f>
        <v>0</v>
      </c>
      <c r="L136" s="1000">
        <f>PirteiKisuiBeMutzar!AO138</f>
        <v>0</v>
      </c>
      <c r="M136" s="1000">
        <f>PirteiKisuiBeMutzar!AP138</f>
        <v>0</v>
      </c>
    </row>
    <row r="137" spans="1:13" x14ac:dyDescent="0.2">
      <c r="A137" s="178">
        <f>PirteiKisuiBeMutzar!D139</f>
        <v>0</v>
      </c>
      <c r="B137" s="178">
        <f>PirteiKisuiBeMutzar!AQ139</f>
        <v>0</v>
      </c>
      <c r="C137" s="178">
        <f>PirteiKisuiBeMutzar!AM139</f>
        <v>0</v>
      </c>
      <c r="D137" s="1000">
        <f>PirteiKisuiBeMutzar!G139</f>
        <v>0</v>
      </c>
      <c r="E137" s="1000">
        <f>PirteiKisuiBeMutzar!W139</f>
        <v>0</v>
      </c>
      <c r="F137" s="1000">
        <f>PirteiKisuiBeMutzar!K139</f>
        <v>0</v>
      </c>
      <c r="G137" s="1000">
        <f>PirteiKisuiBeMutzar!M139</f>
        <v>0</v>
      </c>
      <c r="H137" s="1000">
        <f>PirteiKisuiBeMutzar!P139</f>
        <v>0</v>
      </c>
      <c r="I137" s="1000">
        <f>PirteiKisuiBeMutzar!X139</f>
        <v>0</v>
      </c>
      <c r="J137" s="1000">
        <f>PirteiKisuiBeMutzar!Y139</f>
        <v>0</v>
      </c>
      <c r="K137" s="1000">
        <f>PirteiKisuiBeMutzar!AL139</f>
        <v>0</v>
      </c>
      <c r="L137" s="1000">
        <f>PirteiKisuiBeMutzar!AO139</f>
        <v>0</v>
      </c>
      <c r="M137" s="1000">
        <f>PirteiKisuiBeMutzar!AP139</f>
        <v>0</v>
      </c>
    </row>
    <row r="138" spans="1:13" x14ac:dyDescent="0.2">
      <c r="A138" s="178">
        <f>PirteiKisuiBeMutzar!D140</f>
        <v>0</v>
      </c>
      <c r="B138" s="178">
        <f>PirteiKisuiBeMutzar!AQ140</f>
        <v>0</v>
      </c>
      <c r="C138" s="178">
        <f>PirteiKisuiBeMutzar!AM140</f>
        <v>0</v>
      </c>
      <c r="D138" s="1000">
        <f>PirteiKisuiBeMutzar!G140</f>
        <v>0</v>
      </c>
      <c r="E138" s="1000">
        <f>PirteiKisuiBeMutzar!W140</f>
        <v>0</v>
      </c>
      <c r="F138" s="1000">
        <f>PirteiKisuiBeMutzar!K140</f>
        <v>0</v>
      </c>
      <c r="G138" s="1000">
        <f>PirteiKisuiBeMutzar!M140</f>
        <v>0</v>
      </c>
      <c r="H138" s="1000">
        <f>PirteiKisuiBeMutzar!P140</f>
        <v>0</v>
      </c>
      <c r="I138" s="1000">
        <f>PirteiKisuiBeMutzar!X140</f>
        <v>0</v>
      </c>
      <c r="J138" s="1000">
        <f>PirteiKisuiBeMutzar!Y140</f>
        <v>0</v>
      </c>
      <c r="K138" s="1000">
        <f>PirteiKisuiBeMutzar!AL140</f>
        <v>0</v>
      </c>
      <c r="L138" s="1000">
        <f>PirteiKisuiBeMutzar!AO140</f>
        <v>0</v>
      </c>
      <c r="M138" s="1000">
        <f>PirteiKisuiBeMutzar!AP140</f>
        <v>0</v>
      </c>
    </row>
    <row r="139" spans="1:13" x14ac:dyDescent="0.2">
      <c r="A139" s="178">
        <f>PirteiKisuiBeMutzar!D141</f>
        <v>0</v>
      </c>
      <c r="B139" s="178">
        <f>PirteiKisuiBeMutzar!AQ141</f>
        <v>0</v>
      </c>
      <c r="C139" s="178">
        <f>PirteiKisuiBeMutzar!AM141</f>
        <v>0</v>
      </c>
      <c r="D139" s="1000">
        <f>PirteiKisuiBeMutzar!G141</f>
        <v>0</v>
      </c>
      <c r="E139" s="1000">
        <f>PirteiKisuiBeMutzar!W141</f>
        <v>0</v>
      </c>
      <c r="F139" s="1000">
        <f>PirteiKisuiBeMutzar!K141</f>
        <v>0</v>
      </c>
      <c r="G139" s="1000">
        <f>PirteiKisuiBeMutzar!M141</f>
        <v>0</v>
      </c>
      <c r="H139" s="1000">
        <f>PirteiKisuiBeMutzar!P141</f>
        <v>0</v>
      </c>
      <c r="I139" s="1000">
        <f>PirteiKisuiBeMutzar!X141</f>
        <v>0</v>
      </c>
      <c r="J139" s="1000">
        <f>PirteiKisuiBeMutzar!Y141</f>
        <v>0</v>
      </c>
      <c r="K139" s="1000">
        <f>PirteiKisuiBeMutzar!AL141</f>
        <v>0</v>
      </c>
      <c r="L139" s="1000">
        <f>PirteiKisuiBeMutzar!AO141</f>
        <v>0</v>
      </c>
      <c r="M139" s="1000">
        <f>PirteiKisuiBeMutzar!AP141</f>
        <v>0</v>
      </c>
    </row>
    <row r="140" spans="1:13" x14ac:dyDescent="0.2">
      <c r="A140" s="178">
        <f>PirteiKisuiBeMutzar!D142</f>
        <v>0</v>
      </c>
      <c r="B140" s="178">
        <f>PirteiKisuiBeMutzar!AQ142</f>
        <v>0</v>
      </c>
      <c r="C140" s="178">
        <f>PirteiKisuiBeMutzar!AM142</f>
        <v>0</v>
      </c>
      <c r="D140" s="1000">
        <f>PirteiKisuiBeMutzar!G142</f>
        <v>0</v>
      </c>
      <c r="E140" s="1000">
        <f>PirteiKisuiBeMutzar!W142</f>
        <v>0</v>
      </c>
      <c r="F140" s="1000">
        <f>PirteiKisuiBeMutzar!K142</f>
        <v>0</v>
      </c>
      <c r="G140" s="1000">
        <f>PirteiKisuiBeMutzar!M142</f>
        <v>0</v>
      </c>
      <c r="H140" s="1000">
        <f>PirteiKisuiBeMutzar!P142</f>
        <v>0</v>
      </c>
      <c r="I140" s="1000">
        <f>PirteiKisuiBeMutzar!X142</f>
        <v>0</v>
      </c>
      <c r="J140" s="1000">
        <f>PirteiKisuiBeMutzar!Y142</f>
        <v>0</v>
      </c>
      <c r="K140" s="1000">
        <f>PirteiKisuiBeMutzar!AL142</f>
        <v>0</v>
      </c>
      <c r="L140" s="1000">
        <f>PirteiKisuiBeMutzar!AO142</f>
        <v>0</v>
      </c>
      <c r="M140" s="1000">
        <f>PirteiKisuiBeMutzar!AP142</f>
        <v>0</v>
      </c>
    </row>
    <row r="141" spans="1:13" x14ac:dyDescent="0.2">
      <c r="A141" s="178">
        <f>PirteiKisuiBeMutzar!D143</f>
        <v>0</v>
      </c>
      <c r="B141" s="178">
        <f>PirteiKisuiBeMutzar!AQ143</f>
        <v>0</v>
      </c>
      <c r="C141" s="178">
        <f>PirteiKisuiBeMutzar!AM143</f>
        <v>0</v>
      </c>
      <c r="D141" s="1000">
        <f>PirteiKisuiBeMutzar!G143</f>
        <v>0</v>
      </c>
      <c r="E141" s="1000">
        <f>PirteiKisuiBeMutzar!W143</f>
        <v>0</v>
      </c>
      <c r="F141" s="1000">
        <f>PirteiKisuiBeMutzar!K143</f>
        <v>0</v>
      </c>
      <c r="G141" s="1000">
        <f>PirteiKisuiBeMutzar!M143</f>
        <v>0</v>
      </c>
      <c r="H141" s="1000">
        <f>PirteiKisuiBeMutzar!P143</f>
        <v>0</v>
      </c>
      <c r="I141" s="1000">
        <f>PirteiKisuiBeMutzar!X143</f>
        <v>0</v>
      </c>
      <c r="J141" s="1000">
        <f>PirteiKisuiBeMutzar!Y143</f>
        <v>0</v>
      </c>
      <c r="K141" s="1000">
        <f>PirteiKisuiBeMutzar!AL143</f>
        <v>0</v>
      </c>
      <c r="L141" s="1000">
        <f>PirteiKisuiBeMutzar!AO143</f>
        <v>0</v>
      </c>
      <c r="M141" s="1000">
        <f>PirteiKisuiBeMutzar!AP143</f>
        <v>0</v>
      </c>
    </row>
    <row r="142" spans="1:13" x14ac:dyDescent="0.2">
      <c r="A142" s="178">
        <f>PirteiKisuiBeMutzar!D144</f>
        <v>0</v>
      </c>
      <c r="B142" s="178">
        <f>PirteiKisuiBeMutzar!AQ144</f>
        <v>0</v>
      </c>
      <c r="C142" s="178">
        <f>PirteiKisuiBeMutzar!AM144</f>
        <v>0</v>
      </c>
      <c r="D142" s="1000">
        <f>PirteiKisuiBeMutzar!G144</f>
        <v>0</v>
      </c>
      <c r="E142" s="1000">
        <f>PirteiKisuiBeMutzar!W144</f>
        <v>0</v>
      </c>
      <c r="F142" s="1000">
        <f>PirteiKisuiBeMutzar!K144</f>
        <v>0</v>
      </c>
      <c r="G142" s="1000">
        <f>PirteiKisuiBeMutzar!M144</f>
        <v>0</v>
      </c>
      <c r="H142" s="1000">
        <f>PirteiKisuiBeMutzar!P144</f>
        <v>0</v>
      </c>
      <c r="I142" s="1000">
        <f>PirteiKisuiBeMutzar!X144</f>
        <v>0</v>
      </c>
      <c r="J142" s="1000">
        <f>PirteiKisuiBeMutzar!Y144</f>
        <v>0</v>
      </c>
      <c r="K142" s="1000">
        <f>PirteiKisuiBeMutzar!AL144</f>
        <v>0</v>
      </c>
      <c r="L142" s="1000">
        <f>PirteiKisuiBeMutzar!AO144</f>
        <v>0</v>
      </c>
      <c r="M142" s="1000">
        <f>PirteiKisuiBeMutzar!AP144</f>
        <v>0</v>
      </c>
    </row>
    <row r="143" spans="1:13" x14ac:dyDescent="0.2">
      <c r="A143" s="178">
        <f>PirteiKisuiBeMutzar!D145</f>
        <v>0</v>
      </c>
      <c r="B143" s="178">
        <f>PirteiKisuiBeMutzar!AQ145</f>
        <v>0</v>
      </c>
      <c r="C143" s="178">
        <f>PirteiKisuiBeMutzar!AM145</f>
        <v>0</v>
      </c>
      <c r="D143" s="1000">
        <f>PirteiKisuiBeMutzar!G145</f>
        <v>0</v>
      </c>
      <c r="E143" s="1000">
        <f>PirteiKisuiBeMutzar!W145</f>
        <v>0</v>
      </c>
      <c r="F143" s="1000">
        <f>PirteiKisuiBeMutzar!K145</f>
        <v>0</v>
      </c>
      <c r="G143" s="1000">
        <f>PirteiKisuiBeMutzar!M145</f>
        <v>0</v>
      </c>
      <c r="H143" s="1000">
        <f>PirteiKisuiBeMutzar!P145</f>
        <v>0</v>
      </c>
      <c r="I143" s="1000">
        <f>PirteiKisuiBeMutzar!X145</f>
        <v>0</v>
      </c>
      <c r="J143" s="1000">
        <f>PirteiKisuiBeMutzar!Y145</f>
        <v>0</v>
      </c>
      <c r="K143" s="1000">
        <f>PirteiKisuiBeMutzar!AL145</f>
        <v>0</v>
      </c>
      <c r="L143" s="1000">
        <f>PirteiKisuiBeMutzar!AO145</f>
        <v>0</v>
      </c>
      <c r="M143" s="1000">
        <f>PirteiKisuiBeMutzar!AP145</f>
        <v>0</v>
      </c>
    </row>
    <row r="144" spans="1:13" x14ac:dyDescent="0.2">
      <c r="A144" s="178">
        <f>PirteiKisuiBeMutzar!D146</f>
        <v>0</v>
      </c>
      <c r="B144" s="178">
        <f>PirteiKisuiBeMutzar!AQ146</f>
        <v>0</v>
      </c>
      <c r="C144" s="178">
        <f>PirteiKisuiBeMutzar!AM146</f>
        <v>0</v>
      </c>
      <c r="D144" s="1000">
        <f>PirteiKisuiBeMutzar!G146</f>
        <v>0</v>
      </c>
      <c r="E144" s="1000">
        <f>PirteiKisuiBeMutzar!W146</f>
        <v>0</v>
      </c>
      <c r="F144" s="1000">
        <f>PirteiKisuiBeMutzar!K146</f>
        <v>0</v>
      </c>
      <c r="G144" s="1000">
        <f>PirteiKisuiBeMutzar!M146</f>
        <v>0</v>
      </c>
      <c r="H144" s="1000">
        <f>PirteiKisuiBeMutzar!P146</f>
        <v>0</v>
      </c>
      <c r="I144" s="1000">
        <f>PirteiKisuiBeMutzar!X146</f>
        <v>0</v>
      </c>
      <c r="J144" s="1000">
        <f>PirteiKisuiBeMutzar!Y146</f>
        <v>0</v>
      </c>
      <c r="K144" s="1000">
        <f>PirteiKisuiBeMutzar!AL146</f>
        <v>0</v>
      </c>
      <c r="L144" s="1000">
        <f>PirteiKisuiBeMutzar!AO146</f>
        <v>0</v>
      </c>
      <c r="M144" s="1000">
        <f>PirteiKisuiBeMutzar!AP146</f>
        <v>0</v>
      </c>
    </row>
    <row r="145" spans="1:13" x14ac:dyDescent="0.2">
      <c r="A145" s="178">
        <f>PirteiKisuiBeMutzar!D147</f>
        <v>0</v>
      </c>
      <c r="B145" s="178">
        <f>PirteiKisuiBeMutzar!AQ147</f>
        <v>0</v>
      </c>
      <c r="C145" s="178">
        <f>PirteiKisuiBeMutzar!AM147</f>
        <v>0</v>
      </c>
      <c r="D145" s="1000">
        <f>PirteiKisuiBeMutzar!G147</f>
        <v>0</v>
      </c>
      <c r="E145" s="1000">
        <f>PirteiKisuiBeMutzar!W147</f>
        <v>0</v>
      </c>
      <c r="F145" s="1000">
        <f>PirteiKisuiBeMutzar!K147</f>
        <v>0</v>
      </c>
      <c r="G145" s="1000">
        <f>PirteiKisuiBeMutzar!M147</f>
        <v>0</v>
      </c>
      <c r="H145" s="1000">
        <f>PirteiKisuiBeMutzar!P147</f>
        <v>0</v>
      </c>
      <c r="I145" s="1000">
        <f>PirteiKisuiBeMutzar!X147</f>
        <v>0</v>
      </c>
      <c r="J145" s="1000">
        <f>PirteiKisuiBeMutzar!Y147</f>
        <v>0</v>
      </c>
      <c r="K145" s="1000">
        <f>PirteiKisuiBeMutzar!AL147</f>
        <v>0</v>
      </c>
      <c r="L145" s="1000">
        <f>PirteiKisuiBeMutzar!AO147</f>
        <v>0</v>
      </c>
      <c r="M145" s="1000">
        <f>PirteiKisuiBeMutzar!AP147</f>
        <v>0</v>
      </c>
    </row>
    <row r="146" spans="1:13" x14ac:dyDescent="0.2">
      <c r="A146" s="178">
        <f>PirteiKisuiBeMutzar!D148</f>
        <v>0</v>
      </c>
      <c r="B146" s="178">
        <f>PirteiKisuiBeMutzar!AQ148</f>
        <v>0</v>
      </c>
      <c r="C146" s="178">
        <f>PirteiKisuiBeMutzar!AM148</f>
        <v>0</v>
      </c>
      <c r="D146" s="1000">
        <f>PirteiKisuiBeMutzar!G148</f>
        <v>0</v>
      </c>
      <c r="E146" s="1000">
        <f>PirteiKisuiBeMutzar!W148</f>
        <v>0</v>
      </c>
      <c r="F146" s="1000">
        <f>PirteiKisuiBeMutzar!K148</f>
        <v>0</v>
      </c>
      <c r="G146" s="1000">
        <f>PirteiKisuiBeMutzar!M148</f>
        <v>0</v>
      </c>
      <c r="H146" s="1000">
        <f>PirteiKisuiBeMutzar!P148</f>
        <v>0</v>
      </c>
      <c r="I146" s="1000">
        <f>PirteiKisuiBeMutzar!X148</f>
        <v>0</v>
      </c>
      <c r="J146" s="1000">
        <f>PirteiKisuiBeMutzar!Y148</f>
        <v>0</v>
      </c>
      <c r="K146" s="1000">
        <f>PirteiKisuiBeMutzar!AL148</f>
        <v>0</v>
      </c>
      <c r="L146" s="1000">
        <f>PirteiKisuiBeMutzar!AO148</f>
        <v>0</v>
      </c>
      <c r="M146" s="1000">
        <f>PirteiKisuiBeMutzar!AP148</f>
        <v>0</v>
      </c>
    </row>
    <row r="147" spans="1:13" x14ac:dyDescent="0.2">
      <c r="A147" s="178">
        <f>PirteiKisuiBeMutzar!D149</f>
        <v>0</v>
      </c>
      <c r="B147" s="178">
        <f>PirteiKisuiBeMutzar!AQ149</f>
        <v>0</v>
      </c>
      <c r="C147" s="178">
        <f>PirteiKisuiBeMutzar!AM149</f>
        <v>0</v>
      </c>
      <c r="D147" s="1000">
        <f>PirteiKisuiBeMutzar!G149</f>
        <v>0</v>
      </c>
      <c r="E147" s="1000">
        <f>PirteiKisuiBeMutzar!W149</f>
        <v>0</v>
      </c>
      <c r="F147" s="1000">
        <f>PirteiKisuiBeMutzar!K149</f>
        <v>0</v>
      </c>
      <c r="G147" s="1000">
        <f>PirteiKisuiBeMutzar!M149</f>
        <v>0</v>
      </c>
      <c r="H147" s="1000">
        <f>PirteiKisuiBeMutzar!P149</f>
        <v>0</v>
      </c>
      <c r="I147" s="1000">
        <f>PirteiKisuiBeMutzar!X149</f>
        <v>0</v>
      </c>
      <c r="J147" s="1000">
        <f>PirteiKisuiBeMutzar!Y149</f>
        <v>0</v>
      </c>
      <c r="K147" s="1000">
        <f>PirteiKisuiBeMutzar!AL149</f>
        <v>0</v>
      </c>
      <c r="L147" s="1000">
        <f>PirteiKisuiBeMutzar!AO149</f>
        <v>0</v>
      </c>
      <c r="M147" s="1000">
        <f>PirteiKisuiBeMutzar!AP149</f>
        <v>0</v>
      </c>
    </row>
    <row r="148" spans="1:13" x14ac:dyDescent="0.2">
      <c r="A148" s="178">
        <f>PirteiKisuiBeMutzar!D150</f>
        <v>0</v>
      </c>
      <c r="B148" s="178">
        <f>PirteiKisuiBeMutzar!AQ150</f>
        <v>0</v>
      </c>
      <c r="C148" s="178">
        <f>PirteiKisuiBeMutzar!AM150</f>
        <v>0</v>
      </c>
      <c r="D148" s="1000">
        <f>PirteiKisuiBeMutzar!G150</f>
        <v>0</v>
      </c>
      <c r="E148" s="1000">
        <f>PirteiKisuiBeMutzar!W150</f>
        <v>0</v>
      </c>
      <c r="F148" s="1000">
        <f>PirteiKisuiBeMutzar!K150</f>
        <v>0</v>
      </c>
      <c r="G148" s="1000">
        <f>PirteiKisuiBeMutzar!M150</f>
        <v>0</v>
      </c>
      <c r="H148" s="1000">
        <f>PirteiKisuiBeMutzar!P150</f>
        <v>0</v>
      </c>
      <c r="I148" s="1000">
        <f>PirteiKisuiBeMutzar!X150</f>
        <v>0</v>
      </c>
      <c r="J148" s="1000">
        <f>PirteiKisuiBeMutzar!Y150</f>
        <v>0</v>
      </c>
      <c r="K148" s="1000">
        <f>PirteiKisuiBeMutzar!AL150</f>
        <v>0</v>
      </c>
      <c r="L148" s="1000">
        <f>PirteiKisuiBeMutzar!AO150</f>
        <v>0</v>
      </c>
      <c r="M148" s="1000">
        <f>PirteiKisuiBeMutzar!AP150</f>
        <v>0</v>
      </c>
    </row>
    <row r="149" spans="1:13" x14ac:dyDescent="0.2">
      <c r="A149" s="178">
        <f>PirteiKisuiBeMutzar!D151</f>
        <v>0</v>
      </c>
      <c r="B149" s="178">
        <f>PirteiKisuiBeMutzar!AQ151</f>
        <v>0</v>
      </c>
      <c r="C149" s="178">
        <f>PirteiKisuiBeMutzar!AM151</f>
        <v>0</v>
      </c>
      <c r="D149" s="1000">
        <f>PirteiKisuiBeMutzar!G151</f>
        <v>0</v>
      </c>
      <c r="E149" s="1000">
        <f>PirteiKisuiBeMutzar!W151</f>
        <v>0</v>
      </c>
      <c r="F149" s="1000">
        <f>PirteiKisuiBeMutzar!K151</f>
        <v>0</v>
      </c>
      <c r="G149" s="1000">
        <f>PirteiKisuiBeMutzar!M151</f>
        <v>0</v>
      </c>
      <c r="H149" s="1000">
        <f>PirteiKisuiBeMutzar!P151</f>
        <v>0</v>
      </c>
      <c r="I149" s="1000">
        <f>PirteiKisuiBeMutzar!X151</f>
        <v>0</v>
      </c>
      <c r="J149" s="1000">
        <f>PirteiKisuiBeMutzar!Y151</f>
        <v>0</v>
      </c>
      <c r="K149" s="1000">
        <f>PirteiKisuiBeMutzar!AL151</f>
        <v>0</v>
      </c>
      <c r="L149" s="1000">
        <f>PirteiKisuiBeMutzar!AO151</f>
        <v>0</v>
      </c>
      <c r="M149" s="1000">
        <f>PirteiKisuiBeMutzar!AP151</f>
        <v>0</v>
      </c>
    </row>
    <row r="150" spans="1:13" x14ac:dyDescent="0.2">
      <c r="A150" s="178">
        <f>PirteiKisuiBeMutzar!D152</f>
        <v>0</v>
      </c>
      <c r="B150" s="178">
        <f>PirteiKisuiBeMutzar!AQ152</f>
        <v>0</v>
      </c>
      <c r="C150" s="178">
        <f>PirteiKisuiBeMutzar!AM152</f>
        <v>0</v>
      </c>
      <c r="D150" s="1000">
        <f>PirteiKisuiBeMutzar!G152</f>
        <v>0</v>
      </c>
      <c r="E150" s="1000">
        <f>PirteiKisuiBeMutzar!W152</f>
        <v>0</v>
      </c>
      <c r="F150" s="1000">
        <f>PirteiKisuiBeMutzar!K152</f>
        <v>0</v>
      </c>
      <c r="G150" s="1000">
        <f>PirteiKisuiBeMutzar!M152</f>
        <v>0</v>
      </c>
      <c r="H150" s="1000">
        <f>PirteiKisuiBeMutzar!P152</f>
        <v>0</v>
      </c>
      <c r="I150" s="1000">
        <f>PirteiKisuiBeMutzar!X152</f>
        <v>0</v>
      </c>
      <c r="J150" s="1000">
        <f>PirteiKisuiBeMutzar!Y152</f>
        <v>0</v>
      </c>
      <c r="K150" s="1000">
        <f>PirteiKisuiBeMutzar!AL152</f>
        <v>0</v>
      </c>
      <c r="L150" s="1000">
        <f>PirteiKisuiBeMutzar!AO152</f>
        <v>0</v>
      </c>
      <c r="M150" s="1000">
        <f>PirteiKisuiBeMutzar!AP152</f>
        <v>0</v>
      </c>
    </row>
    <row r="151" spans="1:13" x14ac:dyDescent="0.2">
      <c r="A151" s="178">
        <f>PirteiKisuiBeMutzar!D153</f>
        <v>0</v>
      </c>
      <c r="B151" s="178">
        <f>PirteiKisuiBeMutzar!AQ153</f>
        <v>0</v>
      </c>
      <c r="C151" s="178">
        <f>PirteiKisuiBeMutzar!AM153</f>
        <v>0</v>
      </c>
      <c r="D151" s="1000">
        <f>PirteiKisuiBeMutzar!G153</f>
        <v>0</v>
      </c>
      <c r="E151" s="1000">
        <f>PirteiKisuiBeMutzar!W153</f>
        <v>0</v>
      </c>
      <c r="F151" s="1000">
        <f>PirteiKisuiBeMutzar!K153</f>
        <v>0</v>
      </c>
      <c r="G151" s="1000">
        <f>PirteiKisuiBeMutzar!M153</f>
        <v>0</v>
      </c>
      <c r="H151" s="1000">
        <f>PirteiKisuiBeMutzar!P153</f>
        <v>0</v>
      </c>
      <c r="I151" s="1000">
        <f>PirteiKisuiBeMutzar!X153</f>
        <v>0</v>
      </c>
      <c r="J151" s="1000">
        <f>PirteiKisuiBeMutzar!Y153</f>
        <v>0</v>
      </c>
      <c r="K151" s="1000">
        <f>PirteiKisuiBeMutzar!AL153</f>
        <v>0</v>
      </c>
      <c r="L151" s="1000">
        <f>PirteiKisuiBeMutzar!AO153</f>
        <v>0</v>
      </c>
      <c r="M151" s="1000">
        <f>PirteiKisuiBeMutzar!AP153</f>
        <v>0</v>
      </c>
    </row>
    <row r="152" spans="1:13" x14ac:dyDescent="0.2">
      <c r="A152" s="178">
        <f>PirteiKisuiBeMutzar!D154</f>
        <v>0</v>
      </c>
      <c r="B152" s="178">
        <f>PirteiKisuiBeMutzar!AQ154</f>
        <v>0</v>
      </c>
      <c r="C152" s="178">
        <f>PirteiKisuiBeMutzar!AM154</f>
        <v>0</v>
      </c>
      <c r="D152" s="1000">
        <f>PirteiKisuiBeMutzar!G154</f>
        <v>0</v>
      </c>
      <c r="E152" s="1000">
        <f>PirteiKisuiBeMutzar!W154</f>
        <v>0</v>
      </c>
      <c r="F152" s="1000">
        <f>PirteiKisuiBeMutzar!K154</f>
        <v>0</v>
      </c>
      <c r="G152" s="1000">
        <f>PirteiKisuiBeMutzar!M154</f>
        <v>0</v>
      </c>
      <c r="H152" s="1000">
        <f>PirteiKisuiBeMutzar!P154</f>
        <v>0</v>
      </c>
      <c r="I152" s="1000">
        <f>PirteiKisuiBeMutzar!X154</f>
        <v>0</v>
      </c>
      <c r="J152" s="1000">
        <f>PirteiKisuiBeMutzar!Y154</f>
        <v>0</v>
      </c>
      <c r="K152" s="1000">
        <f>PirteiKisuiBeMutzar!AL154</f>
        <v>0</v>
      </c>
      <c r="L152" s="1000">
        <f>PirteiKisuiBeMutzar!AO154</f>
        <v>0</v>
      </c>
      <c r="M152" s="1000">
        <f>PirteiKisuiBeMutzar!AP154</f>
        <v>0</v>
      </c>
    </row>
    <row r="153" spans="1:13" x14ac:dyDescent="0.2">
      <c r="A153" s="178">
        <f>PirteiKisuiBeMutzar!D155</f>
        <v>0</v>
      </c>
      <c r="B153" s="178">
        <f>PirteiKisuiBeMutzar!AQ155</f>
        <v>0</v>
      </c>
      <c r="C153" s="178">
        <f>PirteiKisuiBeMutzar!AM155</f>
        <v>0</v>
      </c>
      <c r="D153" s="1000">
        <f>PirteiKisuiBeMutzar!G155</f>
        <v>0</v>
      </c>
      <c r="E153" s="1000">
        <f>PirteiKisuiBeMutzar!W155</f>
        <v>0</v>
      </c>
      <c r="F153" s="1000">
        <f>PirteiKisuiBeMutzar!K155</f>
        <v>0</v>
      </c>
      <c r="G153" s="1000">
        <f>PirteiKisuiBeMutzar!M155</f>
        <v>0</v>
      </c>
      <c r="H153" s="1000">
        <f>PirteiKisuiBeMutzar!P155</f>
        <v>0</v>
      </c>
      <c r="I153" s="1000">
        <f>PirteiKisuiBeMutzar!X155</f>
        <v>0</v>
      </c>
      <c r="J153" s="1000">
        <f>PirteiKisuiBeMutzar!Y155</f>
        <v>0</v>
      </c>
      <c r="K153" s="1000">
        <f>PirteiKisuiBeMutzar!AL155</f>
        <v>0</v>
      </c>
      <c r="L153" s="1000">
        <f>PirteiKisuiBeMutzar!AO155</f>
        <v>0</v>
      </c>
      <c r="M153" s="1000">
        <f>PirteiKisuiBeMutzar!AP155</f>
        <v>0</v>
      </c>
    </row>
    <row r="154" spans="1:13" x14ac:dyDescent="0.2">
      <c r="A154" s="178">
        <f>PirteiKisuiBeMutzar!D156</f>
        <v>0</v>
      </c>
      <c r="B154" s="178">
        <f>PirteiKisuiBeMutzar!AQ156</f>
        <v>0</v>
      </c>
      <c r="C154" s="178">
        <f>PirteiKisuiBeMutzar!AM156</f>
        <v>0</v>
      </c>
      <c r="D154" s="1000">
        <f>PirteiKisuiBeMutzar!G156</f>
        <v>0</v>
      </c>
      <c r="E154" s="1000">
        <f>PirteiKisuiBeMutzar!W156</f>
        <v>0</v>
      </c>
      <c r="F154" s="1000">
        <f>PirteiKisuiBeMutzar!K156</f>
        <v>0</v>
      </c>
      <c r="G154" s="1000">
        <f>PirteiKisuiBeMutzar!M156</f>
        <v>0</v>
      </c>
      <c r="H154" s="1000">
        <f>PirteiKisuiBeMutzar!P156</f>
        <v>0</v>
      </c>
      <c r="I154" s="1000">
        <f>PirteiKisuiBeMutzar!X156</f>
        <v>0</v>
      </c>
      <c r="J154" s="1000">
        <f>PirteiKisuiBeMutzar!Y156</f>
        <v>0</v>
      </c>
      <c r="K154" s="1000">
        <f>PirteiKisuiBeMutzar!AL156</f>
        <v>0</v>
      </c>
      <c r="L154" s="1000">
        <f>PirteiKisuiBeMutzar!AO156</f>
        <v>0</v>
      </c>
      <c r="M154" s="1000">
        <f>PirteiKisuiBeMutzar!AP156</f>
        <v>0</v>
      </c>
    </row>
    <row r="155" spans="1:13" x14ac:dyDescent="0.2">
      <c r="A155" s="178">
        <f>PirteiKisuiBeMutzar!D157</f>
        <v>0</v>
      </c>
      <c r="B155" s="178">
        <f>PirteiKisuiBeMutzar!AQ157</f>
        <v>0</v>
      </c>
      <c r="C155" s="178">
        <f>PirteiKisuiBeMutzar!AM157</f>
        <v>0</v>
      </c>
      <c r="D155" s="1000">
        <f>PirteiKisuiBeMutzar!G157</f>
        <v>0</v>
      </c>
      <c r="E155" s="1000">
        <f>PirteiKisuiBeMutzar!W157</f>
        <v>0</v>
      </c>
      <c r="F155" s="1000">
        <f>PirteiKisuiBeMutzar!K157</f>
        <v>0</v>
      </c>
      <c r="G155" s="1000">
        <f>PirteiKisuiBeMutzar!M157</f>
        <v>0</v>
      </c>
      <c r="H155" s="1000">
        <f>PirteiKisuiBeMutzar!P157</f>
        <v>0</v>
      </c>
      <c r="I155" s="1000">
        <f>PirteiKisuiBeMutzar!X157</f>
        <v>0</v>
      </c>
      <c r="J155" s="1000">
        <f>PirteiKisuiBeMutzar!Y157</f>
        <v>0</v>
      </c>
      <c r="K155" s="1000">
        <f>PirteiKisuiBeMutzar!AL157</f>
        <v>0</v>
      </c>
      <c r="L155" s="1000">
        <f>PirteiKisuiBeMutzar!AO157</f>
        <v>0</v>
      </c>
      <c r="M155" s="1000">
        <f>PirteiKisuiBeMutzar!AP157</f>
        <v>0</v>
      </c>
    </row>
    <row r="156" spans="1:13" x14ac:dyDescent="0.2">
      <c r="A156" s="178">
        <f>PirteiKisuiBeMutzar!D158</f>
        <v>0</v>
      </c>
      <c r="B156" s="178">
        <f>PirteiKisuiBeMutzar!AQ158</f>
        <v>0</v>
      </c>
      <c r="C156" s="178">
        <f>PirteiKisuiBeMutzar!AM158</f>
        <v>0</v>
      </c>
      <c r="D156" s="1000">
        <f>PirteiKisuiBeMutzar!G158</f>
        <v>0</v>
      </c>
      <c r="E156" s="1000">
        <f>PirteiKisuiBeMutzar!W158</f>
        <v>0</v>
      </c>
      <c r="F156" s="1000">
        <f>PirteiKisuiBeMutzar!K158</f>
        <v>0</v>
      </c>
      <c r="G156" s="1000">
        <f>PirteiKisuiBeMutzar!M158</f>
        <v>0</v>
      </c>
      <c r="H156" s="1000">
        <f>PirteiKisuiBeMutzar!P158</f>
        <v>0</v>
      </c>
      <c r="I156" s="1000">
        <f>PirteiKisuiBeMutzar!X158</f>
        <v>0</v>
      </c>
      <c r="J156" s="1000">
        <f>PirteiKisuiBeMutzar!Y158</f>
        <v>0</v>
      </c>
      <c r="K156" s="1000">
        <f>PirteiKisuiBeMutzar!AL158</f>
        <v>0</v>
      </c>
      <c r="L156" s="1000">
        <f>PirteiKisuiBeMutzar!AO158</f>
        <v>0</v>
      </c>
      <c r="M156" s="1000">
        <f>PirteiKisuiBeMutzar!AP158</f>
        <v>0</v>
      </c>
    </row>
    <row r="157" spans="1:13" x14ac:dyDescent="0.2">
      <c r="A157" s="178">
        <f>PirteiKisuiBeMutzar!D159</f>
        <v>0</v>
      </c>
      <c r="B157" s="178">
        <f>PirteiKisuiBeMutzar!AQ159</f>
        <v>0</v>
      </c>
      <c r="C157" s="178">
        <f>PirteiKisuiBeMutzar!AM159</f>
        <v>0</v>
      </c>
      <c r="D157" s="1000">
        <f>PirteiKisuiBeMutzar!G159</f>
        <v>0</v>
      </c>
      <c r="E157" s="1000">
        <f>PirteiKisuiBeMutzar!W159</f>
        <v>0</v>
      </c>
      <c r="F157" s="1000">
        <f>PirteiKisuiBeMutzar!K159</f>
        <v>0</v>
      </c>
      <c r="G157" s="1000">
        <f>PirteiKisuiBeMutzar!M159</f>
        <v>0</v>
      </c>
      <c r="H157" s="1000">
        <f>PirteiKisuiBeMutzar!P159</f>
        <v>0</v>
      </c>
      <c r="I157" s="1000">
        <f>PirteiKisuiBeMutzar!X159</f>
        <v>0</v>
      </c>
      <c r="J157" s="1000">
        <f>PirteiKisuiBeMutzar!Y159</f>
        <v>0</v>
      </c>
      <c r="K157" s="1000">
        <f>PirteiKisuiBeMutzar!AL159</f>
        <v>0</v>
      </c>
      <c r="L157" s="1000">
        <f>PirteiKisuiBeMutzar!AO159</f>
        <v>0</v>
      </c>
      <c r="M157" s="1000">
        <f>PirteiKisuiBeMutzar!AP159</f>
        <v>0</v>
      </c>
    </row>
    <row r="158" spans="1:13" x14ac:dyDescent="0.2">
      <c r="A158" s="178">
        <f>PirteiKisuiBeMutzar!D160</f>
        <v>0</v>
      </c>
      <c r="B158" s="178">
        <f>PirteiKisuiBeMutzar!AQ160</f>
        <v>0</v>
      </c>
      <c r="C158" s="178">
        <f>PirteiKisuiBeMutzar!AM160</f>
        <v>0</v>
      </c>
      <c r="D158" s="1000">
        <f>PirteiKisuiBeMutzar!G160</f>
        <v>0</v>
      </c>
      <c r="E158" s="1000">
        <f>PirteiKisuiBeMutzar!W160</f>
        <v>0</v>
      </c>
      <c r="F158" s="1000">
        <f>PirteiKisuiBeMutzar!K160</f>
        <v>0</v>
      </c>
      <c r="G158" s="1000">
        <f>PirteiKisuiBeMutzar!M160</f>
        <v>0</v>
      </c>
      <c r="H158" s="1000">
        <f>PirteiKisuiBeMutzar!P160</f>
        <v>0</v>
      </c>
      <c r="I158" s="1000">
        <f>PirteiKisuiBeMutzar!X160</f>
        <v>0</v>
      </c>
      <c r="J158" s="1000">
        <f>PirteiKisuiBeMutzar!Y160</f>
        <v>0</v>
      </c>
      <c r="K158" s="1000">
        <f>PirteiKisuiBeMutzar!AL160</f>
        <v>0</v>
      </c>
      <c r="L158" s="1000">
        <f>PirteiKisuiBeMutzar!AO160</f>
        <v>0</v>
      </c>
      <c r="M158" s="1000">
        <f>PirteiKisuiBeMutzar!AP160</f>
        <v>0</v>
      </c>
    </row>
    <row r="159" spans="1:13" x14ac:dyDescent="0.2">
      <c r="A159" s="178">
        <f>PirteiKisuiBeMutzar!D161</f>
        <v>0</v>
      </c>
      <c r="B159" s="178">
        <f>PirteiKisuiBeMutzar!AQ161</f>
        <v>0</v>
      </c>
      <c r="C159" s="178">
        <f>PirteiKisuiBeMutzar!AM161</f>
        <v>0</v>
      </c>
      <c r="D159" s="178">
        <f>PirteiKisuiBeMutzar!G161</f>
        <v>0</v>
      </c>
      <c r="E159" s="178">
        <f>PirteiKisuiBeMutzar!W161</f>
        <v>0</v>
      </c>
      <c r="F159" s="178">
        <f>PirteiKisuiBeMutzar!K161</f>
        <v>0</v>
      </c>
      <c r="G159" s="178">
        <f>PirteiKisuiBeMutzar!M161</f>
        <v>0</v>
      </c>
      <c r="H159" s="979">
        <f>PirteiKisuiBeMutzar!P161</f>
        <v>0</v>
      </c>
      <c r="I159" s="178">
        <f>PirteiKisuiBeMutzar!X161</f>
        <v>0</v>
      </c>
      <c r="J159" s="979">
        <f>PirteiKisuiBeMutzar!Y161</f>
        <v>0</v>
      </c>
      <c r="K159" s="178">
        <f>PirteiKisuiBeMutzar!AL161</f>
        <v>0</v>
      </c>
      <c r="L159" s="178">
        <f>PirteiKisuiBeMutzar!AO161</f>
        <v>0</v>
      </c>
      <c r="M159" s="178">
        <f>PirteiKisuiBeMutzar!AP161</f>
        <v>0</v>
      </c>
    </row>
    <row r="160" spans="1:13" x14ac:dyDescent="0.2">
      <c r="A160" s="178">
        <f>PirteiKisuiBeMutzar!D162</f>
        <v>0</v>
      </c>
      <c r="B160" s="178">
        <f>PirteiKisuiBeMutzar!AQ162</f>
        <v>0</v>
      </c>
      <c r="C160" s="178">
        <f>PirteiKisuiBeMutzar!AM162</f>
        <v>0</v>
      </c>
      <c r="D160" s="178">
        <f>PirteiKisuiBeMutzar!G162</f>
        <v>0</v>
      </c>
      <c r="E160" s="178">
        <f>PirteiKisuiBeMutzar!W162</f>
        <v>0</v>
      </c>
      <c r="F160" s="178">
        <f>PirteiKisuiBeMutzar!K162</f>
        <v>0</v>
      </c>
      <c r="G160" s="178">
        <f>PirteiKisuiBeMutzar!M162</f>
        <v>0</v>
      </c>
      <c r="H160" s="979">
        <f>PirteiKisuiBeMutzar!P162</f>
        <v>0</v>
      </c>
      <c r="I160" s="178">
        <f>PirteiKisuiBeMutzar!X162</f>
        <v>0</v>
      </c>
      <c r="J160" s="979">
        <f>PirteiKisuiBeMutzar!Y162</f>
        <v>0</v>
      </c>
      <c r="K160" s="178">
        <f>PirteiKisuiBeMutzar!AL162</f>
        <v>0</v>
      </c>
      <c r="L160" s="178">
        <f>PirteiKisuiBeMutzar!AO162</f>
        <v>0</v>
      </c>
      <c r="M160" s="178">
        <f>PirteiKisuiBeMutzar!AP162</f>
        <v>0</v>
      </c>
    </row>
    <row r="161" spans="1:13" x14ac:dyDescent="0.2">
      <c r="A161" s="178">
        <f>PirteiKisuiBeMutzar!D163</f>
        <v>0</v>
      </c>
      <c r="B161" s="178">
        <f>PirteiKisuiBeMutzar!AQ163</f>
        <v>0</v>
      </c>
      <c r="C161" s="178">
        <f>PirteiKisuiBeMutzar!AM163</f>
        <v>0</v>
      </c>
      <c r="D161" s="178">
        <f>PirteiKisuiBeMutzar!G163</f>
        <v>0</v>
      </c>
      <c r="E161" s="178">
        <f>PirteiKisuiBeMutzar!W163</f>
        <v>0</v>
      </c>
      <c r="F161" s="178">
        <f>PirteiKisuiBeMutzar!K163</f>
        <v>0</v>
      </c>
      <c r="G161" s="178">
        <f>PirteiKisuiBeMutzar!M163</f>
        <v>0</v>
      </c>
      <c r="H161" s="979">
        <f>PirteiKisuiBeMutzar!P163</f>
        <v>0</v>
      </c>
      <c r="I161" s="178">
        <f>PirteiKisuiBeMutzar!X163</f>
        <v>0</v>
      </c>
      <c r="J161" s="979">
        <f>PirteiKisuiBeMutzar!Y163</f>
        <v>0</v>
      </c>
      <c r="K161" s="178">
        <f>PirteiKisuiBeMutzar!AL163</f>
        <v>0</v>
      </c>
      <c r="L161" s="178">
        <f>PirteiKisuiBeMutzar!AO163</f>
        <v>0</v>
      </c>
      <c r="M161" s="178">
        <f>PirteiKisuiBeMutzar!AP163</f>
        <v>0</v>
      </c>
    </row>
    <row r="162" spans="1:13" x14ac:dyDescent="0.2">
      <c r="A162" s="178">
        <f>PirteiKisuiBeMutzar!D164</f>
        <v>0</v>
      </c>
      <c r="B162" s="178">
        <f>PirteiKisuiBeMutzar!AQ164</f>
        <v>0</v>
      </c>
      <c r="C162" s="178">
        <f>PirteiKisuiBeMutzar!AM164</f>
        <v>0</v>
      </c>
      <c r="D162" s="178">
        <f>PirteiKisuiBeMutzar!G164</f>
        <v>0</v>
      </c>
      <c r="E162" s="178">
        <f>PirteiKisuiBeMutzar!W164</f>
        <v>0</v>
      </c>
      <c r="F162" s="178">
        <f>PirteiKisuiBeMutzar!K164</f>
        <v>0</v>
      </c>
      <c r="G162" s="178">
        <f>PirteiKisuiBeMutzar!M164</f>
        <v>0</v>
      </c>
      <c r="H162" s="979">
        <f>PirteiKisuiBeMutzar!P164</f>
        <v>0</v>
      </c>
      <c r="I162" s="178">
        <f>PirteiKisuiBeMutzar!X164</f>
        <v>0</v>
      </c>
      <c r="J162" s="979">
        <f>PirteiKisuiBeMutzar!Y164</f>
        <v>0</v>
      </c>
      <c r="K162" s="178">
        <f>PirteiKisuiBeMutzar!AL164</f>
        <v>0</v>
      </c>
      <c r="L162" s="178">
        <f>PirteiKisuiBeMutzar!AO164</f>
        <v>0</v>
      </c>
      <c r="M162" s="178">
        <f>PirteiKisuiBeMutzar!AP164</f>
        <v>0</v>
      </c>
    </row>
    <row r="163" spans="1:13" x14ac:dyDescent="0.2">
      <c r="A163" s="178">
        <f>PirteiKisuiBeMutzar!D165</f>
        <v>0</v>
      </c>
      <c r="B163" s="178">
        <f>PirteiKisuiBeMutzar!AQ165</f>
        <v>0</v>
      </c>
      <c r="C163" s="178">
        <f>PirteiKisuiBeMutzar!AM165</f>
        <v>0</v>
      </c>
      <c r="D163" s="178">
        <f>PirteiKisuiBeMutzar!G165</f>
        <v>0</v>
      </c>
      <c r="E163" s="178">
        <f>PirteiKisuiBeMutzar!W165</f>
        <v>0</v>
      </c>
      <c r="F163" s="178">
        <f>PirteiKisuiBeMutzar!K165</f>
        <v>0</v>
      </c>
      <c r="G163" s="178">
        <f>PirteiKisuiBeMutzar!M165</f>
        <v>0</v>
      </c>
      <c r="H163" s="979">
        <f>PirteiKisuiBeMutzar!P165</f>
        <v>0</v>
      </c>
      <c r="I163" s="178">
        <f>PirteiKisuiBeMutzar!X165</f>
        <v>0</v>
      </c>
      <c r="J163" s="979">
        <f>PirteiKisuiBeMutzar!Y165</f>
        <v>0</v>
      </c>
      <c r="K163" s="178">
        <f>PirteiKisuiBeMutzar!AL165</f>
        <v>0</v>
      </c>
      <c r="L163" s="178">
        <f>PirteiKisuiBeMutzar!AO165</f>
        <v>0</v>
      </c>
      <c r="M163" s="178">
        <f>PirteiKisuiBeMutzar!AP165</f>
        <v>0</v>
      </c>
    </row>
    <row r="164" spans="1:13" x14ac:dyDescent="0.2">
      <c r="A164" s="178">
        <f>PirteiKisuiBeMutzar!D166</f>
        <v>0</v>
      </c>
      <c r="B164" s="178">
        <f>PirteiKisuiBeMutzar!AQ166</f>
        <v>0</v>
      </c>
      <c r="C164" s="178">
        <f>PirteiKisuiBeMutzar!AM166</f>
        <v>0</v>
      </c>
      <c r="D164" s="178">
        <f>PirteiKisuiBeMutzar!G166</f>
        <v>0</v>
      </c>
      <c r="E164" s="178">
        <f>PirteiKisuiBeMutzar!W166</f>
        <v>0</v>
      </c>
      <c r="F164" s="178">
        <f>PirteiKisuiBeMutzar!K166</f>
        <v>0</v>
      </c>
      <c r="G164" s="178">
        <f>PirteiKisuiBeMutzar!M166</f>
        <v>0</v>
      </c>
      <c r="H164" s="979">
        <f>PirteiKisuiBeMutzar!P166</f>
        <v>0</v>
      </c>
      <c r="I164" s="178">
        <f>PirteiKisuiBeMutzar!X166</f>
        <v>0</v>
      </c>
      <c r="J164" s="979">
        <f>PirteiKisuiBeMutzar!Y166</f>
        <v>0</v>
      </c>
      <c r="K164" s="178">
        <f>PirteiKisuiBeMutzar!AL166</f>
        <v>0</v>
      </c>
      <c r="L164" s="178">
        <f>PirteiKisuiBeMutzar!AO166</f>
        <v>0</v>
      </c>
      <c r="M164" s="178">
        <f>PirteiKisuiBeMutzar!AP166</f>
        <v>0</v>
      </c>
    </row>
    <row r="165" spans="1:13" x14ac:dyDescent="0.2">
      <c r="A165" s="178">
        <f>PirteiKisuiBeMutzar!D167</f>
        <v>0</v>
      </c>
      <c r="B165" s="178">
        <f>PirteiKisuiBeMutzar!AQ167</f>
        <v>0</v>
      </c>
      <c r="C165" s="178">
        <f>PirteiKisuiBeMutzar!AM167</f>
        <v>0</v>
      </c>
      <c r="D165" s="178">
        <f>PirteiKisuiBeMutzar!G167</f>
        <v>0</v>
      </c>
      <c r="E165" s="178">
        <f>PirteiKisuiBeMutzar!W167</f>
        <v>0</v>
      </c>
      <c r="F165" s="178">
        <f>PirteiKisuiBeMutzar!K167</f>
        <v>0</v>
      </c>
      <c r="G165" s="178">
        <f>PirteiKisuiBeMutzar!M167</f>
        <v>0</v>
      </c>
      <c r="H165" s="979">
        <f>PirteiKisuiBeMutzar!P167</f>
        <v>0</v>
      </c>
      <c r="I165" s="178">
        <f>PirteiKisuiBeMutzar!X167</f>
        <v>0</v>
      </c>
      <c r="J165" s="979">
        <f>PirteiKisuiBeMutzar!Y167</f>
        <v>0</v>
      </c>
      <c r="K165" s="178">
        <f>PirteiKisuiBeMutzar!AL167</f>
        <v>0</v>
      </c>
      <c r="L165" s="178">
        <f>PirteiKisuiBeMutzar!AO167</f>
        <v>0</v>
      </c>
      <c r="M165" s="178">
        <f>PirteiKisuiBeMutzar!AP167</f>
        <v>0</v>
      </c>
    </row>
    <row r="166" spans="1:13" x14ac:dyDescent="0.2">
      <c r="A166" s="178">
        <f>PirteiKisuiBeMutzar!D168</f>
        <v>0</v>
      </c>
      <c r="B166" s="178">
        <f>PirteiKisuiBeMutzar!AQ168</f>
        <v>0</v>
      </c>
      <c r="C166" s="178">
        <f>PirteiKisuiBeMutzar!AM168</f>
        <v>0</v>
      </c>
      <c r="D166" s="178">
        <f>PirteiKisuiBeMutzar!G168</f>
        <v>0</v>
      </c>
      <c r="E166" s="178">
        <f>PirteiKisuiBeMutzar!W168</f>
        <v>0</v>
      </c>
      <c r="F166" s="178">
        <f>PirteiKisuiBeMutzar!K168</f>
        <v>0</v>
      </c>
      <c r="G166" s="178">
        <f>PirteiKisuiBeMutzar!M168</f>
        <v>0</v>
      </c>
      <c r="H166" s="979">
        <f>PirteiKisuiBeMutzar!P168</f>
        <v>0</v>
      </c>
      <c r="I166" s="178">
        <f>PirteiKisuiBeMutzar!X168</f>
        <v>0</v>
      </c>
      <c r="J166" s="979">
        <f>PirteiKisuiBeMutzar!Y168</f>
        <v>0</v>
      </c>
      <c r="K166" s="178">
        <f>PirteiKisuiBeMutzar!AL168</f>
        <v>0</v>
      </c>
      <c r="L166" s="178">
        <f>PirteiKisuiBeMutzar!AO168</f>
        <v>0</v>
      </c>
      <c r="M166" s="178">
        <f>PirteiKisuiBeMutzar!AP168</f>
        <v>0</v>
      </c>
    </row>
    <row r="167" spans="1:13" x14ac:dyDescent="0.2">
      <c r="A167" s="178">
        <f>PirteiKisuiBeMutzar!D169</f>
        <v>0</v>
      </c>
      <c r="B167" s="178">
        <f>PirteiKisuiBeMutzar!AQ169</f>
        <v>0</v>
      </c>
      <c r="C167" s="178">
        <f>PirteiKisuiBeMutzar!AM169</f>
        <v>0</v>
      </c>
      <c r="D167" s="178">
        <f>PirteiKisuiBeMutzar!G169</f>
        <v>0</v>
      </c>
      <c r="E167" s="178">
        <f>PirteiKisuiBeMutzar!W169</f>
        <v>0</v>
      </c>
      <c r="F167" s="178">
        <f>PirteiKisuiBeMutzar!K169</f>
        <v>0</v>
      </c>
      <c r="G167" s="178">
        <f>PirteiKisuiBeMutzar!M169</f>
        <v>0</v>
      </c>
      <c r="H167" s="979">
        <f>PirteiKisuiBeMutzar!P169</f>
        <v>0</v>
      </c>
      <c r="I167" s="178">
        <f>PirteiKisuiBeMutzar!X169</f>
        <v>0</v>
      </c>
      <c r="J167" s="979">
        <f>PirteiKisuiBeMutzar!Y169</f>
        <v>0</v>
      </c>
      <c r="K167" s="178">
        <f>PirteiKisuiBeMutzar!AL169</f>
        <v>0</v>
      </c>
      <c r="L167" s="178">
        <f>PirteiKisuiBeMutzar!AO169</f>
        <v>0</v>
      </c>
      <c r="M167" s="178">
        <f>PirteiKisuiBeMutzar!AP169</f>
        <v>0</v>
      </c>
    </row>
    <row r="168" spans="1:13" x14ac:dyDescent="0.2">
      <c r="A168" s="178">
        <f>PirteiKisuiBeMutzar!D170</f>
        <v>0</v>
      </c>
      <c r="B168" s="178">
        <f>PirteiKisuiBeMutzar!AQ170</f>
        <v>0</v>
      </c>
      <c r="C168" s="178">
        <f>PirteiKisuiBeMutzar!AM170</f>
        <v>0</v>
      </c>
      <c r="D168" s="178">
        <f>PirteiKisuiBeMutzar!G170</f>
        <v>0</v>
      </c>
      <c r="E168" s="178">
        <f>PirteiKisuiBeMutzar!W170</f>
        <v>0</v>
      </c>
      <c r="F168" s="178">
        <f>PirteiKisuiBeMutzar!K170</f>
        <v>0</v>
      </c>
      <c r="G168" s="178">
        <f>PirteiKisuiBeMutzar!M170</f>
        <v>0</v>
      </c>
      <c r="H168" s="979">
        <f>PirteiKisuiBeMutzar!P170</f>
        <v>0</v>
      </c>
      <c r="I168" s="178">
        <f>PirteiKisuiBeMutzar!X170</f>
        <v>0</v>
      </c>
      <c r="J168" s="979">
        <f>PirteiKisuiBeMutzar!Y170</f>
        <v>0</v>
      </c>
      <c r="K168" s="178">
        <f>PirteiKisuiBeMutzar!AL170</f>
        <v>0</v>
      </c>
      <c r="L168" s="178">
        <f>PirteiKisuiBeMutzar!AO170</f>
        <v>0</v>
      </c>
      <c r="M168" s="178">
        <f>PirteiKisuiBeMutzar!AP170</f>
        <v>0</v>
      </c>
    </row>
    <row r="169" spans="1:13" x14ac:dyDescent="0.2">
      <c r="A169" s="178">
        <f>PirteiKisuiBeMutzar!D171</f>
        <v>0</v>
      </c>
      <c r="B169" s="178">
        <f>PirteiKisuiBeMutzar!AQ171</f>
        <v>0</v>
      </c>
      <c r="C169" s="178">
        <f>PirteiKisuiBeMutzar!AM171</f>
        <v>0</v>
      </c>
      <c r="D169" s="178">
        <f>PirteiKisuiBeMutzar!G171</f>
        <v>0</v>
      </c>
      <c r="E169" s="178">
        <f>PirteiKisuiBeMutzar!W171</f>
        <v>0</v>
      </c>
      <c r="F169" s="178">
        <f>PirteiKisuiBeMutzar!K171</f>
        <v>0</v>
      </c>
      <c r="G169" s="178">
        <f>PirteiKisuiBeMutzar!M171</f>
        <v>0</v>
      </c>
      <c r="H169" s="979">
        <f>PirteiKisuiBeMutzar!P171</f>
        <v>0</v>
      </c>
      <c r="I169" s="178">
        <f>PirteiKisuiBeMutzar!X171</f>
        <v>0</v>
      </c>
      <c r="J169" s="979">
        <f>PirteiKisuiBeMutzar!Y171</f>
        <v>0</v>
      </c>
      <c r="K169" s="178">
        <f>PirteiKisuiBeMutzar!AL171</f>
        <v>0</v>
      </c>
      <c r="L169" s="178">
        <f>PirteiKisuiBeMutzar!AO171</f>
        <v>0</v>
      </c>
      <c r="M169" s="178">
        <f>PirteiKisuiBeMutzar!AP171</f>
        <v>0</v>
      </c>
    </row>
    <row r="170" spans="1:13" x14ac:dyDescent="0.2">
      <c r="A170" s="178">
        <f>PirteiKisuiBeMutzar!D172</f>
        <v>0</v>
      </c>
      <c r="B170" s="178">
        <f>PirteiKisuiBeMutzar!AQ172</f>
        <v>0</v>
      </c>
      <c r="C170" s="178">
        <f>PirteiKisuiBeMutzar!AM172</f>
        <v>0</v>
      </c>
      <c r="D170" s="178">
        <f>PirteiKisuiBeMutzar!G172</f>
        <v>0</v>
      </c>
      <c r="E170" s="178">
        <f>PirteiKisuiBeMutzar!W172</f>
        <v>0</v>
      </c>
      <c r="F170" s="178">
        <f>PirteiKisuiBeMutzar!K172</f>
        <v>0</v>
      </c>
      <c r="G170" s="178">
        <f>PirteiKisuiBeMutzar!M172</f>
        <v>0</v>
      </c>
      <c r="H170" s="979">
        <f>PirteiKisuiBeMutzar!P172</f>
        <v>0</v>
      </c>
      <c r="I170" s="178">
        <f>PirteiKisuiBeMutzar!X172</f>
        <v>0</v>
      </c>
      <c r="J170" s="979">
        <f>PirteiKisuiBeMutzar!Y172</f>
        <v>0</v>
      </c>
      <c r="K170" s="178">
        <f>PirteiKisuiBeMutzar!AL172</f>
        <v>0</v>
      </c>
      <c r="L170" s="178">
        <f>PirteiKisuiBeMutzar!AO172</f>
        <v>0</v>
      </c>
      <c r="M170" s="178">
        <f>PirteiKisuiBeMutzar!AP172</f>
        <v>0</v>
      </c>
    </row>
    <row r="171" spans="1:13" x14ac:dyDescent="0.2">
      <c r="A171" s="178">
        <f>PirteiKisuiBeMutzar!D173</f>
        <v>0</v>
      </c>
      <c r="B171" s="178">
        <f>PirteiKisuiBeMutzar!AQ173</f>
        <v>0</v>
      </c>
      <c r="C171" s="178">
        <f>PirteiKisuiBeMutzar!AM173</f>
        <v>0</v>
      </c>
      <c r="D171" s="178">
        <f>PirteiKisuiBeMutzar!G173</f>
        <v>0</v>
      </c>
      <c r="E171" s="178">
        <f>PirteiKisuiBeMutzar!W173</f>
        <v>0</v>
      </c>
      <c r="F171" s="178">
        <f>PirteiKisuiBeMutzar!K173</f>
        <v>0</v>
      </c>
      <c r="G171" s="178">
        <f>PirteiKisuiBeMutzar!M173</f>
        <v>0</v>
      </c>
      <c r="H171" s="979">
        <f>PirteiKisuiBeMutzar!P173</f>
        <v>0</v>
      </c>
      <c r="I171" s="178">
        <f>PirteiKisuiBeMutzar!X173</f>
        <v>0</v>
      </c>
      <c r="J171" s="979">
        <f>PirteiKisuiBeMutzar!Y173</f>
        <v>0</v>
      </c>
      <c r="K171" s="178">
        <f>PirteiKisuiBeMutzar!AL173</f>
        <v>0</v>
      </c>
      <c r="L171" s="178">
        <f>PirteiKisuiBeMutzar!AO173</f>
        <v>0</v>
      </c>
      <c r="M171" s="178">
        <f>PirteiKisuiBeMutzar!AP173</f>
        <v>0</v>
      </c>
    </row>
    <row r="172" spans="1:13" x14ac:dyDescent="0.2">
      <c r="A172" s="178">
        <f>PirteiKisuiBeMutzar!D174</f>
        <v>0</v>
      </c>
      <c r="B172" s="178">
        <f>PirteiKisuiBeMutzar!AQ174</f>
        <v>0</v>
      </c>
      <c r="C172" s="178">
        <f>PirteiKisuiBeMutzar!AM174</f>
        <v>0</v>
      </c>
      <c r="D172" s="178">
        <f>PirteiKisuiBeMutzar!G174</f>
        <v>0</v>
      </c>
      <c r="E172" s="178">
        <f>PirteiKisuiBeMutzar!W174</f>
        <v>0</v>
      </c>
      <c r="F172" s="178">
        <f>PirteiKisuiBeMutzar!K174</f>
        <v>0</v>
      </c>
      <c r="G172" s="178">
        <f>PirteiKisuiBeMutzar!M174</f>
        <v>0</v>
      </c>
      <c r="H172" s="979">
        <f>PirteiKisuiBeMutzar!P174</f>
        <v>0</v>
      </c>
      <c r="I172" s="178">
        <f>PirteiKisuiBeMutzar!X174</f>
        <v>0</v>
      </c>
      <c r="J172" s="979">
        <f>PirteiKisuiBeMutzar!Y174</f>
        <v>0</v>
      </c>
      <c r="K172" s="178">
        <f>PirteiKisuiBeMutzar!AL174</f>
        <v>0</v>
      </c>
      <c r="L172" s="178">
        <f>PirteiKisuiBeMutzar!AO174</f>
        <v>0</v>
      </c>
      <c r="M172" s="178">
        <f>PirteiKisuiBeMutzar!AP174</f>
        <v>0</v>
      </c>
    </row>
    <row r="173" spans="1:13" x14ac:dyDescent="0.2">
      <c r="A173" s="178">
        <f>PirteiKisuiBeMutzar!D175</f>
        <v>0</v>
      </c>
      <c r="B173" s="178">
        <f>PirteiKisuiBeMutzar!AQ175</f>
        <v>0</v>
      </c>
      <c r="C173" s="178">
        <f>PirteiKisuiBeMutzar!AM175</f>
        <v>0</v>
      </c>
      <c r="D173" s="178">
        <f>PirteiKisuiBeMutzar!G175</f>
        <v>0</v>
      </c>
      <c r="E173" s="178">
        <f>PirteiKisuiBeMutzar!W175</f>
        <v>0</v>
      </c>
      <c r="F173" s="178">
        <f>PirteiKisuiBeMutzar!K175</f>
        <v>0</v>
      </c>
      <c r="G173" s="178">
        <f>PirteiKisuiBeMutzar!M175</f>
        <v>0</v>
      </c>
      <c r="H173" s="979">
        <f>PirteiKisuiBeMutzar!P175</f>
        <v>0</v>
      </c>
      <c r="I173" s="178">
        <f>PirteiKisuiBeMutzar!X175</f>
        <v>0</v>
      </c>
      <c r="J173" s="979">
        <f>PirteiKisuiBeMutzar!Y175</f>
        <v>0</v>
      </c>
      <c r="K173" s="178">
        <f>PirteiKisuiBeMutzar!AL175</f>
        <v>0</v>
      </c>
      <c r="L173" s="178">
        <f>PirteiKisuiBeMutzar!AO175</f>
        <v>0</v>
      </c>
      <c r="M173" s="178">
        <f>PirteiKisuiBeMutzar!AP175</f>
        <v>0</v>
      </c>
    </row>
    <row r="174" spans="1:13" x14ac:dyDescent="0.2">
      <c r="A174" s="178">
        <f>PirteiKisuiBeMutzar!D176</f>
        <v>0</v>
      </c>
      <c r="B174" s="178">
        <f>PirteiKisuiBeMutzar!AQ176</f>
        <v>0</v>
      </c>
      <c r="C174" s="178">
        <f>PirteiKisuiBeMutzar!AM176</f>
        <v>0</v>
      </c>
      <c r="D174" s="178">
        <f>PirteiKisuiBeMutzar!G176</f>
        <v>0</v>
      </c>
      <c r="E174" s="178">
        <f>PirteiKisuiBeMutzar!W176</f>
        <v>0</v>
      </c>
      <c r="F174" s="178">
        <f>PirteiKisuiBeMutzar!K176</f>
        <v>0</v>
      </c>
      <c r="G174" s="178">
        <f>PirteiKisuiBeMutzar!M176</f>
        <v>0</v>
      </c>
      <c r="H174" s="979">
        <f>PirteiKisuiBeMutzar!P176</f>
        <v>0</v>
      </c>
      <c r="I174" s="178">
        <f>PirteiKisuiBeMutzar!X176</f>
        <v>0</v>
      </c>
      <c r="J174" s="979">
        <f>PirteiKisuiBeMutzar!Y176</f>
        <v>0</v>
      </c>
      <c r="K174" s="178">
        <f>PirteiKisuiBeMutzar!AL176</f>
        <v>0</v>
      </c>
      <c r="L174" s="178">
        <f>PirteiKisuiBeMutzar!AO176</f>
        <v>0</v>
      </c>
      <c r="M174" s="178">
        <f>PirteiKisuiBeMutzar!AP176</f>
        <v>0</v>
      </c>
    </row>
    <row r="175" spans="1:13" x14ac:dyDescent="0.2">
      <c r="A175" s="178">
        <f>PirteiKisuiBeMutzar!D177</f>
        <v>0</v>
      </c>
      <c r="B175" s="178">
        <f>PirteiKisuiBeMutzar!AQ177</f>
        <v>0</v>
      </c>
      <c r="C175" s="178">
        <f>PirteiKisuiBeMutzar!AM177</f>
        <v>0</v>
      </c>
      <c r="D175" s="178">
        <f>PirteiKisuiBeMutzar!G177</f>
        <v>0</v>
      </c>
      <c r="E175" s="178">
        <f>PirteiKisuiBeMutzar!W177</f>
        <v>0</v>
      </c>
      <c r="F175" s="178">
        <f>PirteiKisuiBeMutzar!K177</f>
        <v>0</v>
      </c>
      <c r="G175" s="178">
        <f>PirteiKisuiBeMutzar!M177</f>
        <v>0</v>
      </c>
      <c r="H175" s="979">
        <f>PirteiKisuiBeMutzar!P177</f>
        <v>0</v>
      </c>
      <c r="I175" s="178">
        <f>PirteiKisuiBeMutzar!X177</f>
        <v>0</v>
      </c>
      <c r="J175" s="979">
        <f>PirteiKisuiBeMutzar!Y177</f>
        <v>0</v>
      </c>
      <c r="K175" s="178">
        <f>PirteiKisuiBeMutzar!AL177</f>
        <v>0</v>
      </c>
      <c r="L175" s="178">
        <f>PirteiKisuiBeMutzar!AO177</f>
        <v>0</v>
      </c>
      <c r="M175" s="178">
        <f>PirteiKisuiBeMutzar!AP177</f>
        <v>0</v>
      </c>
    </row>
    <row r="176" spans="1:13" x14ac:dyDescent="0.2">
      <c r="A176" s="178">
        <f>PirteiKisuiBeMutzar!D178</f>
        <v>0</v>
      </c>
      <c r="B176" s="178">
        <f>PirteiKisuiBeMutzar!AQ178</f>
        <v>0</v>
      </c>
      <c r="C176" s="178">
        <f>PirteiKisuiBeMutzar!AM178</f>
        <v>0</v>
      </c>
      <c r="D176" s="178">
        <f>PirteiKisuiBeMutzar!G178</f>
        <v>0</v>
      </c>
      <c r="E176" s="178">
        <f>PirteiKisuiBeMutzar!W178</f>
        <v>0</v>
      </c>
      <c r="F176" s="178">
        <f>PirteiKisuiBeMutzar!K178</f>
        <v>0</v>
      </c>
      <c r="G176" s="178">
        <f>PirteiKisuiBeMutzar!M178</f>
        <v>0</v>
      </c>
      <c r="H176" s="979">
        <f>PirteiKisuiBeMutzar!P178</f>
        <v>0</v>
      </c>
      <c r="I176" s="178">
        <f>PirteiKisuiBeMutzar!X178</f>
        <v>0</v>
      </c>
      <c r="J176" s="979">
        <f>PirteiKisuiBeMutzar!Y178</f>
        <v>0</v>
      </c>
      <c r="K176" s="178">
        <f>PirteiKisuiBeMutzar!AL178</f>
        <v>0</v>
      </c>
      <c r="L176" s="178">
        <f>PirteiKisuiBeMutzar!AO178</f>
        <v>0</v>
      </c>
      <c r="M176" s="178">
        <f>PirteiKisuiBeMutzar!AP178</f>
        <v>0</v>
      </c>
    </row>
    <row r="177" spans="1:13" x14ac:dyDescent="0.2">
      <c r="A177" s="178">
        <f>PirteiKisuiBeMutzar!D179</f>
        <v>0</v>
      </c>
      <c r="B177" s="178">
        <f>PirteiKisuiBeMutzar!AQ179</f>
        <v>0</v>
      </c>
      <c r="C177" s="178">
        <f>PirteiKisuiBeMutzar!AM179</f>
        <v>0</v>
      </c>
      <c r="D177" s="178">
        <f>PirteiKisuiBeMutzar!G179</f>
        <v>0</v>
      </c>
      <c r="E177" s="178">
        <f>PirteiKisuiBeMutzar!W179</f>
        <v>0</v>
      </c>
      <c r="F177" s="178">
        <f>PirteiKisuiBeMutzar!K179</f>
        <v>0</v>
      </c>
      <c r="G177" s="178">
        <f>PirteiKisuiBeMutzar!M179</f>
        <v>0</v>
      </c>
      <c r="H177" s="979">
        <f>PirteiKisuiBeMutzar!P179</f>
        <v>0</v>
      </c>
      <c r="I177" s="178">
        <f>PirteiKisuiBeMutzar!X179</f>
        <v>0</v>
      </c>
      <c r="J177" s="979">
        <f>PirteiKisuiBeMutzar!Y179</f>
        <v>0</v>
      </c>
      <c r="K177" s="178">
        <f>PirteiKisuiBeMutzar!AL179</f>
        <v>0</v>
      </c>
      <c r="L177" s="178">
        <f>PirteiKisuiBeMutzar!AO179</f>
        <v>0</v>
      </c>
      <c r="M177" s="178">
        <f>PirteiKisuiBeMutzar!AP179</f>
        <v>0</v>
      </c>
    </row>
    <row r="178" spans="1:13" x14ac:dyDescent="0.2">
      <c r="A178" s="178">
        <f>PirteiKisuiBeMutzar!D180</f>
        <v>0</v>
      </c>
      <c r="B178" s="178">
        <f>PirteiKisuiBeMutzar!AQ180</f>
        <v>0</v>
      </c>
      <c r="C178" s="178">
        <f>PirteiKisuiBeMutzar!AM180</f>
        <v>0</v>
      </c>
      <c r="D178" s="178">
        <f>PirteiKisuiBeMutzar!G180</f>
        <v>0</v>
      </c>
      <c r="E178" s="178">
        <f>PirteiKisuiBeMutzar!W180</f>
        <v>0</v>
      </c>
      <c r="F178" s="178">
        <f>PirteiKisuiBeMutzar!K180</f>
        <v>0</v>
      </c>
      <c r="G178" s="178">
        <f>PirteiKisuiBeMutzar!M180</f>
        <v>0</v>
      </c>
      <c r="H178" s="979">
        <f>PirteiKisuiBeMutzar!P180</f>
        <v>0</v>
      </c>
      <c r="I178" s="178">
        <f>PirteiKisuiBeMutzar!X180</f>
        <v>0</v>
      </c>
      <c r="J178" s="979">
        <f>PirteiKisuiBeMutzar!Y180</f>
        <v>0</v>
      </c>
      <c r="K178" s="178">
        <f>PirteiKisuiBeMutzar!AL180</f>
        <v>0</v>
      </c>
      <c r="L178" s="178">
        <f>PirteiKisuiBeMutzar!AO180</f>
        <v>0</v>
      </c>
      <c r="M178" s="178">
        <f>PirteiKisuiBeMutzar!AP180</f>
        <v>0</v>
      </c>
    </row>
    <row r="179" spans="1:13" x14ac:dyDescent="0.2">
      <c r="A179" s="178">
        <f>PirteiKisuiBeMutzar!D181</f>
        <v>0</v>
      </c>
      <c r="B179" s="178">
        <f>PirteiKisuiBeMutzar!AQ181</f>
        <v>0</v>
      </c>
      <c r="C179" s="178">
        <f>PirteiKisuiBeMutzar!AM181</f>
        <v>0</v>
      </c>
      <c r="D179" s="178">
        <f>PirteiKisuiBeMutzar!G181</f>
        <v>0</v>
      </c>
      <c r="E179" s="178">
        <f>PirteiKisuiBeMutzar!W181</f>
        <v>0</v>
      </c>
      <c r="F179" s="178">
        <f>PirteiKisuiBeMutzar!K181</f>
        <v>0</v>
      </c>
      <c r="G179" s="178">
        <f>PirteiKisuiBeMutzar!M181</f>
        <v>0</v>
      </c>
      <c r="H179" s="979">
        <f>PirteiKisuiBeMutzar!P181</f>
        <v>0</v>
      </c>
      <c r="I179" s="178">
        <f>PirteiKisuiBeMutzar!X181</f>
        <v>0</v>
      </c>
      <c r="J179" s="979">
        <f>PirteiKisuiBeMutzar!Y181</f>
        <v>0</v>
      </c>
      <c r="K179" s="178">
        <f>PirteiKisuiBeMutzar!AL181</f>
        <v>0</v>
      </c>
      <c r="L179" s="178">
        <f>PirteiKisuiBeMutzar!AO181</f>
        <v>0</v>
      </c>
      <c r="M179" s="178">
        <f>PirteiKisuiBeMutzar!AP181</f>
        <v>0</v>
      </c>
    </row>
    <row r="180" spans="1:13" x14ac:dyDescent="0.2">
      <c r="A180" s="178">
        <f>PirteiKisuiBeMutzar!D182</f>
        <v>0</v>
      </c>
      <c r="B180" s="178">
        <f>PirteiKisuiBeMutzar!AQ182</f>
        <v>0</v>
      </c>
      <c r="C180" s="178">
        <f>PirteiKisuiBeMutzar!AM182</f>
        <v>0</v>
      </c>
      <c r="D180" s="178">
        <f>PirteiKisuiBeMutzar!G182</f>
        <v>0</v>
      </c>
      <c r="E180" s="178">
        <f>PirteiKisuiBeMutzar!W182</f>
        <v>0</v>
      </c>
      <c r="F180" s="178">
        <f>PirteiKisuiBeMutzar!K182</f>
        <v>0</v>
      </c>
      <c r="G180" s="178">
        <f>PirteiKisuiBeMutzar!M182</f>
        <v>0</v>
      </c>
      <c r="H180" s="979">
        <f>PirteiKisuiBeMutzar!P182</f>
        <v>0</v>
      </c>
      <c r="I180" s="178">
        <f>PirteiKisuiBeMutzar!X182</f>
        <v>0</v>
      </c>
      <c r="J180" s="979">
        <f>PirteiKisuiBeMutzar!Y182</f>
        <v>0</v>
      </c>
      <c r="K180" s="178">
        <f>PirteiKisuiBeMutzar!AL182</f>
        <v>0</v>
      </c>
      <c r="L180" s="178">
        <f>PirteiKisuiBeMutzar!AO182</f>
        <v>0</v>
      </c>
      <c r="M180" s="178">
        <f>PirteiKisuiBeMutzar!AP182</f>
        <v>0</v>
      </c>
    </row>
    <row r="181" spans="1:13" x14ac:dyDescent="0.2">
      <c r="A181" s="178">
        <f>PirteiKisuiBeMutzar!D183</f>
        <v>0</v>
      </c>
      <c r="B181" s="178">
        <f>PirteiKisuiBeMutzar!AQ183</f>
        <v>0</v>
      </c>
      <c r="C181" s="178">
        <f>PirteiKisuiBeMutzar!AM183</f>
        <v>0</v>
      </c>
      <c r="D181" s="178">
        <f>PirteiKisuiBeMutzar!G183</f>
        <v>0</v>
      </c>
      <c r="E181" s="178">
        <f>PirteiKisuiBeMutzar!W183</f>
        <v>0</v>
      </c>
      <c r="F181" s="178">
        <f>PirteiKisuiBeMutzar!K183</f>
        <v>0</v>
      </c>
      <c r="G181" s="178">
        <f>PirteiKisuiBeMutzar!M183</f>
        <v>0</v>
      </c>
      <c r="H181" s="979">
        <f>PirteiKisuiBeMutzar!P183</f>
        <v>0</v>
      </c>
      <c r="I181" s="178">
        <f>PirteiKisuiBeMutzar!X183</f>
        <v>0</v>
      </c>
      <c r="J181" s="979">
        <f>PirteiKisuiBeMutzar!Y183</f>
        <v>0</v>
      </c>
      <c r="K181" s="178">
        <f>PirteiKisuiBeMutzar!AL183</f>
        <v>0</v>
      </c>
      <c r="L181" s="178">
        <f>PirteiKisuiBeMutzar!AO183</f>
        <v>0</v>
      </c>
      <c r="M181" s="178">
        <f>PirteiKisuiBeMutzar!AP183</f>
        <v>0</v>
      </c>
    </row>
    <row r="182" spans="1:13" x14ac:dyDescent="0.2">
      <c r="A182" s="178">
        <f>PirteiKisuiBeMutzar!D184</f>
        <v>0</v>
      </c>
      <c r="B182" s="178">
        <f>PirteiKisuiBeMutzar!AQ184</f>
        <v>0</v>
      </c>
      <c r="C182" s="178">
        <f>PirteiKisuiBeMutzar!AM184</f>
        <v>0</v>
      </c>
      <c r="D182" s="178">
        <f>PirteiKisuiBeMutzar!G184</f>
        <v>0</v>
      </c>
      <c r="E182" s="178">
        <f>PirteiKisuiBeMutzar!W184</f>
        <v>0</v>
      </c>
      <c r="F182" s="178">
        <f>PirteiKisuiBeMutzar!K184</f>
        <v>0</v>
      </c>
      <c r="G182" s="178">
        <f>PirteiKisuiBeMutzar!M184</f>
        <v>0</v>
      </c>
      <c r="H182" s="979">
        <f>PirteiKisuiBeMutzar!P184</f>
        <v>0</v>
      </c>
      <c r="I182" s="178">
        <f>PirteiKisuiBeMutzar!X184</f>
        <v>0</v>
      </c>
      <c r="J182" s="979">
        <f>PirteiKisuiBeMutzar!Y184</f>
        <v>0</v>
      </c>
      <c r="K182" s="178">
        <f>PirteiKisuiBeMutzar!AL184</f>
        <v>0</v>
      </c>
      <c r="L182" s="178">
        <f>PirteiKisuiBeMutzar!AO184</f>
        <v>0</v>
      </c>
      <c r="M182" s="178">
        <f>PirteiKisuiBeMutzar!AP184</f>
        <v>0</v>
      </c>
    </row>
    <row r="183" spans="1:13" x14ac:dyDescent="0.2">
      <c r="A183" s="178">
        <f>PirteiKisuiBeMutzar!D185</f>
        <v>0</v>
      </c>
      <c r="B183" s="178">
        <f>PirteiKisuiBeMutzar!AQ185</f>
        <v>0</v>
      </c>
      <c r="C183" s="178">
        <f>PirteiKisuiBeMutzar!AM185</f>
        <v>0</v>
      </c>
      <c r="D183" s="178">
        <f>PirteiKisuiBeMutzar!G185</f>
        <v>0</v>
      </c>
      <c r="E183" s="178">
        <f>PirteiKisuiBeMutzar!W185</f>
        <v>0</v>
      </c>
      <c r="F183" s="178">
        <f>PirteiKisuiBeMutzar!K185</f>
        <v>0</v>
      </c>
      <c r="G183" s="178">
        <f>PirteiKisuiBeMutzar!M185</f>
        <v>0</v>
      </c>
      <c r="H183" s="979">
        <f>PirteiKisuiBeMutzar!P185</f>
        <v>0</v>
      </c>
      <c r="I183" s="178">
        <f>PirteiKisuiBeMutzar!X185</f>
        <v>0</v>
      </c>
      <c r="J183" s="979">
        <f>PirteiKisuiBeMutzar!Y185</f>
        <v>0</v>
      </c>
      <c r="K183" s="178">
        <f>PirteiKisuiBeMutzar!AL185</f>
        <v>0</v>
      </c>
      <c r="L183" s="178">
        <f>PirteiKisuiBeMutzar!AO185</f>
        <v>0</v>
      </c>
      <c r="M183" s="178">
        <f>PirteiKisuiBeMutzar!AP185</f>
        <v>0</v>
      </c>
    </row>
    <row r="184" spans="1:13" x14ac:dyDescent="0.2">
      <c r="A184" s="178">
        <f>PirteiKisuiBeMutzar!D186</f>
        <v>0</v>
      </c>
      <c r="B184" s="178">
        <f>PirteiKisuiBeMutzar!AQ186</f>
        <v>0</v>
      </c>
      <c r="C184" s="178">
        <f>PirteiKisuiBeMutzar!AM186</f>
        <v>0</v>
      </c>
      <c r="D184" s="178">
        <f>PirteiKisuiBeMutzar!G186</f>
        <v>0</v>
      </c>
      <c r="E184" s="178">
        <f>PirteiKisuiBeMutzar!W186</f>
        <v>0</v>
      </c>
      <c r="F184" s="178">
        <f>PirteiKisuiBeMutzar!K186</f>
        <v>0</v>
      </c>
      <c r="G184" s="178">
        <f>PirteiKisuiBeMutzar!M186</f>
        <v>0</v>
      </c>
      <c r="H184" s="979">
        <f>PirteiKisuiBeMutzar!P186</f>
        <v>0</v>
      </c>
      <c r="I184" s="178">
        <f>PirteiKisuiBeMutzar!X186</f>
        <v>0</v>
      </c>
      <c r="J184" s="979">
        <f>PirteiKisuiBeMutzar!Y186</f>
        <v>0</v>
      </c>
      <c r="K184" s="178">
        <f>PirteiKisuiBeMutzar!AL186</f>
        <v>0</v>
      </c>
      <c r="L184" s="178">
        <f>PirteiKisuiBeMutzar!AO186</f>
        <v>0</v>
      </c>
      <c r="M184" s="178">
        <f>PirteiKisuiBeMutzar!AP186</f>
        <v>0</v>
      </c>
    </row>
    <row r="185" spans="1:13" x14ac:dyDescent="0.2">
      <c r="A185" s="178">
        <f>PirteiKisuiBeMutzar!D187</f>
        <v>0</v>
      </c>
      <c r="B185" s="178">
        <f>PirteiKisuiBeMutzar!AQ187</f>
        <v>0</v>
      </c>
      <c r="C185" s="178">
        <f>PirteiKisuiBeMutzar!AM187</f>
        <v>0</v>
      </c>
      <c r="D185" s="178">
        <f>PirteiKisuiBeMutzar!G187</f>
        <v>0</v>
      </c>
      <c r="E185" s="178">
        <f>PirteiKisuiBeMutzar!W187</f>
        <v>0</v>
      </c>
      <c r="F185" s="178">
        <f>PirteiKisuiBeMutzar!K187</f>
        <v>0</v>
      </c>
      <c r="G185" s="178">
        <f>PirteiKisuiBeMutzar!M187</f>
        <v>0</v>
      </c>
      <c r="H185" s="979">
        <f>PirteiKisuiBeMutzar!P187</f>
        <v>0</v>
      </c>
      <c r="I185" s="178">
        <f>PirteiKisuiBeMutzar!X187</f>
        <v>0</v>
      </c>
      <c r="J185" s="979">
        <f>PirteiKisuiBeMutzar!Y187</f>
        <v>0</v>
      </c>
      <c r="K185" s="178">
        <f>PirteiKisuiBeMutzar!AL187</f>
        <v>0</v>
      </c>
      <c r="L185" s="178">
        <f>PirteiKisuiBeMutzar!AO187</f>
        <v>0</v>
      </c>
      <c r="M185" s="178">
        <f>PirteiKisuiBeMutzar!AP187</f>
        <v>0</v>
      </c>
    </row>
    <row r="186" spans="1:13" x14ac:dyDescent="0.2">
      <c r="A186" s="178">
        <f>PirteiKisuiBeMutzar!D188</f>
        <v>0</v>
      </c>
      <c r="B186" s="178">
        <f>PirteiKisuiBeMutzar!AQ188</f>
        <v>0</v>
      </c>
      <c r="C186" s="178">
        <f>PirteiKisuiBeMutzar!AM188</f>
        <v>0</v>
      </c>
      <c r="D186" s="178">
        <f>PirteiKisuiBeMutzar!G188</f>
        <v>0</v>
      </c>
      <c r="E186" s="178">
        <f>PirteiKisuiBeMutzar!W188</f>
        <v>0</v>
      </c>
      <c r="F186" s="178">
        <f>PirteiKisuiBeMutzar!K188</f>
        <v>0</v>
      </c>
      <c r="G186" s="178">
        <f>PirteiKisuiBeMutzar!M188</f>
        <v>0</v>
      </c>
      <c r="H186" s="979">
        <f>PirteiKisuiBeMutzar!P188</f>
        <v>0</v>
      </c>
      <c r="I186" s="178">
        <f>PirteiKisuiBeMutzar!X188</f>
        <v>0</v>
      </c>
      <c r="J186" s="979">
        <f>PirteiKisuiBeMutzar!Y188</f>
        <v>0</v>
      </c>
      <c r="K186" s="178">
        <f>PirteiKisuiBeMutzar!AL188</f>
        <v>0</v>
      </c>
      <c r="L186" s="178">
        <f>PirteiKisuiBeMutzar!AO188</f>
        <v>0</v>
      </c>
      <c r="M186" s="178">
        <f>PirteiKisuiBeMutzar!AP188</f>
        <v>0</v>
      </c>
    </row>
    <row r="187" spans="1:13" x14ac:dyDescent="0.2">
      <c r="A187" s="178">
        <f>PirteiKisuiBeMutzar!D189</f>
        <v>0</v>
      </c>
      <c r="B187" s="178">
        <f>PirteiKisuiBeMutzar!AQ189</f>
        <v>0</v>
      </c>
      <c r="C187" s="178">
        <f>PirteiKisuiBeMutzar!AM189</f>
        <v>0</v>
      </c>
      <c r="D187" s="178">
        <f>PirteiKisuiBeMutzar!G189</f>
        <v>0</v>
      </c>
      <c r="E187" s="178">
        <f>PirteiKisuiBeMutzar!W189</f>
        <v>0</v>
      </c>
      <c r="F187" s="178">
        <f>PirteiKisuiBeMutzar!K189</f>
        <v>0</v>
      </c>
      <c r="G187" s="178">
        <f>PirteiKisuiBeMutzar!M189</f>
        <v>0</v>
      </c>
      <c r="H187" s="979">
        <f>PirteiKisuiBeMutzar!P189</f>
        <v>0</v>
      </c>
      <c r="I187" s="178">
        <f>PirteiKisuiBeMutzar!X189</f>
        <v>0</v>
      </c>
      <c r="J187" s="979">
        <f>PirteiKisuiBeMutzar!Y189</f>
        <v>0</v>
      </c>
      <c r="K187" s="178">
        <f>PirteiKisuiBeMutzar!AL189</f>
        <v>0</v>
      </c>
      <c r="L187" s="178">
        <f>PirteiKisuiBeMutzar!AO189</f>
        <v>0</v>
      </c>
      <c r="M187" s="178">
        <f>PirteiKisuiBeMutzar!AP189</f>
        <v>0</v>
      </c>
    </row>
    <row r="188" spans="1:13" x14ac:dyDescent="0.2">
      <c r="A188" s="178">
        <f>PirteiKisuiBeMutzar!D190</f>
        <v>0</v>
      </c>
      <c r="B188" s="178">
        <f>PirteiKisuiBeMutzar!AQ190</f>
        <v>0</v>
      </c>
      <c r="C188" s="178">
        <f>PirteiKisuiBeMutzar!AM190</f>
        <v>0</v>
      </c>
      <c r="D188" s="178">
        <f>PirteiKisuiBeMutzar!G190</f>
        <v>0</v>
      </c>
      <c r="E188" s="178">
        <f>PirteiKisuiBeMutzar!W190</f>
        <v>0</v>
      </c>
      <c r="F188" s="178">
        <f>PirteiKisuiBeMutzar!K190</f>
        <v>0</v>
      </c>
      <c r="G188" s="178">
        <f>PirteiKisuiBeMutzar!M190</f>
        <v>0</v>
      </c>
      <c r="H188" s="979">
        <f>PirteiKisuiBeMutzar!P190</f>
        <v>0</v>
      </c>
      <c r="I188" s="178">
        <f>PirteiKisuiBeMutzar!X190</f>
        <v>0</v>
      </c>
      <c r="J188" s="979">
        <f>PirteiKisuiBeMutzar!Y190</f>
        <v>0</v>
      </c>
      <c r="K188" s="178">
        <f>PirteiKisuiBeMutzar!AL190</f>
        <v>0</v>
      </c>
      <c r="L188" s="178">
        <f>PirteiKisuiBeMutzar!AO190</f>
        <v>0</v>
      </c>
      <c r="M188" s="178">
        <f>PirteiKisuiBeMutzar!AP190</f>
        <v>0</v>
      </c>
    </row>
    <row r="189" spans="1:13" x14ac:dyDescent="0.2">
      <c r="A189" s="178">
        <f>PirteiKisuiBeMutzar!D191</f>
        <v>0</v>
      </c>
      <c r="B189" s="178">
        <f>PirteiKisuiBeMutzar!AQ191</f>
        <v>0</v>
      </c>
      <c r="C189" s="178">
        <f>PirteiKisuiBeMutzar!AM191</f>
        <v>0</v>
      </c>
      <c r="D189" s="178">
        <f>PirteiKisuiBeMutzar!G191</f>
        <v>0</v>
      </c>
      <c r="E189" s="178">
        <f>PirteiKisuiBeMutzar!W191</f>
        <v>0</v>
      </c>
      <c r="F189" s="178">
        <f>PirteiKisuiBeMutzar!K191</f>
        <v>0</v>
      </c>
      <c r="G189" s="178">
        <f>PirteiKisuiBeMutzar!M191</f>
        <v>0</v>
      </c>
      <c r="H189" s="979">
        <f>PirteiKisuiBeMutzar!P191</f>
        <v>0</v>
      </c>
      <c r="I189" s="178">
        <f>PirteiKisuiBeMutzar!X191</f>
        <v>0</v>
      </c>
      <c r="J189" s="979">
        <f>PirteiKisuiBeMutzar!Y191</f>
        <v>0</v>
      </c>
      <c r="K189" s="178">
        <f>PirteiKisuiBeMutzar!AL191</f>
        <v>0</v>
      </c>
      <c r="L189" s="178">
        <f>PirteiKisuiBeMutzar!AO191</f>
        <v>0</v>
      </c>
      <c r="M189" s="178">
        <f>PirteiKisuiBeMutzar!AP191</f>
        <v>0</v>
      </c>
    </row>
    <row r="190" spans="1:13" x14ac:dyDescent="0.2">
      <c r="A190" s="178">
        <f>PirteiKisuiBeMutzar!D192</f>
        <v>0</v>
      </c>
      <c r="B190" s="178">
        <f>PirteiKisuiBeMutzar!AQ192</f>
        <v>0</v>
      </c>
      <c r="C190" s="178">
        <f>PirteiKisuiBeMutzar!AM192</f>
        <v>0</v>
      </c>
      <c r="D190" s="178">
        <f>PirteiKisuiBeMutzar!G192</f>
        <v>0</v>
      </c>
      <c r="E190" s="178">
        <f>PirteiKisuiBeMutzar!W192</f>
        <v>0</v>
      </c>
      <c r="F190" s="178">
        <f>PirteiKisuiBeMutzar!K192</f>
        <v>0</v>
      </c>
      <c r="G190" s="178">
        <f>PirteiKisuiBeMutzar!M192</f>
        <v>0</v>
      </c>
      <c r="H190" s="979">
        <f>PirteiKisuiBeMutzar!P192</f>
        <v>0</v>
      </c>
      <c r="I190" s="178">
        <f>PirteiKisuiBeMutzar!X192</f>
        <v>0</v>
      </c>
      <c r="J190" s="979">
        <f>PirteiKisuiBeMutzar!Y192</f>
        <v>0</v>
      </c>
      <c r="K190" s="178">
        <f>PirteiKisuiBeMutzar!AL192</f>
        <v>0</v>
      </c>
      <c r="L190" s="178">
        <f>PirteiKisuiBeMutzar!AO192</f>
        <v>0</v>
      </c>
      <c r="M190" s="178">
        <f>PirteiKisuiBeMutzar!AP192</f>
        <v>0</v>
      </c>
    </row>
    <row r="191" spans="1:13" x14ac:dyDescent="0.2">
      <c r="A191" s="178">
        <f>PirteiKisuiBeMutzar!D193</f>
        <v>0</v>
      </c>
      <c r="B191" s="178">
        <f>PirteiKisuiBeMutzar!AQ193</f>
        <v>0</v>
      </c>
      <c r="C191" s="178">
        <f>PirteiKisuiBeMutzar!AM193</f>
        <v>0</v>
      </c>
      <c r="D191" s="178">
        <f>PirteiKisuiBeMutzar!G193</f>
        <v>0</v>
      </c>
      <c r="E191" s="178">
        <f>PirteiKisuiBeMutzar!W193</f>
        <v>0</v>
      </c>
      <c r="F191" s="178">
        <f>PirteiKisuiBeMutzar!K193</f>
        <v>0</v>
      </c>
      <c r="G191" s="178">
        <f>PirteiKisuiBeMutzar!M193</f>
        <v>0</v>
      </c>
      <c r="H191" s="979">
        <f>PirteiKisuiBeMutzar!P193</f>
        <v>0</v>
      </c>
      <c r="I191" s="178">
        <f>PirteiKisuiBeMutzar!X193</f>
        <v>0</v>
      </c>
      <c r="J191" s="979">
        <f>PirteiKisuiBeMutzar!Y193</f>
        <v>0</v>
      </c>
      <c r="K191" s="178">
        <f>PirteiKisuiBeMutzar!AL193</f>
        <v>0</v>
      </c>
      <c r="L191" s="178">
        <f>PirteiKisuiBeMutzar!AO193</f>
        <v>0</v>
      </c>
      <c r="M191" s="178">
        <f>PirteiKisuiBeMutzar!AP193</f>
        <v>0</v>
      </c>
    </row>
    <row r="192" spans="1:13" x14ac:dyDescent="0.2">
      <c r="A192" s="178">
        <f>PirteiKisuiBeMutzar!D194</f>
        <v>0</v>
      </c>
      <c r="B192" s="178">
        <f>PirteiKisuiBeMutzar!AQ194</f>
        <v>0</v>
      </c>
      <c r="C192" s="178">
        <f>PirteiKisuiBeMutzar!AM194</f>
        <v>0</v>
      </c>
      <c r="D192" s="178">
        <f>PirteiKisuiBeMutzar!G194</f>
        <v>0</v>
      </c>
      <c r="E192" s="178">
        <f>PirteiKisuiBeMutzar!W194</f>
        <v>0</v>
      </c>
      <c r="F192" s="178">
        <f>PirteiKisuiBeMutzar!K194</f>
        <v>0</v>
      </c>
      <c r="G192" s="178">
        <f>PirteiKisuiBeMutzar!M194</f>
        <v>0</v>
      </c>
      <c r="H192" s="979">
        <f>PirteiKisuiBeMutzar!P194</f>
        <v>0</v>
      </c>
      <c r="I192" s="178">
        <f>PirteiKisuiBeMutzar!X194</f>
        <v>0</v>
      </c>
      <c r="J192" s="979">
        <f>PirteiKisuiBeMutzar!Y194</f>
        <v>0</v>
      </c>
      <c r="K192" s="178">
        <f>PirteiKisuiBeMutzar!AL194</f>
        <v>0</v>
      </c>
      <c r="L192" s="178">
        <f>PirteiKisuiBeMutzar!AO194</f>
        <v>0</v>
      </c>
      <c r="M192" s="178">
        <f>PirteiKisuiBeMutzar!AP194</f>
        <v>0</v>
      </c>
    </row>
    <row r="193" spans="1:13" x14ac:dyDescent="0.2">
      <c r="A193" s="178">
        <f>PirteiKisuiBeMutzar!D195</f>
        <v>0</v>
      </c>
      <c r="B193" s="178">
        <f>PirteiKisuiBeMutzar!AQ195</f>
        <v>0</v>
      </c>
      <c r="C193" s="178">
        <f>PirteiKisuiBeMutzar!AM195</f>
        <v>0</v>
      </c>
      <c r="D193" s="178">
        <f>PirteiKisuiBeMutzar!G195</f>
        <v>0</v>
      </c>
      <c r="E193" s="178">
        <f>PirteiKisuiBeMutzar!W195</f>
        <v>0</v>
      </c>
      <c r="F193" s="178">
        <f>PirteiKisuiBeMutzar!K195</f>
        <v>0</v>
      </c>
      <c r="G193" s="178">
        <f>PirteiKisuiBeMutzar!M195</f>
        <v>0</v>
      </c>
      <c r="H193" s="979">
        <f>PirteiKisuiBeMutzar!P195</f>
        <v>0</v>
      </c>
      <c r="I193" s="178">
        <f>PirteiKisuiBeMutzar!X195</f>
        <v>0</v>
      </c>
      <c r="J193" s="979">
        <f>PirteiKisuiBeMutzar!Y195</f>
        <v>0</v>
      </c>
      <c r="K193" s="178">
        <f>PirteiKisuiBeMutzar!AL195</f>
        <v>0</v>
      </c>
      <c r="L193" s="178">
        <f>PirteiKisuiBeMutzar!AO195</f>
        <v>0</v>
      </c>
      <c r="M193" s="178">
        <f>PirteiKisuiBeMutzar!AP195</f>
        <v>0</v>
      </c>
    </row>
    <row r="194" spans="1:13" x14ac:dyDescent="0.2">
      <c r="A194" s="178">
        <f>PirteiKisuiBeMutzar!D196</f>
        <v>0</v>
      </c>
      <c r="B194" s="178">
        <f>PirteiKisuiBeMutzar!AQ196</f>
        <v>0</v>
      </c>
      <c r="C194" s="178">
        <f>PirteiKisuiBeMutzar!AM196</f>
        <v>0</v>
      </c>
      <c r="D194" s="178">
        <f>PirteiKisuiBeMutzar!G196</f>
        <v>0</v>
      </c>
      <c r="E194" s="178">
        <f>PirteiKisuiBeMutzar!W196</f>
        <v>0</v>
      </c>
      <c r="F194" s="178">
        <f>PirteiKisuiBeMutzar!K196</f>
        <v>0</v>
      </c>
      <c r="G194" s="178">
        <f>PirteiKisuiBeMutzar!M196</f>
        <v>0</v>
      </c>
      <c r="H194" s="979">
        <f>PirteiKisuiBeMutzar!P196</f>
        <v>0</v>
      </c>
      <c r="I194" s="178">
        <f>PirteiKisuiBeMutzar!X196</f>
        <v>0</v>
      </c>
      <c r="J194" s="979">
        <f>PirteiKisuiBeMutzar!Y196</f>
        <v>0</v>
      </c>
      <c r="K194" s="178">
        <f>PirteiKisuiBeMutzar!AL196</f>
        <v>0</v>
      </c>
      <c r="L194" s="178">
        <f>PirteiKisuiBeMutzar!AO196</f>
        <v>0</v>
      </c>
      <c r="M194" s="178">
        <f>PirteiKisuiBeMutzar!AP196</f>
        <v>0</v>
      </c>
    </row>
    <row r="195" spans="1:13" x14ac:dyDescent="0.2">
      <c r="A195" s="178">
        <f>PirteiKisuiBeMutzar!D197</f>
        <v>0</v>
      </c>
      <c r="B195" s="178">
        <f>PirteiKisuiBeMutzar!AQ197</f>
        <v>0</v>
      </c>
      <c r="C195" s="178">
        <f>PirteiKisuiBeMutzar!AM197</f>
        <v>0</v>
      </c>
      <c r="D195" s="178">
        <f>PirteiKisuiBeMutzar!G197</f>
        <v>0</v>
      </c>
      <c r="E195" s="178">
        <f>PirteiKisuiBeMutzar!W197</f>
        <v>0</v>
      </c>
      <c r="F195" s="178">
        <f>PirteiKisuiBeMutzar!K197</f>
        <v>0</v>
      </c>
      <c r="G195" s="178">
        <f>PirteiKisuiBeMutzar!M197</f>
        <v>0</v>
      </c>
      <c r="H195" s="979">
        <f>PirteiKisuiBeMutzar!P197</f>
        <v>0</v>
      </c>
      <c r="I195" s="178">
        <f>PirteiKisuiBeMutzar!X197</f>
        <v>0</v>
      </c>
      <c r="J195" s="979">
        <f>PirteiKisuiBeMutzar!Y197</f>
        <v>0</v>
      </c>
      <c r="K195" s="178">
        <f>PirteiKisuiBeMutzar!AL197</f>
        <v>0</v>
      </c>
      <c r="L195" s="178">
        <f>PirteiKisuiBeMutzar!AO197</f>
        <v>0</v>
      </c>
      <c r="M195" s="178">
        <f>PirteiKisuiBeMutzar!AP197</f>
        <v>0</v>
      </c>
    </row>
    <row r="196" spans="1:13" x14ac:dyDescent="0.2">
      <c r="A196" s="178">
        <f>PirteiKisuiBeMutzar!D198</f>
        <v>0</v>
      </c>
      <c r="B196" s="178">
        <f>PirteiKisuiBeMutzar!AQ198</f>
        <v>0</v>
      </c>
      <c r="C196" s="178">
        <f>PirteiKisuiBeMutzar!AM198</f>
        <v>0</v>
      </c>
      <c r="D196" s="178">
        <f>PirteiKisuiBeMutzar!G198</f>
        <v>0</v>
      </c>
      <c r="E196" s="178">
        <f>PirteiKisuiBeMutzar!W198</f>
        <v>0</v>
      </c>
      <c r="F196" s="178">
        <f>PirteiKisuiBeMutzar!K198</f>
        <v>0</v>
      </c>
      <c r="G196" s="178">
        <f>PirteiKisuiBeMutzar!M198</f>
        <v>0</v>
      </c>
      <c r="H196" s="979">
        <f>PirteiKisuiBeMutzar!P198</f>
        <v>0</v>
      </c>
      <c r="I196" s="178">
        <f>PirteiKisuiBeMutzar!X198</f>
        <v>0</v>
      </c>
      <c r="J196" s="979">
        <f>PirteiKisuiBeMutzar!Y198</f>
        <v>0</v>
      </c>
      <c r="K196" s="178">
        <f>PirteiKisuiBeMutzar!AL198</f>
        <v>0</v>
      </c>
      <c r="L196" s="178">
        <f>PirteiKisuiBeMutzar!AO198</f>
        <v>0</v>
      </c>
      <c r="M196" s="178">
        <f>PirteiKisuiBeMutzar!AP198</f>
        <v>0</v>
      </c>
    </row>
    <row r="197" spans="1:13" x14ac:dyDescent="0.2">
      <c r="A197" s="178">
        <f>PirteiKisuiBeMutzar!D199</f>
        <v>0</v>
      </c>
      <c r="B197" s="178">
        <f>PirteiKisuiBeMutzar!AQ199</f>
        <v>0</v>
      </c>
      <c r="C197" s="178">
        <f>PirteiKisuiBeMutzar!AM199</f>
        <v>0</v>
      </c>
      <c r="D197" s="178">
        <f>PirteiKisuiBeMutzar!G199</f>
        <v>0</v>
      </c>
      <c r="E197" s="178">
        <f>PirteiKisuiBeMutzar!W199</f>
        <v>0</v>
      </c>
      <c r="F197" s="178">
        <f>PirteiKisuiBeMutzar!K199</f>
        <v>0</v>
      </c>
      <c r="G197" s="178">
        <f>PirteiKisuiBeMutzar!M199</f>
        <v>0</v>
      </c>
      <c r="H197" s="979">
        <f>PirteiKisuiBeMutzar!P199</f>
        <v>0</v>
      </c>
      <c r="I197" s="178">
        <f>PirteiKisuiBeMutzar!X199</f>
        <v>0</v>
      </c>
      <c r="J197" s="979">
        <f>PirteiKisuiBeMutzar!Y199</f>
        <v>0</v>
      </c>
      <c r="K197" s="178">
        <f>PirteiKisuiBeMutzar!AL199</f>
        <v>0</v>
      </c>
      <c r="L197" s="178">
        <f>PirteiKisuiBeMutzar!AO199</f>
        <v>0</v>
      </c>
      <c r="M197" s="178">
        <f>PirteiKisuiBeMutzar!AP199</f>
        <v>0</v>
      </c>
    </row>
    <row r="198" spans="1:13" x14ac:dyDescent="0.2">
      <c r="A198" s="178">
        <f>PirteiKisuiBeMutzar!D200</f>
        <v>0</v>
      </c>
      <c r="B198" s="178">
        <f>PirteiKisuiBeMutzar!AQ200</f>
        <v>0</v>
      </c>
      <c r="C198" s="178">
        <f>PirteiKisuiBeMutzar!AM200</f>
        <v>0</v>
      </c>
      <c r="D198" s="178">
        <f>PirteiKisuiBeMutzar!G200</f>
        <v>0</v>
      </c>
      <c r="E198" s="178">
        <f>PirteiKisuiBeMutzar!W200</f>
        <v>0</v>
      </c>
      <c r="F198" s="178">
        <f>PirteiKisuiBeMutzar!K200</f>
        <v>0</v>
      </c>
      <c r="G198" s="178">
        <f>PirteiKisuiBeMutzar!M200</f>
        <v>0</v>
      </c>
      <c r="H198" s="979">
        <f>PirteiKisuiBeMutzar!P200</f>
        <v>0</v>
      </c>
      <c r="I198" s="178">
        <f>PirteiKisuiBeMutzar!X200</f>
        <v>0</v>
      </c>
      <c r="J198" s="979">
        <f>PirteiKisuiBeMutzar!Y200</f>
        <v>0</v>
      </c>
      <c r="K198" s="178">
        <f>PirteiKisuiBeMutzar!AL200</f>
        <v>0</v>
      </c>
      <c r="L198" s="178">
        <f>PirteiKisuiBeMutzar!AO200</f>
        <v>0</v>
      </c>
      <c r="M198" s="178">
        <f>PirteiKisuiBeMutzar!AP200</f>
        <v>0</v>
      </c>
    </row>
    <row r="199" spans="1:13" x14ac:dyDescent="0.2">
      <c r="A199" s="178">
        <f>PirteiKisuiBeMutzar!D201</f>
        <v>0</v>
      </c>
      <c r="B199" s="178">
        <f>PirteiKisuiBeMutzar!AQ201</f>
        <v>0</v>
      </c>
      <c r="C199" s="178">
        <f>PirteiKisuiBeMutzar!AM201</f>
        <v>0</v>
      </c>
      <c r="D199" s="178">
        <f>PirteiKisuiBeMutzar!G201</f>
        <v>0</v>
      </c>
      <c r="E199" s="178">
        <f>PirteiKisuiBeMutzar!W201</f>
        <v>0</v>
      </c>
      <c r="F199" s="178">
        <f>PirteiKisuiBeMutzar!K201</f>
        <v>0</v>
      </c>
      <c r="G199" s="178">
        <f>PirteiKisuiBeMutzar!M201</f>
        <v>0</v>
      </c>
      <c r="H199" s="979">
        <f>PirteiKisuiBeMutzar!P201</f>
        <v>0</v>
      </c>
      <c r="I199" s="178">
        <f>PirteiKisuiBeMutzar!X201</f>
        <v>0</v>
      </c>
      <c r="J199" s="979">
        <f>PirteiKisuiBeMutzar!Y201</f>
        <v>0</v>
      </c>
      <c r="K199" s="178">
        <f>PirteiKisuiBeMutzar!AL201</f>
        <v>0</v>
      </c>
      <c r="L199" s="178">
        <f>PirteiKisuiBeMutzar!AO201</f>
        <v>0</v>
      </c>
      <c r="M199" s="178">
        <f>PirteiKisuiBeMutzar!AP201</f>
        <v>0</v>
      </c>
    </row>
    <row r="200" spans="1:13" x14ac:dyDescent="0.2">
      <c r="A200" s="178">
        <f>PirteiKisuiBeMutzar!D202</f>
        <v>0</v>
      </c>
      <c r="B200" s="178">
        <f>PirteiKisuiBeMutzar!AQ202</f>
        <v>0</v>
      </c>
      <c r="C200" s="178">
        <f>PirteiKisuiBeMutzar!AM202</f>
        <v>0</v>
      </c>
      <c r="D200" s="178">
        <f>PirteiKisuiBeMutzar!G202</f>
        <v>0</v>
      </c>
      <c r="E200" s="178">
        <f>PirteiKisuiBeMutzar!W202</f>
        <v>0</v>
      </c>
      <c r="F200" s="178">
        <f>PirteiKisuiBeMutzar!K202</f>
        <v>0</v>
      </c>
      <c r="G200" s="178">
        <f>PirteiKisuiBeMutzar!M202</f>
        <v>0</v>
      </c>
      <c r="H200" s="979">
        <f>PirteiKisuiBeMutzar!P202</f>
        <v>0</v>
      </c>
      <c r="I200" s="178">
        <f>PirteiKisuiBeMutzar!X202</f>
        <v>0</v>
      </c>
      <c r="J200" s="979">
        <f>PirteiKisuiBeMutzar!Y202</f>
        <v>0</v>
      </c>
      <c r="K200" s="178">
        <f>PirteiKisuiBeMutzar!AL202</f>
        <v>0</v>
      </c>
      <c r="L200" s="178">
        <f>PirteiKisuiBeMutzar!AO202</f>
        <v>0</v>
      </c>
      <c r="M200" s="178">
        <f>PirteiKisuiBeMutzar!AP202</f>
        <v>0</v>
      </c>
    </row>
    <row r="201" spans="1:13" x14ac:dyDescent="0.2">
      <c r="A201" s="178">
        <f>PirteiKisuiBeMutzar!D203</f>
        <v>0</v>
      </c>
      <c r="B201" s="178">
        <f>PirteiKisuiBeMutzar!AQ203</f>
        <v>0</v>
      </c>
      <c r="C201" s="178">
        <f>PirteiKisuiBeMutzar!AM203</f>
        <v>0</v>
      </c>
      <c r="D201" s="178">
        <f>PirteiKisuiBeMutzar!G203</f>
        <v>0</v>
      </c>
      <c r="E201" s="178">
        <f>PirteiKisuiBeMutzar!W203</f>
        <v>0</v>
      </c>
      <c r="F201" s="178">
        <f>PirteiKisuiBeMutzar!K203</f>
        <v>0</v>
      </c>
      <c r="G201" s="178">
        <f>PirteiKisuiBeMutzar!M203</f>
        <v>0</v>
      </c>
      <c r="H201" s="979">
        <f>PirteiKisuiBeMutzar!P203</f>
        <v>0</v>
      </c>
      <c r="I201" s="178">
        <f>PirteiKisuiBeMutzar!X203</f>
        <v>0</v>
      </c>
      <c r="J201" s="979">
        <f>PirteiKisuiBeMutzar!Y203</f>
        <v>0</v>
      </c>
      <c r="K201" s="178">
        <f>PirteiKisuiBeMutzar!AL203</f>
        <v>0</v>
      </c>
      <c r="L201" s="178">
        <f>PirteiKisuiBeMutzar!AO203</f>
        <v>0</v>
      </c>
      <c r="M201" s="178">
        <f>PirteiKisuiBeMutzar!AP203</f>
        <v>0</v>
      </c>
    </row>
    <row r="202" spans="1:13" x14ac:dyDescent="0.2">
      <c r="A202" s="178">
        <f>PirteiKisuiBeMutzar!D204</f>
        <v>0</v>
      </c>
      <c r="B202" s="178">
        <f>PirteiKisuiBeMutzar!AQ204</f>
        <v>0</v>
      </c>
      <c r="C202" s="178">
        <f>PirteiKisuiBeMutzar!AM204</f>
        <v>0</v>
      </c>
      <c r="D202" s="178">
        <f>PirteiKisuiBeMutzar!G204</f>
        <v>0</v>
      </c>
      <c r="E202" s="178">
        <f>PirteiKisuiBeMutzar!W204</f>
        <v>0</v>
      </c>
      <c r="F202" s="178">
        <f>PirteiKisuiBeMutzar!K204</f>
        <v>0</v>
      </c>
      <c r="G202" s="178">
        <f>PirteiKisuiBeMutzar!M204</f>
        <v>0</v>
      </c>
      <c r="H202" s="979">
        <f>PirteiKisuiBeMutzar!P204</f>
        <v>0</v>
      </c>
      <c r="I202" s="178">
        <f>PirteiKisuiBeMutzar!X204</f>
        <v>0</v>
      </c>
      <c r="J202" s="979">
        <f>PirteiKisuiBeMutzar!Y204</f>
        <v>0</v>
      </c>
      <c r="K202" s="178">
        <f>PirteiKisuiBeMutzar!AL204</f>
        <v>0</v>
      </c>
      <c r="L202" s="178">
        <f>PirteiKisuiBeMutzar!AO204</f>
        <v>0</v>
      </c>
      <c r="M202" s="178">
        <f>PirteiKisuiBeMutzar!AP204</f>
        <v>0</v>
      </c>
    </row>
    <row r="203" spans="1:13" x14ac:dyDescent="0.2">
      <c r="A203" s="178">
        <f>PirteiKisuiBeMutzar!D205</f>
        <v>0</v>
      </c>
      <c r="B203" s="178">
        <f>PirteiKisuiBeMutzar!AQ205</f>
        <v>0</v>
      </c>
      <c r="C203" s="178">
        <f>PirteiKisuiBeMutzar!AM205</f>
        <v>0</v>
      </c>
      <c r="D203" s="178">
        <f>PirteiKisuiBeMutzar!G205</f>
        <v>0</v>
      </c>
      <c r="E203" s="178">
        <f>PirteiKisuiBeMutzar!W205</f>
        <v>0</v>
      </c>
      <c r="F203" s="178">
        <f>PirteiKisuiBeMutzar!K205</f>
        <v>0</v>
      </c>
      <c r="G203" s="178">
        <f>PirteiKisuiBeMutzar!M205</f>
        <v>0</v>
      </c>
      <c r="H203" s="979">
        <f>PirteiKisuiBeMutzar!P205</f>
        <v>0</v>
      </c>
      <c r="I203" s="178">
        <f>PirteiKisuiBeMutzar!X205</f>
        <v>0</v>
      </c>
      <c r="J203" s="979">
        <f>PirteiKisuiBeMutzar!Y205</f>
        <v>0</v>
      </c>
      <c r="K203" s="178">
        <f>PirteiKisuiBeMutzar!AL205</f>
        <v>0</v>
      </c>
      <c r="L203" s="178">
        <f>PirteiKisuiBeMutzar!AO205</f>
        <v>0</v>
      </c>
      <c r="M203" s="178">
        <f>PirteiKisuiBeMutzar!AP205</f>
        <v>0</v>
      </c>
    </row>
    <row r="204" spans="1:13" x14ac:dyDescent="0.2">
      <c r="A204" s="178">
        <f>PirteiKisuiBeMutzar!D206</f>
        <v>0</v>
      </c>
      <c r="B204" s="178">
        <f>PirteiKisuiBeMutzar!AQ206</f>
        <v>0</v>
      </c>
      <c r="C204" s="178">
        <f>PirteiKisuiBeMutzar!AM206</f>
        <v>0</v>
      </c>
      <c r="D204" s="178">
        <f>PirteiKisuiBeMutzar!G206</f>
        <v>0</v>
      </c>
      <c r="E204" s="178">
        <f>PirteiKisuiBeMutzar!W206</f>
        <v>0</v>
      </c>
      <c r="F204" s="178">
        <f>PirteiKisuiBeMutzar!K206</f>
        <v>0</v>
      </c>
      <c r="G204" s="178">
        <f>PirteiKisuiBeMutzar!M206</f>
        <v>0</v>
      </c>
      <c r="H204" s="979">
        <f>PirteiKisuiBeMutzar!P206</f>
        <v>0</v>
      </c>
      <c r="I204" s="178">
        <f>PirteiKisuiBeMutzar!X206</f>
        <v>0</v>
      </c>
      <c r="J204" s="979">
        <f>PirteiKisuiBeMutzar!Y206</f>
        <v>0</v>
      </c>
      <c r="K204" s="178">
        <f>PirteiKisuiBeMutzar!AL206</f>
        <v>0</v>
      </c>
      <c r="L204" s="178">
        <f>PirteiKisuiBeMutzar!AO206</f>
        <v>0</v>
      </c>
      <c r="M204" s="178">
        <f>PirteiKisuiBeMutzar!AP206</f>
        <v>0</v>
      </c>
    </row>
    <row r="205" spans="1:13" x14ac:dyDescent="0.2">
      <c r="A205" s="178">
        <f>PirteiKisuiBeMutzar!D207</f>
        <v>0</v>
      </c>
      <c r="B205" s="178">
        <f>PirteiKisuiBeMutzar!AQ207</f>
        <v>0</v>
      </c>
      <c r="C205" s="178">
        <f>PirteiKisuiBeMutzar!AM207</f>
        <v>0</v>
      </c>
      <c r="D205" s="178">
        <f>PirteiKisuiBeMutzar!G207</f>
        <v>0</v>
      </c>
      <c r="E205" s="178">
        <f>PirteiKisuiBeMutzar!W207</f>
        <v>0</v>
      </c>
      <c r="F205" s="178">
        <f>PirteiKisuiBeMutzar!K207</f>
        <v>0</v>
      </c>
      <c r="G205" s="178">
        <f>PirteiKisuiBeMutzar!M207</f>
        <v>0</v>
      </c>
      <c r="H205" s="979">
        <f>PirteiKisuiBeMutzar!P207</f>
        <v>0</v>
      </c>
      <c r="I205" s="178">
        <f>PirteiKisuiBeMutzar!X207</f>
        <v>0</v>
      </c>
      <c r="J205" s="979">
        <f>PirteiKisuiBeMutzar!Y207</f>
        <v>0</v>
      </c>
      <c r="K205" s="178">
        <f>PirteiKisuiBeMutzar!AL207</f>
        <v>0</v>
      </c>
      <c r="L205" s="178">
        <f>PirteiKisuiBeMutzar!AO207</f>
        <v>0</v>
      </c>
      <c r="M205" s="178">
        <f>PirteiKisuiBeMutzar!AP207</f>
        <v>0</v>
      </c>
    </row>
    <row r="206" spans="1:13" x14ac:dyDescent="0.2">
      <c r="A206" s="178">
        <f>PirteiKisuiBeMutzar!D208</f>
        <v>0</v>
      </c>
      <c r="B206" s="178">
        <f>PirteiKisuiBeMutzar!AQ208</f>
        <v>0</v>
      </c>
      <c r="C206" s="178">
        <f>PirteiKisuiBeMutzar!AM208</f>
        <v>0</v>
      </c>
      <c r="D206" s="178">
        <f>PirteiKisuiBeMutzar!G208</f>
        <v>0</v>
      </c>
      <c r="E206" s="178">
        <f>PirteiKisuiBeMutzar!W208</f>
        <v>0</v>
      </c>
      <c r="F206" s="178">
        <f>PirteiKisuiBeMutzar!K208</f>
        <v>0</v>
      </c>
      <c r="G206" s="178">
        <f>PirteiKisuiBeMutzar!M208</f>
        <v>0</v>
      </c>
      <c r="H206" s="979">
        <f>PirteiKisuiBeMutzar!P208</f>
        <v>0</v>
      </c>
      <c r="I206" s="178">
        <f>PirteiKisuiBeMutzar!X208</f>
        <v>0</v>
      </c>
      <c r="J206" s="979">
        <f>PirteiKisuiBeMutzar!Y208</f>
        <v>0</v>
      </c>
      <c r="K206" s="178">
        <f>PirteiKisuiBeMutzar!AL208</f>
        <v>0</v>
      </c>
      <c r="L206" s="178">
        <f>PirteiKisuiBeMutzar!AO208</f>
        <v>0</v>
      </c>
      <c r="M206" s="178">
        <f>PirteiKisuiBeMutzar!AP208</f>
        <v>0</v>
      </c>
    </row>
    <row r="207" spans="1:13" x14ac:dyDescent="0.2">
      <c r="A207" s="178">
        <f>PirteiKisuiBeMutzar!D209</f>
        <v>0</v>
      </c>
      <c r="B207" s="178">
        <f>PirteiKisuiBeMutzar!AQ209</f>
        <v>0</v>
      </c>
      <c r="C207" s="178">
        <f>PirteiKisuiBeMutzar!AM209</f>
        <v>0</v>
      </c>
      <c r="D207" s="178">
        <f>PirteiKisuiBeMutzar!G209</f>
        <v>0</v>
      </c>
      <c r="E207" s="178">
        <f>PirteiKisuiBeMutzar!W209</f>
        <v>0</v>
      </c>
      <c r="F207" s="178">
        <f>PirteiKisuiBeMutzar!K209</f>
        <v>0</v>
      </c>
      <c r="G207" s="178">
        <f>PirteiKisuiBeMutzar!M209</f>
        <v>0</v>
      </c>
      <c r="H207" s="979">
        <f>PirteiKisuiBeMutzar!P209</f>
        <v>0</v>
      </c>
      <c r="I207" s="178">
        <f>PirteiKisuiBeMutzar!X209</f>
        <v>0</v>
      </c>
      <c r="J207" s="979">
        <f>PirteiKisuiBeMutzar!Y209</f>
        <v>0</v>
      </c>
      <c r="K207" s="178">
        <f>PirteiKisuiBeMutzar!AL209</f>
        <v>0</v>
      </c>
      <c r="L207" s="178">
        <f>PirteiKisuiBeMutzar!AO209</f>
        <v>0</v>
      </c>
      <c r="M207" s="178">
        <f>PirteiKisuiBeMutzar!AP209</f>
        <v>0</v>
      </c>
    </row>
    <row r="208" spans="1:13" x14ac:dyDescent="0.2">
      <c r="A208" s="178">
        <f>PirteiKisuiBeMutzar!D210</f>
        <v>0</v>
      </c>
      <c r="B208" s="178">
        <f>PirteiKisuiBeMutzar!AQ210</f>
        <v>0</v>
      </c>
      <c r="C208" s="178">
        <f>PirteiKisuiBeMutzar!AM210</f>
        <v>0</v>
      </c>
      <c r="D208" s="178">
        <f>PirteiKisuiBeMutzar!G210</f>
        <v>0</v>
      </c>
      <c r="E208" s="178">
        <f>PirteiKisuiBeMutzar!W210</f>
        <v>0</v>
      </c>
      <c r="F208" s="178">
        <f>PirteiKisuiBeMutzar!K210</f>
        <v>0</v>
      </c>
      <c r="G208" s="178">
        <f>PirteiKisuiBeMutzar!M210</f>
        <v>0</v>
      </c>
      <c r="H208" s="979">
        <f>PirteiKisuiBeMutzar!P210</f>
        <v>0</v>
      </c>
      <c r="I208" s="178">
        <f>PirteiKisuiBeMutzar!X210</f>
        <v>0</v>
      </c>
      <c r="J208" s="979">
        <f>PirteiKisuiBeMutzar!Y210</f>
        <v>0</v>
      </c>
      <c r="K208" s="178">
        <f>PirteiKisuiBeMutzar!AL210</f>
        <v>0</v>
      </c>
      <c r="L208" s="178">
        <f>PirteiKisuiBeMutzar!AO210</f>
        <v>0</v>
      </c>
      <c r="M208" s="178">
        <f>PirteiKisuiBeMutzar!AP210</f>
        <v>0</v>
      </c>
    </row>
    <row r="209" spans="1:13" x14ac:dyDescent="0.2">
      <c r="A209" s="178">
        <f>PirteiKisuiBeMutzar!D211</f>
        <v>0</v>
      </c>
      <c r="B209" s="178">
        <f>PirteiKisuiBeMutzar!AQ211</f>
        <v>0</v>
      </c>
      <c r="C209" s="178">
        <f>PirteiKisuiBeMutzar!AM211</f>
        <v>0</v>
      </c>
      <c r="D209" s="178">
        <f>PirteiKisuiBeMutzar!G211</f>
        <v>0</v>
      </c>
      <c r="E209" s="178">
        <f>PirteiKisuiBeMutzar!W211</f>
        <v>0</v>
      </c>
      <c r="F209" s="178">
        <f>PirteiKisuiBeMutzar!K211</f>
        <v>0</v>
      </c>
      <c r="G209" s="178">
        <f>PirteiKisuiBeMutzar!M211</f>
        <v>0</v>
      </c>
      <c r="H209" s="979">
        <f>PirteiKisuiBeMutzar!P211</f>
        <v>0</v>
      </c>
      <c r="I209" s="178">
        <f>PirteiKisuiBeMutzar!X211</f>
        <v>0</v>
      </c>
      <c r="J209" s="979">
        <f>PirteiKisuiBeMutzar!Y211</f>
        <v>0</v>
      </c>
      <c r="K209" s="178">
        <f>PirteiKisuiBeMutzar!AL211</f>
        <v>0</v>
      </c>
      <c r="L209" s="178">
        <f>PirteiKisuiBeMutzar!AO211</f>
        <v>0</v>
      </c>
      <c r="M209" s="178">
        <f>PirteiKisuiBeMutzar!AP211</f>
        <v>0</v>
      </c>
    </row>
    <row r="210" spans="1:13" x14ac:dyDescent="0.2">
      <c r="A210" s="178">
        <f>PirteiKisuiBeMutzar!D212</f>
        <v>0</v>
      </c>
      <c r="B210" s="178">
        <f>PirteiKisuiBeMutzar!AQ212</f>
        <v>0</v>
      </c>
      <c r="C210" s="178">
        <f>PirteiKisuiBeMutzar!AM212</f>
        <v>0</v>
      </c>
      <c r="D210" s="178">
        <f>PirteiKisuiBeMutzar!G212</f>
        <v>0</v>
      </c>
      <c r="E210" s="178">
        <f>PirteiKisuiBeMutzar!W212</f>
        <v>0</v>
      </c>
      <c r="F210" s="178">
        <f>PirteiKisuiBeMutzar!K212</f>
        <v>0</v>
      </c>
      <c r="G210" s="178">
        <f>PirteiKisuiBeMutzar!M212</f>
        <v>0</v>
      </c>
      <c r="H210" s="979">
        <f>PirteiKisuiBeMutzar!P212</f>
        <v>0</v>
      </c>
      <c r="I210" s="178">
        <f>PirteiKisuiBeMutzar!X212</f>
        <v>0</v>
      </c>
      <c r="J210" s="979">
        <f>PirteiKisuiBeMutzar!Y212</f>
        <v>0</v>
      </c>
      <c r="K210" s="178">
        <f>PirteiKisuiBeMutzar!AL212</f>
        <v>0</v>
      </c>
      <c r="L210" s="178">
        <f>PirteiKisuiBeMutzar!AO212</f>
        <v>0</v>
      </c>
      <c r="M210" s="178">
        <f>PirteiKisuiBeMutzar!AP212</f>
        <v>0</v>
      </c>
    </row>
    <row r="211" spans="1:13" x14ac:dyDescent="0.2">
      <c r="A211" s="178">
        <f>PirteiKisuiBeMutzar!D213</f>
        <v>0</v>
      </c>
      <c r="B211" s="178">
        <f>PirteiKisuiBeMutzar!AQ213</f>
        <v>0</v>
      </c>
      <c r="C211" s="178">
        <f>PirteiKisuiBeMutzar!AM213</f>
        <v>0</v>
      </c>
      <c r="D211" s="178">
        <f>PirteiKisuiBeMutzar!G213</f>
        <v>0</v>
      </c>
      <c r="E211" s="178">
        <f>PirteiKisuiBeMutzar!W213</f>
        <v>0</v>
      </c>
      <c r="F211" s="178">
        <f>PirteiKisuiBeMutzar!K213</f>
        <v>0</v>
      </c>
      <c r="G211" s="178">
        <f>PirteiKisuiBeMutzar!M213</f>
        <v>0</v>
      </c>
      <c r="H211" s="979">
        <f>PirteiKisuiBeMutzar!P213</f>
        <v>0</v>
      </c>
      <c r="I211" s="178">
        <f>PirteiKisuiBeMutzar!X213</f>
        <v>0</v>
      </c>
      <c r="J211" s="979">
        <f>PirteiKisuiBeMutzar!Y213</f>
        <v>0</v>
      </c>
      <c r="K211" s="178">
        <f>PirteiKisuiBeMutzar!AL213</f>
        <v>0</v>
      </c>
      <c r="L211" s="178">
        <f>PirteiKisuiBeMutzar!AO213</f>
        <v>0</v>
      </c>
      <c r="M211" s="178">
        <f>PirteiKisuiBeMutzar!AP213</f>
        <v>0</v>
      </c>
    </row>
    <row r="212" spans="1:13" x14ac:dyDescent="0.2">
      <c r="A212" s="178">
        <f>PirteiKisuiBeMutzar!D214</f>
        <v>0</v>
      </c>
      <c r="B212" s="178">
        <f>PirteiKisuiBeMutzar!AQ214</f>
        <v>0</v>
      </c>
      <c r="C212" s="178">
        <f>PirteiKisuiBeMutzar!AM214</f>
        <v>0</v>
      </c>
      <c r="D212" s="178">
        <f>PirteiKisuiBeMutzar!G214</f>
        <v>0</v>
      </c>
      <c r="E212" s="178">
        <f>PirteiKisuiBeMutzar!W214</f>
        <v>0</v>
      </c>
      <c r="F212" s="178">
        <f>PirteiKisuiBeMutzar!K214</f>
        <v>0</v>
      </c>
      <c r="G212" s="178">
        <f>PirteiKisuiBeMutzar!M214</f>
        <v>0</v>
      </c>
      <c r="H212" s="979">
        <f>PirteiKisuiBeMutzar!P214</f>
        <v>0</v>
      </c>
      <c r="I212" s="178">
        <f>PirteiKisuiBeMutzar!X214</f>
        <v>0</v>
      </c>
      <c r="J212" s="979">
        <f>PirteiKisuiBeMutzar!Y214</f>
        <v>0</v>
      </c>
      <c r="K212" s="178">
        <f>PirteiKisuiBeMutzar!AL214</f>
        <v>0</v>
      </c>
      <c r="L212" s="178">
        <f>PirteiKisuiBeMutzar!AO214</f>
        <v>0</v>
      </c>
      <c r="M212" s="178">
        <f>PirteiKisuiBeMutzar!AP214</f>
        <v>0</v>
      </c>
    </row>
    <row r="213" spans="1:13" x14ac:dyDescent="0.2">
      <c r="A213" s="178">
        <f>PirteiKisuiBeMutzar!D215</f>
        <v>0</v>
      </c>
      <c r="B213" s="178">
        <f>PirteiKisuiBeMutzar!AQ215</f>
        <v>0</v>
      </c>
      <c r="C213" s="178">
        <f>PirteiKisuiBeMutzar!AM215</f>
        <v>0</v>
      </c>
      <c r="D213" s="178">
        <f>PirteiKisuiBeMutzar!G215</f>
        <v>0</v>
      </c>
      <c r="E213" s="178">
        <f>PirteiKisuiBeMutzar!W215</f>
        <v>0</v>
      </c>
      <c r="F213" s="178">
        <f>PirteiKisuiBeMutzar!K215</f>
        <v>0</v>
      </c>
      <c r="G213" s="178">
        <f>PirteiKisuiBeMutzar!M215</f>
        <v>0</v>
      </c>
      <c r="H213" s="979">
        <f>PirteiKisuiBeMutzar!P215</f>
        <v>0</v>
      </c>
      <c r="I213" s="178">
        <f>PirteiKisuiBeMutzar!X215</f>
        <v>0</v>
      </c>
      <c r="J213" s="979">
        <f>PirteiKisuiBeMutzar!Y215</f>
        <v>0</v>
      </c>
      <c r="K213" s="178">
        <f>PirteiKisuiBeMutzar!AL215</f>
        <v>0</v>
      </c>
      <c r="L213" s="178">
        <f>PirteiKisuiBeMutzar!AO215</f>
        <v>0</v>
      </c>
      <c r="M213" s="178">
        <f>PirteiKisuiBeMutzar!AP215</f>
        <v>0</v>
      </c>
    </row>
    <row r="214" spans="1:13" x14ac:dyDescent="0.2">
      <c r="A214" s="178">
        <f>PirteiKisuiBeMutzar!D216</f>
        <v>0</v>
      </c>
      <c r="B214" s="178">
        <f>PirteiKisuiBeMutzar!AQ216</f>
        <v>0</v>
      </c>
      <c r="C214" s="178">
        <f>PirteiKisuiBeMutzar!AM216</f>
        <v>0</v>
      </c>
      <c r="D214" s="178">
        <f>PirteiKisuiBeMutzar!G216</f>
        <v>0</v>
      </c>
      <c r="E214" s="178">
        <f>PirteiKisuiBeMutzar!W216</f>
        <v>0</v>
      </c>
      <c r="F214" s="178">
        <f>PirteiKisuiBeMutzar!K216</f>
        <v>0</v>
      </c>
      <c r="G214" s="178">
        <f>PirteiKisuiBeMutzar!M216</f>
        <v>0</v>
      </c>
      <c r="H214" s="979">
        <f>PirteiKisuiBeMutzar!P216</f>
        <v>0</v>
      </c>
      <c r="I214" s="178">
        <f>PirteiKisuiBeMutzar!X216</f>
        <v>0</v>
      </c>
      <c r="J214" s="979">
        <f>PirteiKisuiBeMutzar!Y216</f>
        <v>0</v>
      </c>
      <c r="K214" s="178">
        <f>PirteiKisuiBeMutzar!AL216</f>
        <v>0</v>
      </c>
      <c r="L214" s="178">
        <f>PirteiKisuiBeMutzar!AO216</f>
        <v>0</v>
      </c>
      <c r="M214" s="178">
        <f>PirteiKisuiBeMutzar!AP216</f>
        <v>0</v>
      </c>
    </row>
    <row r="215" spans="1:13" x14ac:dyDescent="0.2">
      <c r="A215" s="178">
        <f>PirteiKisuiBeMutzar!D217</f>
        <v>0</v>
      </c>
      <c r="B215" s="178">
        <f>PirteiKisuiBeMutzar!AQ217</f>
        <v>0</v>
      </c>
      <c r="C215" s="178">
        <f>PirteiKisuiBeMutzar!AM217</f>
        <v>0</v>
      </c>
      <c r="D215" s="178">
        <f>PirteiKisuiBeMutzar!G217</f>
        <v>0</v>
      </c>
      <c r="E215" s="178">
        <f>PirteiKisuiBeMutzar!W217</f>
        <v>0</v>
      </c>
      <c r="F215" s="178">
        <f>PirteiKisuiBeMutzar!K217</f>
        <v>0</v>
      </c>
      <c r="G215" s="178">
        <f>PirteiKisuiBeMutzar!M217</f>
        <v>0</v>
      </c>
      <c r="H215" s="979">
        <f>PirteiKisuiBeMutzar!P217</f>
        <v>0</v>
      </c>
      <c r="I215" s="178">
        <f>PirteiKisuiBeMutzar!X217</f>
        <v>0</v>
      </c>
      <c r="J215" s="979">
        <f>PirteiKisuiBeMutzar!Y217</f>
        <v>0</v>
      </c>
      <c r="K215" s="178">
        <f>PirteiKisuiBeMutzar!AL217</f>
        <v>0</v>
      </c>
      <c r="L215" s="178">
        <f>PirteiKisuiBeMutzar!AO217</f>
        <v>0</v>
      </c>
      <c r="M215" s="178">
        <f>PirteiKisuiBeMutzar!AP217</f>
        <v>0</v>
      </c>
    </row>
    <row r="216" spans="1:13" x14ac:dyDescent="0.2">
      <c r="A216" s="178">
        <f>PirteiKisuiBeMutzar!D218</f>
        <v>0</v>
      </c>
      <c r="B216" s="178">
        <f>PirteiKisuiBeMutzar!AQ218</f>
        <v>0</v>
      </c>
      <c r="C216" s="178">
        <f>PirteiKisuiBeMutzar!AM218</f>
        <v>0</v>
      </c>
      <c r="D216" s="178">
        <f>PirteiKisuiBeMutzar!G218</f>
        <v>0</v>
      </c>
      <c r="E216" s="178">
        <f>PirteiKisuiBeMutzar!W218</f>
        <v>0</v>
      </c>
      <c r="F216" s="178">
        <f>PirteiKisuiBeMutzar!K218</f>
        <v>0</v>
      </c>
      <c r="G216" s="178">
        <f>PirteiKisuiBeMutzar!M218</f>
        <v>0</v>
      </c>
      <c r="H216" s="979">
        <f>PirteiKisuiBeMutzar!P218</f>
        <v>0</v>
      </c>
      <c r="I216" s="178">
        <f>PirteiKisuiBeMutzar!X218</f>
        <v>0</v>
      </c>
      <c r="J216" s="979">
        <f>PirteiKisuiBeMutzar!Y218</f>
        <v>0</v>
      </c>
      <c r="K216" s="178">
        <f>PirteiKisuiBeMutzar!AL218</f>
        <v>0</v>
      </c>
      <c r="L216" s="178">
        <f>PirteiKisuiBeMutzar!AO218</f>
        <v>0</v>
      </c>
      <c r="M216" s="178">
        <f>PirteiKisuiBeMutzar!AP218</f>
        <v>0</v>
      </c>
    </row>
    <row r="217" spans="1:13" x14ac:dyDescent="0.2">
      <c r="A217" s="178">
        <f>PirteiKisuiBeMutzar!D219</f>
        <v>0</v>
      </c>
      <c r="B217" s="178">
        <f>PirteiKisuiBeMutzar!AQ219</f>
        <v>0</v>
      </c>
      <c r="C217" s="178">
        <f>PirteiKisuiBeMutzar!AM219</f>
        <v>0</v>
      </c>
      <c r="D217" s="178">
        <f>PirteiKisuiBeMutzar!G219</f>
        <v>0</v>
      </c>
      <c r="E217" s="178">
        <f>PirteiKisuiBeMutzar!W219</f>
        <v>0</v>
      </c>
      <c r="F217" s="178">
        <f>PirteiKisuiBeMutzar!K219</f>
        <v>0</v>
      </c>
      <c r="G217" s="178">
        <f>PirteiKisuiBeMutzar!M219</f>
        <v>0</v>
      </c>
      <c r="H217" s="979">
        <f>PirteiKisuiBeMutzar!P219</f>
        <v>0</v>
      </c>
      <c r="I217" s="178">
        <f>PirteiKisuiBeMutzar!X219</f>
        <v>0</v>
      </c>
      <c r="J217" s="979">
        <f>PirteiKisuiBeMutzar!Y219</f>
        <v>0</v>
      </c>
      <c r="K217" s="178">
        <f>PirteiKisuiBeMutzar!AL219</f>
        <v>0</v>
      </c>
      <c r="L217" s="178">
        <f>PirteiKisuiBeMutzar!AO219</f>
        <v>0</v>
      </c>
      <c r="M217" s="178">
        <f>PirteiKisuiBeMutzar!AP219</f>
        <v>0</v>
      </c>
    </row>
    <row r="218" spans="1:13" x14ac:dyDescent="0.2">
      <c r="A218" s="178">
        <f>PirteiKisuiBeMutzar!D220</f>
        <v>0</v>
      </c>
      <c r="B218" s="178">
        <f>PirteiKisuiBeMutzar!AQ220</f>
        <v>0</v>
      </c>
      <c r="C218" s="178">
        <f>PirteiKisuiBeMutzar!AM220</f>
        <v>0</v>
      </c>
      <c r="D218" s="178">
        <f>PirteiKisuiBeMutzar!G220</f>
        <v>0</v>
      </c>
      <c r="E218" s="178">
        <f>PirteiKisuiBeMutzar!W220</f>
        <v>0</v>
      </c>
      <c r="F218" s="178">
        <f>PirteiKisuiBeMutzar!K220</f>
        <v>0</v>
      </c>
      <c r="G218" s="178">
        <f>PirteiKisuiBeMutzar!M220</f>
        <v>0</v>
      </c>
      <c r="H218" s="979">
        <f>PirteiKisuiBeMutzar!P220</f>
        <v>0</v>
      </c>
      <c r="I218" s="178">
        <f>PirteiKisuiBeMutzar!X220</f>
        <v>0</v>
      </c>
      <c r="J218" s="979">
        <f>PirteiKisuiBeMutzar!Y220</f>
        <v>0</v>
      </c>
      <c r="K218" s="178">
        <f>PirteiKisuiBeMutzar!AL220</f>
        <v>0</v>
      </c>
      <c r="L218" s="178">
        <f>PirteiKisuiBeMutzar!AO220</f>
        <v>0</v>
      </c>
      <c r="M218" s="178">
        <f>PirteiKisuiBeMutzar!AP220</f>
        <v>0</v>
      </c>
    </row>
    <row r="219" spans="1:13" x14ac:dyDescent="0.2">
      <c r="A219" s="178">
        <f>PirteiKisuiBeMutzar!D221</f>
        <v>0</v>
      </c>
      <c r="B219" s="178">
        <f>PirteiKisuiBeMutzar!AQ221</f>
        <v>0</v>
      </c>
      <c r="C219" s="178">
        <f>PirteiKisuiBeMutzar!AM221</f>
        <v>0</v>
      </c>
      <c r="D219" s="178">
        <f>PirteiKisuiBeMutzar!G221</f>
        <v>0</v>
      </c>
      <c r="E219" s="178">
        <f>PirteiKisuiBeMutzar!W221</f>
        <v>0</v>
      </c>
      <c r="F219" s="178">
        <f>PirteiKisuiBeMutzar!K221</f>
        <v>0</v>
      </c>
      <c r="G219" s="178">
        <f>PirteiKisuiBeMutzar!M221</f>
        <v>0</v>
      </c>
      <c r="H219" s="979">
        <f>PirteiKisuiBeMutzar!P221</f>
        <v>0</v>
      </c>
      <c r="I219" s="178">
        <f>PirteiKisuiBeMutzar!X221</f>
        <v>0</v>
      </c>
      <c r="J219" s="979">
        <f>PirteiKisuiBeMutzar!Y221</f>
        <v>0</v>
      </c>
      <c r="K219" s="178">
        <f>PirteiKisuiBeMutzar!AL221</f>
        <v>0</v>
      </c>
      <c r="L219" s="178">
        <f>PirteiKisuiBeMutzar!AO221</f>
        <v>0</v>
      </c>
      <c r="M219" s="178">
        <f>PirteiKisuiBeMutzar!AP221</f>
        <v>0</v>
      </c>
    </row>
    <row r="220" spans="1:13" x14ac:dyDescent="0.2">
      <c r="A220" s="178">
        <f>PirteiKisuiBeMutzar!D222</f>
        <v>0</v>
      </c>
      <c r="B220" s="178">
        <f>PirteiKisuiBeMutzar!AQ222</f>
        <v>0</v>
      </c>
      <c r="C220" s="178">
        <f>PirteiKisuiBeMutzar!AM222</f>
        <v>0</v>
      </c>
      <c r="D220" s="178">
        <f>PirteiKisuiBeMutzar!G222</f>
        <v>0</v>
      </c>
      <c r="E220" s="178">
        <f>PirteiKisuiBeMutzar!W222</f>
        <v>0</v>
      </c>
      <c r="F220" s="178">
        <f>PirteiKisuiBeMutzar!K222</f>
        <v>0</v>
      </c>
      <c r="G220" s="178">
        <f>PirteiKisuiBeMutzar!M222</f>
        <v>0</v>
      </c>
      <c r="H220" s="979">
        <f>PirteiKisuiBeMutzar!P222</f>
        <v>0</v>
      </c>
      <c r="I220" s="178">
        <f>PirteiKisuiBeMutzar!X222</f>
        <v>0</v>
      </c>
      <c r="J220" s="979">
        <f>PirteiKisuiBeMutzar!Y222</f>
        <v>0</v>
      </c>
      <c r="K220" s="178">
        <f>PirteiKisuiBeMutzar!AL222</f>
        <v>0</v>
      </c>
      <c r="L220" s="178">
        <f>PirteiKisuiBeMutzar!AO222</f>
        <v>0</v>
      </c>
      <c r="M220" s="178">
        <f>PirteiKisuiBeMutzar!AP222</f>
        <v>0</v>
      </c>
    </row>
    <row r="221" spans="1:13" x14ac:dyDescent="0.2">
      <c r="A221" s="178">
        <f>PirteiKisuiBeMutzar!D223</f>
        <v>0</v>
      </c>
      <c r="B221" s="178">
        <f>PirteiKisuiBeMutzar!AQ223</f>
        <v>0</v>
      </c>
      <c r="C221" s="178">
        <f>PirteiKisuiBeMutzar!AM223</f>
        <v>0</v>
      </c>
      <c r="D221" s="178">
        <f>PirteiKisuiBeMutzar!G223</f>
        <v>0</v>
      </c>
      <c r="E221" s="178">
        <f>PirteiKisuiBeMutzar!W223</f>
        <v>0</v>
      </c>
      <c r="F221" s="178">
        <f>PirteiKisuiBeMutzar!K223</f>
        <v>0</v>
      </c>
      <c r="G221" s="178">
        <f>PirteiKisuiBeMutzar!M223</f>
        <v>0</v>
      </c>
      <c r="H221" s="979">
        <f>PirteiKisuiBeMutzar!P223</f>
        <v>0</v>
      </c>
      <c r="I221" s="178">
        <f>PirteiKisuiBeMutzar!X223</f>
        <v>0</v>
      </c>
      <c r="J221" s="979">
        <f>PirteiKisuiBeMutzar!Y223</f>
        <v>0</v>
      </c>
      <c r="K221" s="178">
        <f>PirteiKisuiBeMutzar!AL223</f>
        <v>0</v>
      </c>
      <c r="L221" s="178">
        <f>PirteiKisuiBeMutzar!AO223</f>
        <v>0</v>
      </c>
      <c r="M221" s="178">
        <f>PirteiKisuiBeMutzar!AP223</f>
        <v>0</v>
      </c>
    </row>
    <row r="222" spans="1:13" x14ac:dyDescent="0.2">
      <c r="A222" s="178">
        <f>PirteiKisuiBeMutzar!D224</f>
        <v>0</v>
      </c>
      <c r="B222" s="178">
        <f>PirteiKisuiBeMutzar!AQ224</f>
        <v>0</v>
      </c>
      <c r="C222" s="178">
        <f>PirteiKisuiBeMutzar!AM224</f>
        <v>0</v>
      </c>
      <c r="D222" s="178">
        <f>PirteiKisuiBeMutzar!G224</f>
        <v>0</v>
      </c>
      <c r="E222" s="178">
        <f>PirteiKisuiBeMutzar!W224</f>
        <v>0</v>
      </c>
      <c r="F222" s="178">
        <f>PirteiKisuiBeMutzar!K224</f>
        <v>0</v>
      </c>
      <c r="G222" s="178">
        <f>PirteiKisuiBeMutzar!M224</f>
        <v>0</v>
      </c>
      <c r="H222" s="979">
        <f>PirteiKisuiBeMutzar!P224</f>
        <v>0</v>
      </c>
      <c r="I222" s="178">
        <f>PirteiKisuiBeMutzar!X224</f>
        <v>0</v>
      </c>
      <c r="J222" s="979">
        <f>PirteiKisuiBeMutzar!Y224</f>
        <v>0</v>
      </c>
      <c r="K222" s="178">
        <f>PirteiKisuiBeMutzar!AL224</f>
        <v>0</v>
      </c>
      <c r="L222" s="178">
        <f>PirteiKisuiBeMutzar!AO224</f>
        <v>0</v>
      </c>
      <c r="M222" s="178">
        <f>PirteiKisuiBeMutzar!AP224</f>
        <v>0</v>
      </c>
    </row>
    <row r="223" spans="1:13" x14ac:dyDescent="0.2">
      <c r="A223" s="178">
        <f>PirteiKisuiBeMutzar!D225</f>
        <v>0</v>
      </c>
      <c r="B223" s="178">
        <f>PirteiKisuiBeMutzar!AQ225</f>
        <v>0</v>
      </c>
      <c r="C223" s="178">
        <f>PirteiKisuiBeMutzar!AM225</f>
        <v>0</v>
      </c>
      <c r="D223" s="178">
        <f>PirteiKisuiBeMutzar!G225</f>
        <v>0</v>
      </c>
      <c r="E223" s="178">
        <f>PirteiKisuiBeMutzar!W225</f>
        <v>0</v>
      </c>
      <c r="F223" s="178">
        <f>PirteiKisuiBeMutzar!K225</f>
        <v>0</v>
      </c>
      <c r="G223" s="178">
        <f>PirteiKisuiBeMutzar!M225</f>
        <v>0</v>
      </c>
      <c r="H223" s="979">
        <f>PirteiKisuiBeMutzar!P225</f>
        <v>0</v>
      </c>
      <c r="I223" s="178">
        <f>PirteiKisuiBeMutzar!X225</f>
        <v>0</v>
      </c>
      <c r="J223" s="979">
        <f>PirteiKisuiBeMutzar!Y225</f>
        <v>0</v>
      </c>
      <c r="K223" s="178">
        <f>PirteiKisuiBeMutzar!AL225</f>
        <v>0</v>
      </c>
      <c r="L223" s="178">
        <f>PirteiKisuiBeMutzar!AO225</f>
        <v>0</v>
      </c>
      <c r="M223" s="178">
        <f>PirteiKisuiBeMutzar!AP225</f>
        <v>0</v>
      </c>
    </row>
    <row r="224" spans="1:13" x14ac:dyDescent="0.2">
      <c r="A224" s="178">
        <f>PirteiKisuiBeMutzar!D226</f>
        <v>0</v>
      </c>
      <c r="B224" s="178">
        <f>PirteiKisuiBeMutzar!AQ226</f>
        <v>0</v>
      </c>
      <c r="C224" s="178">
        <f>PirteiKisuiBeMutzar!AM226</f>
        <v>0</v>
      </c>
      <c r="D224" s="178">
        <f>PirteiKisuiBeMutzar!G226</f>
        <v>0</v>
      </c>
      <c r="E224" s="178">
        <f>PirteiKisuiBeMutzar!W226</f>
        <v>0</v>
      </c>
      <c r="F224" s="178">
        <f>PirteiKisuiBeMutzar!K226</f>
        <v>0</v>
      </c>
      <c r="G224" s="178">
        <f>PirteiKisuiBeMutzar!M226</f>
        <v>0</v>
      </c>
      <c r="H224" s="979">
        <f>PirteiKisuiBeMutzar!P226</f>
        <v>0</v>
      </c>
      <c r="I224" s="178">
        <f>PirteiKisuiBeMutzar!X226</f>
        <v>0</v>
      </c>
      <c r="J224" s="979">
        <f>PirteiKisuiBeMutzar!Y226</f>
        <v>0</v>
      </c>
      <c r="K224" s="178">
        <f>PirteiKisuiBeMutzar!AL226</f>
        <v>0</v>
      </c>
      <c r="L224" s="178">
        <f>PirteiKisuiBeMutzar!AO226</f>
        <v>0</v>
      </c>
      <c r="M224" s="178">
        <f>PirteiKisuiBeMutzar!AP226</f>
        <v>0</v>
      </c>
    </row>
    <row r="225" spans="1:13" x14ac:dyDescent="0.2">
      <c r="A225" s="178">
        <f>PirteiKisuiBeMutzar!D227</f>
        <v>0</v>
      </c>
      <c r="B225" s="178">
        <f>PirteiKisuiBeMutzar!AQ227</f>
        <v>0</v>
      </c>
      <c r="C225" s="178">
        <f>PirteiKisuiBeMutzar!AM227</f>
        <v>0</v>
      </c>
      <c r="D225" s="178">
        <f>PirteiKisuiBeMutzar!G227</f>
        <v>0</v>
      </c>
      <c r="E225" s="178">
        <f>PirteiKisuiBeMutzar!W227</f>
        <v>0</v>
      </c>
      <c r="F225" s="178">
        <f>PirteiKisuiBeMutzar!K227</f>
        <v>0</v>
      </c>
      <c r="G225" s="178">
        <f>PirteiKisuiBeMutzar!M227</f>
        <v>0</v>
      </c>
      <c r="H225" s="979">
        <f>PirteiKisuiBeMutzar!P227</f>
        <v>0</v>
      </c>
      <c r="I225" s="178">
        <f>PirteiKisuiBeMutzar!X227</f>
        <v>0</v>
      </c>
      <c r="J225" s="979">
        <f>PirteiKisuiBeMutzar!Y227</f>
        <v>0</v>
      </c>
      <c r="K225" s="178">
        <f>PirteiKisuiBeMutzar!AL227</f>
        <v>0</v>
      </c>
      <c r="L225" s="178">
        <f>PirteiKisuiBeMutzar!AO227</f>
        <v>0</v>
      </c>
      <c r="M225" s="178">
        <f>PirteiKisuiBeMutzar!AP227</f>
        <v>0</v>
      </c>
    </row>
    <row r="226" spans="1:13" x14ac:dyDescent="0.2">
      <c r="A226" s="178">
        <f>PirteiKisuiBeMutzar!D228</f>
        <v>0</v>
      </c>
      <c r="B226" s="178">
        <f>PirteiKisuiBeMutzar!AQ228</f>
        <v>0</v>
      </c>
      <c r="C226" s="178">
        <f>PirteiKisuiBeMutzar!AM228</f>
        <v>0</v>
      </c>
      <c r="D226" s="178">
        <f>PirteiKisuiBeMutzar!G228</f>
        <v>0</v>
      </c>
      <c r="E226" s="178">
        <f>PirteiKisuiBeMutzar!W228</f>
        <v>0</v>
      </c>
      <c r="F226" s="178">
        <f>PirteiKisuiBeMutzar!K228</f>
        <v>0</v>
      </c>
      <c r="G226" s="178">
        <f>PirteiKisuiBeMutzar!M228</f>
        <v>0</v>
      </c>
      <c r="H226" s="979">
        <f>PirteiKisuiBeMutzar!P228</f>
        <v>0</v>
      </c>
      <c r="I226" s="178">
        <f>PirteiKisuiBeMutzar!X228</f>
        <v>0</v>
      </c>
      <c r="J226" s="979">
        <f>PirteiKisuiBeMutzar!Y228</f>
        <v>0</v>
      </c>
      <c r="K226" s="178">
        <f>PirteiKisuiBeMutzar!AL228</f>
        <v>0</v>
      </c>
      <c r="L226" s="178">
        <f>PirteiKisuiBeMutzar!AO228</f>
        <v>0</v>
      </c>
      <c r="M226" s="178">
        <f>PirteiKisuiBeMutzar!AP228</f>
        <v>0</v>
      </c>
    </row>
    <row r="227" spans="1:13" x14ac:dyDescent="0.2">
      <c r="A227" s="178">
        <f>PirteiKisuiBeMutzar!D229</f>
        <v>0</v>
      </c>
      <c r="B227" s="178">
        <f>PirteiKisuiBeMutzar!AQ229</f>
        <v>0</v>
      </c>
      <c r="C227" s="178">
        <f>PirteiKisuiBeMutzar!AM229</f>
        <v>0</v>
      </c>
      <c r="D227" s="178">
        <f>PirteiKisuiBeMutzar!G229</f>
        <v>0</v>
      </c>
      <c r="E227" s="178">
        <f>PirteiKisuiBeMutzar!W229</f>
        <v>0</v>
      </c>
      <c r="F227" s="178">
        <f>PirteiKisuiBeMutzar!K229</f>
        <v>0</v>
      </c>
      <c r="G227" s="178">
        <f>PirteiKisuiBeMutzar!M229</f>
        <v>0</v>
      </c>
      <c r="H227" s="979">
        <f>PirteiKisuiBeMutzar!P229</f>
        <v>0</v>
      </c>
      <c r="I227" s="178">
        <f>PirteiKisuiBeMutzar!X229</f>
        <v>0</v>
      </c>
      <c r="J227" s="979">
        <f>PirteiKisuiBeMutzar!Y229</f>
        <v>0</v>
      </c>
      <c r="K227" s="178">
        <f>PirteiKisuiBeMutzar!AL229</f>
        <v>0</v>
      </c>
      <c r="L227" s="178">
        <f>PirteiKisuiBeMutzar!AO229</f>
        <v>0</v>
      </c>
      <c r="M227" s="178">
        <f>PirteiKisuiBeMutzar!AP229</f>
        <v>0</v>
      </c>
    </row>
    <row r="228" spans="1:13" x14ac:dyDescent="0.2">
      <c r="A228" s="178">
        <f>PirteiKisuiBeMutzar!D230</f>
        <v>0</v>
      </c>
      <c r="B228" s="178">
        <f>PirteiKisuiBeMutzar!AQ230</f>
        <v>0</v>
      </c>
      <c r="C228" s="178">
        <f>PirteiKisuiBeMutzar!AM230</f>
        <v>0</v>
      </c>
      <c r="D228" s="178">
        <f>PirteiKisuiBeMutzar!G230</f>
        <v>0</v>
      </c>
      <c r="E228" s="178">
        <f>PirteiKisuiBeMutzar!W230</f>
        <v>0</v>
      </c>
      <c r="F228" s="178">
        <f>PirteiKisuiBeMutzar!K230</f>
        <v>0</v>
      </c>
      <c r="G228" s="178">
        <f>PirteiKisuiBeMutzar!M230</f>
        <v>0</v>
      </c>
      <c r="H228" s="979">
        <f>PirteiKisuiBeMutzar!P230</f>
        <v>0</v>
      </c>
      <c r="I228" s="178">
        <f>PirteiKisuiBeMutzar!X230</f>
        <v>0</v>
      </c>
      <c r="J228" s="979">
        <f>PirteiKisuiBeMutzar!Y230</f>
        <v>0</v>
      </c>
      <c r="K228" s="178">
        <f>PirteiKisuiBeMutzar!AL230</f>
        <v>0</v>
      </c>
      <c r="L228" s="178">
        <f>PirteiKisuiBeMutzar!AO230</f>
        <v>0</v>
      </c>
      <c r="M228" s="178">
        <f>PirteiKisuiBeMutzar!AP230</f>
        <v>0</v>
      </c>
    </row>
    <row r="229" spans="1:13" x14ac:dyDescent="0.2">
      <c r="A229" s="178">
        <f>PirteiKisuiBeMutzar!D231</f>
        <v>0</v>
      </c>
      <c r="B229" s="178">
        <f>PirteiKisuiBeMutzar!AQ231</f>
        <v>0</v>
      </c>
      <c r="C229" s="178">
        <f>PirteiKisuiBeMutzar!AM231</f>
        <v>0</v>
      </c>
      <c r="D229" s="178">
        <f>PirteiKisuiBeMutzar!G231</f>
        <v>0</v>
      </c>
      <c r="E229" s="178">
        <f>PirteiKisuiBeMutzar!W231</f>
        <v>0</v>
      </c>
      <c r="F229" s="178">
        <f>PirteiKisuiBeMutzar!K231</f>
        <v>0</v>
      </c>
      <c r="G229" s="178">
        <f>PirteiKisuiBeMutzar!M231</f>
        <v>0</v>
      </c>
      <c r="H229" s="979">
        <f>PirteiKisuiBeMutzar!P231</f>
        <v>0</v>
      </c>
      <c r="I229" s="178">
        <f>PirteiKisuiBeMutzar!X231</f>
        <v>0</v>
      </c>
      <c r="J229" s="979">
        <f>PirteiKisuiBeMutzar!Y231</f>
        <v>0</v>
      </c>
      <c r="K229" s="178">
        <f>PirteiKisuiBeMutzar!AL231</f>
        <v>0</v>
      </c>
      <c r="L229" s="178">
        <f>PirteiKisuiBeMutzar!AO231</f>
        <v>0</v>
      </c>
      <c r="M229" s="178">
        <f>PirteiKisuiBeMutzar!AP231</f>
        <v>0</v>
      </c>
    </row>
    <row r="230" spans="1:13" x14ac:dyDescent="0.2">
      <c r="A230" s="178">
        <f>PirteiKisuiBeMutzar!D232</f>
        <v>0</v>
      </c>
      <c r="B230" s="178">
        <f>PirteiKisuiBeMutzar!AQ232</f>
        <v>0</v>
      </c>
      <c r="C230" s="178">
        <f>PirteiKisuiBeMutzar!AM232</f>
        <v>0</v>
      </c>
      <c r="D230" s="178">
        <f>PirteiKisuiBeMutzar!G232</f>
        <v>0</v>
      </c>
      <c r="E230" s="178">
        <f>PirteiKisuiBeMutzar!W232</f>
        <v>0</v>
      </c>
      <c r="F230" s="178">
        <f>PirteiKisuiBeMutzar!K232</f>
        <v>0</v>
      </c>
      <c r="G230" s="178">
        <f>PirteiKisuiBeMutzar!M232</f>
        <v>0</v>
      </c>
      <c r="H230" s="979">
        <f>PirteiKisuiBeMutzar!P232</f>
        <v>0</v>
      </c>
      <c r="I230" s="178">
        <f>PirteiKisuiBeMutzar!X232</f>
        <v>0</v>
      </c>
      <c r="J230" s="979">
        <f>PirteiKisuiBeMutzar!Y232</f>
        <v>0</v>
      </c>
      <c r="K230" s="178">
        <f>PirteiKisuiBeMutzar!AL232</f>
        <v>0</v>
      </c>
      <c r="L230" s="178">
        <f>PirteiKisuiBeMutzar!AO232</f>
        <v>0</v>
      </c>
      <c r="M230" s="178">
        <f>PirteiKisuiBeMutzar!AP232</f>
        <v>0</v>
      </c>
    </row>
    <row r="231" spans="1:13" x14ac:dyDescent="0.2">
      <c r="A231" s="178">
        <f>PirteiKisuiBeMutzar!D233</f>
        <v>0</v>
      </c>
      <c r="B231" s="178">
        <f>PirteiKisuiBeMutzar!AQ233</f>
        <v>0</v>
      </c>
      <c r="C231" s="178">
        <f>PirteiKisuiBeMutzar!AM233</f>
        <v>0</v>
      </c>
      <c r="D231" s="178">
        <f>PirteiKisuiBeMutzar!G233</f>
        <v>0</v>
      </c>
      <c r="E231" s="178">
        <f>PirteiKisuiBeMutzar!W233</f>
        <v>0</v>
      </c>
      <c r="F231" s="178">
        <f>PirteiKisuiBeMutzar!K233</f>
        <v>0</v>
      </c>
      <c r="G231" s="178">
        <f>PirteiKisuiBeMutzar!M233</f>
        <v>0</v>
      </c>
      <c r="H231" s="979">
        <f>PirteiKisuiBeMutzar!P233</f>
        <v>0</v>
      </c>
      <c r="I231" s="178">
        <f>PirteiKisuiBeMutzar!X233</f>
        <v>0</v>
      </c>
      <c r="J231" s="979">
        <f>PirteiKisuiBeMutzar!Y233</f>
        <v>0</v>
      </c>
      <c r="K231" s="178">
        <f>PirteiKisuiBeMutzar!AL233</f>
        <v>0</v>
      </c>
      <c r="L231" s="178">
        <f>PirteiKisuiBeMutzar!AO233</f>
        <v>0</v>
      </c>
      <c r="M231" s="178">
        <f>PirteiKisuiBeMutzar!AP233</f>
        <v>0</v>
      </c>
    </row>
    <row r="232" spans="1:13" x14ac:dyDescent="0.2">
      <c r="A232" s="178">
        <f>PirteiKisuiBeMutzar!D234</f>
        <v>0</v>
      </c>
      <c r="B232" s="178">
        <f>PirteiKisuiBeMutzar!AQ234</f>
        <v>0</v>
      </c>
      <c r="C232" s="178">
        <f>PirteiKisuiBeMutzar!AM234</f>
        <v>0</v>
      </c>
      <c r="D232" s="178">
        <f>PirteiKisuiBeMutzar!G234</f>
        <v>0</v>
      </c>
      <c r="E232" s="178">
        <f>PirteiKisuiBeMutzar!W234</f>
        <v>0</v>
      </c>
      <c r="F232" s="178">
        <f>PirteiKisuiBeMutzar!K234</f>
        <v>0</v>
      </c>
      <c r="G232" s="178">
        <f>PirteiKisuiBeMutzar!M234</f>
        <v>0</v>
      </c>
      <c r="H232" s="979">
        <f>PirteiKisuiBeMutzar!P234</f>
        <v>0</v>
      </c>
      <c r="I232" s="178">
        <f>PirteiKisuiBeMutzar!X234</f>
        <v>0</v>
      </c>
      <c r="J232" s="979">
        <f>PirteiKisuiBeMutzar!Y234</f>
        <v>0</v>
      </c>
      <c r="K232" s="178">
        <f>PirteiKisuiBeMutzar!AL234</f>
        <v>0</v>
      </c>
      <c r="L232" s="178">
        <f>PirteiKisuiBeMutzar!AO234</f>
        <v>0</v>
      </c>
      <c r="M232" s="178">
        <f>PirteiKisuiBeMutzar!AP234</f>
        <v>0</v>
      </c>
    </row>
    <row r="233" spans="1:13" x14ac:dyDescent="0.2">
      <c r="A233" s="178">
        <f>PirteiKisuiBeMutzar!D235</f>
        <v>0</v>
      </c>
      <c r="B233" s="178">
        <f>PirteiKisuiBeMutzar!AQ235</f>
        <v>0</v>
      </c>
      <c r="C233" s="178">
        <f>PirteiKisuiBeMutzar!AM235</f>
        <v>0</v>
      </c>
      <c r="D233" s="178">
        <f>PirteiKisuiBeMutzar!G235</f>
        <v>0</v>
      </c>
      <c r="E233" s="178">
        <f>PirteiKisuiBeMutzar!W235</f>
        <v>0</v>
      </c>
      <c r="F233" s="178">
        <f>PirteiKisuiBeMutzar!K235</f>
        <v>0</v>
      </c>
      <c r="G233" s="178">
        <f>PirteiKisuiBeMutzar!M235</f>
        <v>0</v>
      </c>
      <c r="H233" s="979">
        <f>PirteiKisuiBeMutzar!P235</f>
        <v>0</v>
      </c>
      <c r="I233" s="178">
        <f>PirteiKisuiBeMutzar!X235</f>
        <v>0</v>
      </c>
      <c r="J233" s="979">
        <f>PirteiKisuiBeMutzar!Y235</f>
        <v>0</v>
      </c>
      <c r="K233" s="178">
        <f>PirteiKisuiBeMutzar!AL235</f>
        <v>0</v>
      </c>
      <c r="L233" s="178">
        <f>PirteiKisuiBeMutzar!AO235</f>
        <v>0</v>
      </c>
      <c r="M233" s="178">
        <f>PirteiKisuiBeMutzar!AP235</f>
        <v>0</v>
      </c>
    </row>
    <row r="234" spans="1:13" x14ac:dyDescent="0.2">
      <c r="A234" s="178">
        <f>PirteiKisuiBeMutzar!D236</f>
        <v>0</v>
      </c>
      <c r="B234" s="178">
        <f>PirteiKisuiBeMutzar!AQ236</f>
        <v>0</v>
      </c>
      <c r="C234" s="178">
        <f>PirteiKisuiBeMutzar!AM236</f>
        <v>0</v>
      </c>
      <c r="D234" s="178">
        <f>PirteiKisuiBeMutzar!G236</f>
        <v>0</v>
      </c>
      <c r="E234" s="178">
        <f>PirteiKisuiBeMutzar!W236</f>
        <v>0</v>
      </c>
      <c r="F234" s="178">
        <f>PirteiKisuiBeMutzar!K236</f>
        <v>0</v>
      </c>
      <c r="G234" s="178">
        <f>PirteiKisuiBeMutzar!M236</f>
        <v>0</v>
      </c>
      <c r="H234" s="979">
        <f>PirteiKisuiBeMutzar!P236</f>
        <v>0</v>
      </c>
      <c r="I234" s="178">
        <f>PirteiKisuiBeMutzar!X236</f>
        <v>0</v>
      </c>
      <c r="J234" s="979">
        <f>PirteiKisuiBeMutzar!Y236</f>
        <v>0</v>
      </c>
      <c r="K234" s="178">
        <f>PirteiKisuiBeMutzar!AL236</f>
        <v>0</v>
      </c>
      <c r="L234" s="178">
        <f>PirteiKisuiBeMutzar!AO236</f>
        <v>0</v>
      </c>
      <c r="M234" s="178">
        <f>PirteiKisuiBeMutzar!AP236</f>
        <v>0</v>
      </c>
    </row>
    <row r="235" spans="1:13" x14ac:dyDescent="0.2">
      <c r="A235" s="178">
        <f>PirteiKisuiBeMutzar!D237</f>
        <v>0</v>
      </c>
      <c r="B235" s="178">
        <f>PirteiKisuiBeMutzar!AQ237</f>
        <v>0</v>
      </c>
      <c r="C235" s="178">
        <f>PirteiKisuiBeMutzar!AM237</f>
        <v>0</v>
      </c>
      <c r="D235" s="178">
        <f>PirteiKisuiBeMutzar!G237</f>
        <v>0</v>
      </c>
      <c r="E235" s="178">
        <f>PirteiKisuiBeMutzar!W237</f>
        <v>0</v>
      </c>
      <c r="F235" s="178">
        <f>PirteiKisuiBeMutzar!K237</f>
        <v>0</v>
      </c>
      <c r="G235" s="178">
        <f>PirteiKisuiBeMutzar!M237</f>
        <v>0</v>
      </c>
      <c r="H235" s="979">
        <f>PirteiKisuiBeMutzar!P237</f>
        <v>0</v>
      </c>
      <c r="I235" s="178">
        <f>PirteiKisuiBeMutzar!X237</f>
        <v>0</v>
      </c>
      <c r="J235" s="979">
        <f>PirteiKisuiBeMutzar!Y237</f>
        <v>0</v>
      </c>
      <c r="K235" s="178">
        <f>PirteiKisuiBeMutzar!AL237</f>
        <v>0</v>
      </c>
      <c r="L235" s="178">
        <f>PirteiKisuiBeMutzar!AO237</f>
        <v>0</v>
      </c>
      <c r="M235" s="178">
        <f>PirteiKisuiBeMutzar!AP237</f>
        <v>0</v>
      </c>
    </row>
    <row r="236" spans="1:13" x14ac:dyDescent="0.2">
      <c r="A236" s="178">
        <f>PirteiKisuiBeMutzar!D238</f>
        <v>0</v>
      </c>
      <c r="B236" s="178">
        <f>PirteiKisuiBeMutzar!AQ238</f>
        <v>0</v>
      </c>
      <c r="C236" s="178">
        <f>PirteiKisuiBeMutzar!AM238</f>
        <v>0</v>
      </c>
      <c r="D236" s="178">
        <f>PirteiKisuiBeMutzar!G238</f>
        <v>0</v>
      </c>
      <c r="E236" s="178">
        <f>PirteiKisuiBeMutzar!W238</f>
        <v>0</v>
      </c>
      <c r="F236" s="178">
        <f>PirteiKisuiBeMutzar!K238</f>
        <v>0</v>
      </c>
      <c r="G236" s="178">
        <f>PirteiKisuiBeMutzar!M238</f>
        <v>0</v>
      </c>
      <c r="H236" s="979">
        <f>PirteiKisuiBeMutzar!P238</f>
        <v>0</v>
      </c>
      <c r="I236" s="178">
        <f>PirteiKisuiBeMutzar!X238</f>
        <v>0</v>
      </c>
      <c r="J236" s="979">
        <f>PirteiKisuiBeMutzar!Y238</f>
        <v>0</v>
      </c>
      <c r="K236" s="178">
        <f>PirteiKisuiBeMutzar!AL238</f>
        <v>0</v>
      </c>
      <c r="L236" s="178">
        <f>PirteiKisuiBeMutzar!AO238</f>
        <v>0</v>
      </c>
      <c r="M236" s="178">
        <f>PirteiKisuiBeMutzar!AP238</f>
        <v>0</v>
      </c>
    </row>
    <row r="237" spans="1:13" x14ac:dyDescent="0.2">
      <c r="A237" s="178">
        <f>PirteiKisuiBeMutzar!D239</f>
        <v>0</v>
      </c>
      <c r="B237" s="178">
        <f>PirteiKisuiBeMutzar!AQ239</f>
        <v>0</v>
      </c>
      <c r="C237" s="178">
        <f>PirteiKisuiBeMutzar!AM239</f>
        <v>0</v>
      </c>
      <c r="D237" s="178">
        <f>PirteiKisuiBeMutzar!G239</f>
        <v>0</v>
      </c>
      <c r="E237" s="178">
        <f>PirteiKisuiBeMutzar!W239</f>
        <v>0</v>
      </c>
      <c r="F237" s="178">
        <f>PirteiKisuiBeMutzar!K239</f>
        <v>0</v>
      </c>
      <c r="G237" s="178">
        <f>PirteiKisuiBeMutzar!M239</f>
        <v>0</v>
      </c>
      <c r="H237" s="979">
        <f>PirteiKisuiBeMutzar!P239</f>
        <v>0</v>
      </c>
      <c r="I237" s="178">
        <f>PirteiKisuiBeMutzar!X239</f>
        <v>0</v>
      </c>
      <c r="J237" s="979">
        <f>PirteiKisuiBeMutzar!Y239</f>
        <v>0</v>
      </c>
      <c r="K237" s="178">
        <f>PirteiKisuiBeMutzar!AL239</f>
        <v>0</v>
      </c>
      <c r="L237" s="178">
        <f>PirteiKisuiBeMutzar!AO239</f>
        <v>0</v>
      </c>
      <c r="M237" s="178">
        <f>PirteiKisuiBeMutzar!AP239</f>
        <v>0</v>
      </c>
    </row>
    <row r="238" spans="1:13" x14ac:dyDescent="0.2">
      <c r="A238" s="178">
        <f>PirteiKisuiBeMutzar!D240</f>
        <v>0</v>
      </c>
      <c r="B238" s="178">
        <f>PirteiKisuiBeMutzar!AQ240</f>
        <v>0</v>
      </c>
      <c r="C238" s="178">
        <f>PirteiKisuiBeMutzar!AM240</f>
        <v>0</v>
      </c>
      <c r="D238" s="178">
        <f>PirteiKisuiBeMutzar!G240</f>
        <v>0</v>
      </c>
      <c r="E238" s="178">
        <f>PirteiKisuiBeMutzar!W240</f>
        <v>0</v>
      </c>
      <c r="F238" s="178">
        <f>PirteiKisuiBeMutzar!K240</f>
        <v>0</v>
      </c>
      <c r="G238" s="178">
        <f>PirteiKisuiBeMutzar!M240</f>
        <v>0</v>
      </c>
      <c r="H238" s="979">
        <f>PirteiKisuiBeMutzar!P240</f>
        <v>0</v>
      </c>
      <c r="I238" s="178">
        <f>PirteiKisuiBeMutzar!X240</f>
        <v>0</v>
      </c>
      <c r="J238" s="979">
        <f>PirteiKisuiBeMutzar!Y240</f>
        <v>0</v>
      </c>
      <c r="K238" s="178">
        <f>PirteiKisuiBeMutzar!AL240</f>
        <v>0</v>
      </c>
      <c r="L238" s="178">
        <f>PirteiKisuiBeMutzar!AO240</f>
        <v>0</v>
      </c>
      <c r="M238" s="178">
        <f>PirteiKisuiBeMutzar!AP240</f>
        <v>0</v>
      </c>
    </row>
    <row r="239" spans="1:13" x14ac:dyDescent="0.2">
      <c r="A239" s="178">
        <f>PirteiKisuiBeMutzar!D241</f>
        <v>0</v>
      </c>
      <c r="B239" s="178">
        <f>PirteiKisuiBeMutzar!AQ241</f>
        <v>0</v>
      </c>
      <c r="C239" s="178">
        <f>PirteiKisuiBeMutzar!AM241</f>
        <v>0</v>
      </c>
      <c r="D239" s="178">
        <f>PirteiKisuiBeMutzar!G241</f>
        <v>0</v>
      </c>
      <c r="E239" s="178">
        <f>PirteiKisuiBeMutzar!W241</f>
        <v>0</v>
      </c>
      <c r="F239" s="178">
        <f>PirteiKisuiBeMutzar!K241</f>
        <v>0</v>
      </c>
      <c r="G239" s="178">
        <f>PirteiKisuiBeMutzar!M241</f>
        <v>0</v>
      </c>
      <c r="H239" s="979">
        <f>PirteiKisuiBeMutzar!P241</f>
        <v>0</v>
      </c>
      <c r="I239" s="178">
        <f>PirteiKisuiBeMutzar!X241</f>
        <v>0</v>
      </c>
      <c r="J239" s="979">
        <f>PirteiKisuiBeMutzar!Y241</f>
        <v>0</v>
      </c>
      <c r="K239" s="178">
        <f>PirteiKisuiBeMutzar!AL241</f>
        <v>0</v>
      </c>
      <c r="L239" s="178">
        <f>PirteiKisuiBeMutzar!AO241</f>
        <v>0</v>
      </c>
      <c r="M239" s="178">
        <f>PirteiKisuiBeMutzar!AP241</f>
        <v>0</v>
      </c>
    </row>
    <row r="240" spans="1:13" x14ac:dyDescent="0.2">
      <c r="A240" s="178">
        <f>PirteiKisuiBeMutzar!D242</f>
        <v>0</v>
      </c>
      <c r="B240" s="178">
        <f>PirteiKisuiBeMutzar!AQ242</f>
        <v>0</v>
      </c>
      <c r="C240" s="178">
        <f>PirteiKisuiBeMutzar!AM242</f>
        <v>0</v>
      </c>
      <c r="D240" s="178">
        <f>PirteiKisuiBeMutzar!G242</f>
        <v>0</v>
      </c>
      <c r="E240" s="178">
        <f>PirteiKisuiBeMutzar!W242</f>
        <v>0</v>
      </c>
      <c r="F240" s="178">
        <f>PirteiKisuiBeMutzar!K242</f>
        <v>0</v>
      </c>
      <c r="G240" s="178">
        <f>PirteiKisuiBeMutzar!M242</f>
        <v>0</v>
      </c>
      <c r="H240" s="979">
        <f>PirteiKisuiBeMutzar!P242</f>
        <v>0</v>
      </c>
      <c r="I240" s="178">
        <f>PirteiKisuiBeMutzar!X242</f>
        <v>0</v>
      </c>
      <c r="J240" s="979">
        <f>PirteiKisuiBeMutzar!Y242</f>
        <v>0</v>
      </c>
      <c r="K240" s="178">
        <f>PirteiKisuiBeMutzar!AL242</f>
        <v>0</v>
      </c>
      <c r="L240" s="178">
        <f>PirteiKisuiBeMutzar!AO242</f>
        <v>0</v>
      </c>
      <c r="M240" s="178">
        <f>PirteiKisuiBeMutzar!AP242</f>
        <v>0</v>
      </c>
    </row>
    <row r="241" spans="1:13" x14ac:dyDescent="0.2">
      <c r="A241" s="178">
        <f>PirteiKisuiBeMutzar!D243</f>
        <v>0</v>
      </c>
      <c r="B241" s="178">
        <f>PirteiKisuiBeMutzar!AQ243</f>
        <v>0</v>
      </c>
      <c r="C241" s="178">
        <f>PirteiKisuiBeMutzar!AM243</f>
        <v>0</v>
      </c>
      <c r="D241" s="178">
        <f>PirteiKisuiBeMutzar!G243</f>
        <v>0</v>
      </c>
      <c r="E241" s="178">
        <f>PirteiKisuiBeMutzar!W243</f>
        <v>0</v>
      </c>
      <c r="F241" s="178">
        <f>PirteiKisuiBeMutzar!K243</f>
        <v>0</v>
      </c>
      <c r="G241" s="178">
        <f>PirteiKisuiBeMutzar!M243</f>
        <v>0</v>
      </c>
      <c r="H241" s="979">
        <f>PirteiKisuiBeMutzar!P243</f>
        <v>0</v>
      </c>
      <c r="I241" s="178">
        <f>PirteiKisuiBeMutzar!X243</f>
        <v>0</v>
      </c>
      <c r="J241" s="979">
        <f>PirteiKisuiBeMutzar!Y243</f>
        <v>0</v>
      </c>
      <c r="K241" s="178">
        <f>PirteiKisuiBeMutzar!AL243</f>
        <v>0</v>
      </c>
      <c r="L241" s="178">
        <f>PirteiKisuiBeMutzar!AO243</f>
        <v>0</v>
      </c>
      <c r="M241" s="178">
        <f>PirteiKisuiBeMutzar!AP243</f>
        <v>0</v>
      </c>
    </row>
    <row r="242" spans="1:13" x14ac:dyDescent="0.2">
      <c r="A242" s="178">
        <f>PirteiKisuiBeMutzar!D244</f>
        <v>0</v>
      </c>
      <c r="B242" s="178">
        <f>PirteiKisuiBeMutzar!AQ244</f>
        <v>0</v>
      </c>
      <c r="C242" s="178">
        <f>PirteiKisuiBeMutzar!AM244</f>
        <v>0</v>
      </c>
      <c r="D242" s="178">
        <f>PirteiKisuiBeMutzar!G244</f>
        <v>0</v>
      </c>
      <c r="E242" s="178">
        <f>PirteiKisuiBeMutzar!W244</f>
        <v>0</v>
      </c>
      <c r="F242" s="178">
        <f>PirteiKisuiBeMutzar!K244</f>
        <v>0</v>
      </c>
      <c r="G242" s="178">
        <f>PirteiKisuiBeMutzar!M244</f>
        <v>0</v>
      </c>
      <c r="H242" s="979">
        <f>PirteiKisuiBeMutzar!P244</f>
        <v>0</v>
      </c>
      <c r="I242" s="178">
        <f>PirteiKisuiBeMutzar!X244</f>
        <v>0</v>
      </c>
      <c r="J242" s="979">
        <f>PirteiKisuiBeMutzar!Y244</f>
        <v>0</v>
      </c>
      <c r="K242" s="178">
        <f>PirteiKisuiBeMutzar!AL244</f>
        <v>0</v>
      </c>
      <c r="L242" s="178">
        <f>PirteiKisuiBeMutzar!AO244</f>
        <v>0</v>
      </c>
      <c r="M242" s="178">
        <f>PirteiKisuiBeMutzar!AP244</f>
        <v>0</v>
      </c>
    </row>
    <row r="243" spans="1:13" x14ac:dyDescent="0.2">
      <c r="A243" s="178">
        <f>PirteiKisuiBeMutzar!D245</f>
        <v>0</v>
      </c>
      <c r="B243" s="178">
        <f>PirteiKisuiBeMutzar!AQ245</f>
        <v>0</v>
      </c>
      <c r="C243" s="178">
        <f>PirteiKisuiBeMutzar!AM245</f>
        <v>0</v>
      </c>
      <c r="D243" s="178">
        <f>PirteiKisuiBeMutzar!G245</f>
        <v>0</v>
      </c>
      <c r="E243" s="178">
        <f>PirteiKisuiBeMutzar!W245</f>
        <v>0</v>
      </c>
      <c r="F243" s="178">
        <f>PirteiKisuiBeMutzar!K245</f>
        <v>0</v>
      </c>
      <c r="G243" s="178">
        <f>PirteiKisuiBeMutzar!M245</f>
        <v>0</v>
      </c>
      <c r="H243" s="979">
        <f>PirteiKisuiBeMutzar!P245</f>
        <v>0</v>
      </c>
      <c r="I243" s="178">
        <f>PirteiKisuiBeMutzar!X245</f>
        <v>0</v>
      </c>
      <c r="J243" s="979">
        <f>PirteiKisuiBeMutzar!Y245</f>
        <v>0</v>
      </c>
      <c r="K243" s="178">
        <f>PirteiKisuiBeMutzar!AL245</f>
        <v>0</v>
      </c>
      <c r="L243" s="178">
        <f>PirteiKisuiBeMutzar!AO245</f>
        <v>0</v>
      </c>
      <c r="M243" s="178">
        <f>PirteiKisuiBeMutzar!AP245</f>
        <v>0</v>
      </c>
    </row>
    <row r="244" spans="1:13" x14ac:dyDescent="0.2">
      <c r="A244" s="178">
        <f>PirteiKisuiBeMutzar!D246</f>
        <v>0</v>
      </c>
      <c r="B244" s="178">
        <f>PirteiKisuiBeMutzar!AQ246</f>
        <v>0</v>
      </c>
      <c r="C244" s="178">
        <f>PirteiKisuiBeMutzar!AM246</f>
        <v>0</v>
      </c>
      <c r="D244" s="178">
        <f>PirteiKisuiBeMutzar!G246</f>
        <v>0</v>
      </c>
      <c r="E244" s="178">
        <f>PirteiKisuiBeMutzar!W246</f>
        <v>0</v>
      </c>
      <c r="F244" s="178">
        <f>PirteiKisuiBeMutzar!K246</f>
        <v>0</v>
      </c>
      <c r="G244" s="178">
        <f>PirteiKisuiBeMutzar!M246</f>
        <v>0</v>
      </c>
      <c r="H244" s="979">
        <f>PirteiKisuiBeMutzar!P246</f>
        <v>0</v>
      </c>
      <c r="I244" s="178">
        <f>PirteiKisuiBeMutzar!X246</f>
        <v>0</v>
      </c>
      <c r="J244" s="979">
        <f>PirteiKisuiBeMutzar!Y246</f>
        <v>0</v>
      </c>
      <c r="K244" s="178">
        <f>PirteiKisuiBeMutzar!AL246</f>
        <v>0</v>
      </c>
      <c r="L244" s="178">
        <f>PirteiKisuiBeMutzar!AO246</f>
        <v>0</v>
      </c>
      <c r="M244" s="178">
        <f>PirteiKisuiBeMutzar!AP246</f>
        <v>0</v>
      </c>
    </row>
    <row r="245" spans="1:13" x14ac:dyDescent="0.2">
      <c r="A245" s="178">
        <f>PirteiKisuiBeMutzar!D247</f>
        <v>0</v>
      </c>
      <c r="B245" s="178">
        <f>PirteiKisuiBeMutzar!AQ247</f>
        <v>0</v>
      </c>
      <c r="C245" s="178">
        <f>PirteiKisuiBeMutzar!AM247</f>
        <v>0</v>
      </c>
      <c r="D245" s="178">
        <f>PirteiKisuiBeMutzar!G247</f>
        <v>0</v>
      </c>
      <c r="E245" s="178">
        <f>PirteiKisuiBeMutzar!W247</f>
        <v>0</v>
      </c>
      <c r="F245" s="178">
        <f>PirteiKisuiBeMutzar!K247</f>
        <v>0</v>
      </c>
      <c r="G245" s="178">
        <f>PirteiKisuiBeMutzar!M247</f>
        <v>0</v>
      </c>
      <c r="H245" s="979">
        <f>PirteiKisuiBeMutzar!P247</f>
        <v>0</v>
      </c>
      <c r="I245" s="178">
        <f>PirteiKisuiBeMutzar!X247</f>
        <v>0</v>
      </c>
      <c r="J245" s="979">
        <f>PirteiKisuiBeMutzar!Y247</f>
        <v>0</v>
      </c>
      <c r="K245" s="178">
        <f>PirteiKisuiBeMutzar!AL247</f>
        <v>0</v>
      </c>
      <c r="L245" s="178">
        <f>PirteiKisuiBeMutzar!AO247</f>
        <v>0</v>
      </c>
      <c r="M245" s="178">
        <f>PirteiKisuiBeMutzar!AP247</f>
        <v>0</v>
      </c>
    </row>
    <row r="246" spans="1:13" x14ac:dyDescent="0.2">
      <c r="A246" s="178">
        <f>PirteiKisuiBeMutzar!D248</f>
        <v>0</v>
      </c>
      <c r="B246" s="178">
        <f>PirteiKisuiBeMutzar!AQ248</f>
        <v>0</v>
      </c>
      <c r="C246" s="178">
        <f>PirteiKisuiBeMutzar!AM248</f>
        <v>0</v>
      </c>
      <c r="D246" s="178">
        <f>PirteiKisuiBeMutzar!G248</f>
        <v>0</v>
      </c>
      <c r="E246" s="178">
        <f>PirteiKisuiBeMutzar!W248</f>
        <v>0</v>
      </c>
      <c r="F246" s="178">
        <f>PirteiKisuiBeMutzar!K248</f>
        <v>0</v>
      </c>
      <c r="G246" s="178">
        <f>PirteiKisuiBeMutzar!M248</f>
        <v>0</v>
      </c>
      <c r="H246" s="979">
        <f>PirteiKisuiBeMutzar!P248</f>
        <v>0</v>
      </c>
      <c r="I246" s="178">
        <f>PirteiKisuiBeMutzar!X248</f>
        <v>0</v>
      </c>
      <c r="J246" s="979">
        <f>PirteiKisuiBeMutzar!Y248</f>
        <v>0</v>
      </c>
      <c r="K246" s="178">
        <f>PirteiKisuiBeMutzar!AL248</f>
        <v>0</v>
      </c>
      <c r="L246" s="178">
        <f>PirteiKisuiBeMutzar!AO248</f>
        <v>0</v>
      </c>
      <c r="M246" s="178">
        <f>PirteiKisuiBeMutzar!AP248</f>
        <v>0</v>
      </c>
    </row>
    <row r="247" spans="1:13" x14ac:dyDescent="0.2">
      <c r="A247" s="178">
        <f>PirteiKisuiBeMutzar!D249</f>
        <v>0</v>
      </c>
      <c r="B247" s="178">
        <f>PirteiKisuiBeMutzar!AQ249</f>
        <v>0</v>
      </c>
      <c r="C247" s="178">
        <f>PirteiKisuiBeMutzar!AM249</f>
        <v>0</v>
      </c>
      <c r="D247" s="178">
        <f>PirteiKisuiBeMutzar!G249</f>
        <v>0</v>
      </c>
      <c r="E247" s="178">
        <f>PirteiKisuiBeMutzar!W249</f>
        <v>0</v>
      </c>
      <c r="F247" s="178">
        <f>PirteiKisuiBeMutzar!K249</f>
        <v>0</v>
      </c>
      <c r="G247" s="178">
        <f>PirteiKisuiBeMutzar!M249</f>
        <v>0</v>
      </c>
      <c r="H247" s="979">
        <f>PirteiKisuiBeMutzar!P249</f>
        <v>0</v>
      </c>
      <c r="I247" s="178">
        <f>PirteiKisuiBeMutzar!X249</f>
        <v>0</v>
      </c>
      <c r="J247" s="979">
        <f>PirteiKisuiBeMutzar!Y249</f>
        <v>0</v>
      </c>
      <c r="K247" s="178">
        <f>PirteiKisuiBeMutzar!AL249</f>
        <v>0</v>
      </c>
      <c r="L247" s="178">
        <f>PirteiKisuiBeMutzar!AO249</f>
        <v>0</v>
      </c>
      <c r="M247" s="178">
        <f>PirteiKisuiBeMutzar!AP249</f>
        <v>0</v>
      </c>
    </row>
    <row r="248" spans="1:13" x14ac:dyDescent="0.2">
      <c r="A248" s="178">
        <f>PirteiKisuiBeMutzar!D250</f>
        <v>0</v>
      </c>
      <c r="B248" s="178">
        <f>PirteiKisuiBeMutzar!AQ250</f>
        <v>0</v>
      </c>
      <c r="C248" s="178">
        <f>PirteiKisuiBeMutzar!AM250</f>
        <v>0</v>
      </c>
      <c r="D248" s="178">
        <f>PirteiKisuiBeMutzar!G250</f>
        <v>0</v>
      </c>
      <c r="E248" s="178">
        <f>PirteiKisuiBeMutzar!W250</f>
        <v>0</v>
      </c>
      <c r="F248" s="178">
        <f>PirteiKisuiBeMutzar!K250</f>
        <v>0</v>
      </c>
      <c r="G248" s="178">
        <f>PirteiKisuiBeMutzar!M250</f>
        <v>0</v>
      </c>
      <c r="H248" s="979">
        <f>PirteiKisuiBeMutzar!P250</f>
        <v>0</v>
      </c>
      <c r="I248" s="178">
        <f>PirteiKisuiBeMutzar!X250</f>
        <v>0</v>
      </c>
      <c r="J248" s="979">
        <f>PirteiKisuiBeMutzar!Y250</f>
        <v>0</v>
      </c>
      <c r="K248" s="178">
        <f>PirteiKisuiBeMutzar!AL250</f>
        <v>0</v>
      </c>
      <c r="L248" s="178">
        <f>PirteiKisuiBeMutzar!AO250</f>
        <v>0</v>
      </c>
      <c r="M248" s="178">
        <f>PirteiKisuiBeMutzar!AP250</f>
        <v>0</v>
      </c>
    </row>
    <row r="249" spans="1:13" x14ac:dyDescent="0.2">
      <c r="A249" s="178">
        <f>PirteiKisuiBeMutzar!D251</f>
        <v>0</v>
      </c>
      <c r="B249" s="178">
        <f>PirteiKisuiBeMutzar!AQ251</f>
        <v>0</v>
      </c>
      <c r="C249" s="178">
        <f>PirteiKisuiBeMutzar!AM251</f>
        <v>0</v>
      </c>
      <c r="D249" s="178">
        <f>PirteiKisuiBeMutzar!G251</f>
        <v>0</v>
      </c>
      <c r="E249" s="178">
        <f>PirteiKisuiBeMutzar!W251</f>
        <v>0</v>
      </c>
      <c r="F249" s="178">
        <f>PirteiKisuiBeMutzar!K251</f>
        <v>0</v>
      </c>
      <c r="G249" s="178">
        <f>PirteiKisuiBeMutzar!M251</f>
        <v>0</v>
      </c>
      <c r="H249" s="979">
        <f>PirteiKisuiBeMutzar!P251</f>
        <v>0</v>
      </c>
      <c r="I249" s="178">
        <f>PirteiKisuiBeMutzar!X251</f>
        <v>0</v>
      </c>
      <c r="J249" s="979">
        <f>PirteiKisuiBeMutzar!Y251</f>
        <v>0</v>
      </c>
      <c r="K249" s="178">
        <f>PirteiKisuiBeMutzar!AL251</f>
        <v>0</v>
      </c>
      <c r="L249" s="178">
        <f>PirteiKisuiBeMutzar!AO251</f>
        <v>0</v>
      </c>
      <c r="M249" s="178">
        <f>PirteiKisuiBeMutzar!AP251</f>
        <v>0</v>
      </c>
    </row>
    <row r="250" spans="1:13" x14ac:dyDescent="0.2">
      <c r="A250" s="178">
        <f>PirteiKisuiBeMutzar!D252</f>
        <v>0</v>
      </c>
      <c r="B250" s="178">
        <f>PirteiKisuiBeMutzar!AQ252</f>
        <v>0</v>
      </c>
      <c r="C250" s="178">
        <f>PirteiKisuiBeMutzar!AM252</f>
        <v>0</v>
      </c>
      <c r="D250" s="178">
        <f>PirteiKisuiBeMutzar!G252</f>
        <v>0</v>
      </c>
      <c r="E250" s="178">
        <f>PirteiKisuiBeMutzar!W252</f>
        <v>0</v>
      </c>
      <c r="F250" s="178">
        <f>PirteiKisuiBeMutzar!K252</f>
        <v>0</v>
      </c>
      <c r="G250" s="178">
        <f>PirteiKisuiBeMutzar!M252</f>
        <v>0</v>
      </c>
      <c r="H250" s="979">
        <f>PirteiKisuiBeMutzar!P252</f>
        <v>0</v>
      </c>
      <c r="I250" s="178">
        <f>PirteiKisuiBeMutzar!X252</f>
        <v>0</v>
      </c>
      <c r="J250" s="979">
        <f>PirteiKisuiBeMutzar!Y252</f>
        <v>0</v>
      </c>
      <c r="K250" s="178">
        <f>PirteiKisuiBeMutzar!AL252</f>
        <v>0</v>
      </c>
      <c r="L250" s="178">
        <f>PirteiKisuiBeMutzar!AO252</f>
        <v>0</v>
      </c>
      <c r="M250" s="178">
        <f>PirteiKisuiBeMutzar!AP252</f>
        <v>0</v>
      </c>
    </row>
    <row r="251" spans="1:13" x14ac:dyDescent="0.2">
      <c r="A251" s="178">
        <f>PirteiKisuiBeMutzar!D253</f>
        <v>0</v>
      </c>
      <c r="B251" s="178">
        <f>PirteiKisuiBeMutzar!AQ253</f>
        <v>0</v>
      </c>
      <c r="C251" s="178">
        <f>PirteiKisuiBeMutzar!AM253</f>
        <v>0</v>
      </c>
      <c r="D251" s="178">
        <f>PirteiKisuiBeMutzar!G253</f>
        <v>0</v>
      </c>
      <c r="E251" s="178">
        <f>PirteiKisuiBeMutzar!W253</f>
        <v>0</v>
      </c>
      <c r="F251" s="178">
        <f>PirteiKisuiBeMutzar!K253</f>
        <v>0</v>
      </c>
      <c r="G251" s="178">
        <f>PirteiKisuiBeMutzar!M253</f>
        <v>0</v>
      </c>
      <c r="H251" s="979">
        <f>PirteiKisuiBeMutzar!P253</f>
        <v>0</v>
      </c>
      <c r="I251" s="178">
        <f>PirteiKisuiBeMutzar!X253</f>
        <v>0</v>
      </c>
      <c r="J251" s="979">
        <f>PirteiKisuiBeMutzar!Y253</f>
        <v>0</v>
      </c>
      <c r="K251" s="178">
        <f>PirteiKisuiBeMutzar!AL253</f>
        <v>0</v>
      </c>
      <c r="L251" s="178">
        <f>PirteiKisuiBeMutzar!AO253</f>
        <v>0</v>
      </c>
      <c r="M251" s="178">
        <f>PirteiKisuiBeMutzar!AP253</f>
        <v>0</v>
      </c>
    </row>
    <row r="252" spans="1:13" x14ac:dyDescent="0.2">
      <c r="A252" s="178">
        <f>PirteiKisuiBeMutzar!D254</f>
        <v>0</v>
      </c>
      <c r="B252" s="178">
        <f>PirteiKisuiBeMutzar!AQ254</f>
        <v>0</v>
      </c>
      <c r="C252" s="178">
        <f>PirteiKisuiBeMutzar!AM254</f>
        <v>0</v>
      </c>
      <c r="D252" s="178">
        <f>PirteiKisuiBeMutzar!G254</f>
        <v>0</v>
      </c>
      <c r="E252" s="178">
        <f>PirteiKisuiBeMutzar!W254</f>
        <v>0</v>
      </c>
      <c r="F252" s="178">
        <f>PirteiKisuiBeMutzar!K254</f>
        <v>0</v>
      </c>
      <c r="G252" s="178">
        <f>PirteiKisuiBeMutzar!M254</f>
        <v>0</v>
      </c>
      <c r="H252" s="979">
        <f>PirteiKisuiBeMutzar!P254</f>
        <v>0</v>
      </c>
      <c r="I252" s="178">
        <f>PirteiKisuiBeMutzar!X254</f>
        <v>0</v>
      </c>
      <c r="J252" s="979">
        <f>PirteiKisuiBeMutzar!Y254</f>
        <v>0</v>
      </c>
      <c r="K252" s="178">
        <f>PirteiKisuiBeMutzar!AL254</f>
        <v>0</v>
      </c>
      <c r="L252" s="178">
        <f>PirteiKisuiBeMutzar!AO254</f>
        <v>0</v>
      </c>
      <c r="M252" s="178">
        <f>PirteiKisuiBeMutzar!AP254</f>
        <v>0</v>
      </c>
    </row>
    <row r="253" spans="1:13" x14ac:dyDescent="0.2">
      <c r="A253" s="178">
        <f>PirteiKisuiBeMutzar!D255</f>
        <v>0</v>
      </c>
      <c r="B253" s="178">
        <f>PirteiKisuiBeMutzar!AQ255</f>
        <v>0</v>
      </c>
      <c r="C253" s="178">
        <f>PirteiKisuiBeMutzar!AM255</f>
        <v>0</v>
      </c>
      <c r="D253" s="178">
        <f>PirteiKisuiBeMutzar!G255</f>
        <v>0</v>
      </c>
      <c r="E253" s="178">
        <f>PirteiKisuiBeMutzar!W255</f>
        <v>0</v>
      </c>
      <c r="F253" s="178">
        <f>PirteiKisuiBeMutzar!K255</f>
        <v>0</v>
      </c>
      <c r="G253" s="178">
        <f>PirteiKisuiBeMutzar!M255</f>
        <v>0</v>
      </c>
      <c r="H253" s="979">
        <f>PirteiKisuiBeMutzar!P255</f>
        <v>0</v>
      </c>
      <c r="I253" s="178">
        <f>PirteiKisuiBeMutzar!X255</f>
        <v>0</v>
      </c>
      <c r="J253" s="979">
        <f>PirteiKisuiBeMutzar!Y255</f>
        <v>0</v>
      </c>
      <c r="K253" s="178">
        <f>PirteiKisuiBeMutzar!AL255</f>
        <v>0</v>
      </c>
      <c r="L253" s="178">
        <f>PirteiKisuiBeMutzar!AO255</f>
        <v>0</v>
      </c>
      <c r="M253" s="178">
        <f>PirteiKisuiBeMutzar!AP255</f>
        <v>0</v>
      </c>
    </row>
    <row r="254" spans="1:13" x14ac:dyDescent="0.2">
      <c r="A254" s="178">
        <f>PirteiKisuiBeMutzar!D256</f>
        <v>0</v>
      </c>
      <c r="B254" s="178">
        <f>PirteiKisuiBeMutzar!AQ256</f>
        <v>0</v>
      </c>
      <c r="C254" s="178">
        <f>PirteiKisuiBeMutzar!AM256</f>
        <v>0</v>
      </c>
      <c r="D254" s="178">
        <f>PirteiKisuiBeMutzar!G256</f>
        <v>0</v>
      </c>
      <c r="E254" s="178">
        <f>PirteiKisuiBeMutzar!W256</f>
        <v>0</v>
      </c>
      <c r="F254" s="178">
        <f>PirteiKisuiBeMutzar!K256</f>
        <v>0</v>
      </c>
      <c r="G254" s="178">
        <f>PirteiKisuiBeMutzar!M256</f>
        <v>0</v>
      </c>
      <c r="H254" s="979">
        <f>PirteiKisuiBeMutzar!P256</f>
        <v>0</v>
      </c>
      <c r="I254" s="178">
        <f>PirteiKisuiBeMutzar!X256</f>
        <v>0</v>
      </c>
      <c r="J254" s="979">
        <f>PirteiKisuiBeMutzar!Y256</f>
        <v>0</v>
      </c>
      <c r="K254" s="178">
        <f>PirteiKisuiBeMutzar!AL256</f>
        <v>0</v>
      </c>
      <c r="L254" s="178">
        <f>PirteiKisuiBeMutzar!AO256</f>
        <v>0</v>
      </c>
      <c r="M254" s="178">
        <f>PirteiKisuiBeMutzar!AP256</f>
        <v>0</v>
      </c>
    </row>
    <row r="255" spans="1:13" x14ac:dyDescent="0.2">
      <c r="A255" s="178">
        <f>PirteiKisuiBeMutzar!D257</f>
        <v>0</v>
      </c>
      <c r="B255" s="178">
        <f>PirteiKisuiBeMutzar!AQ257</f>
        <v>0</v>
      </c>
      <c r="C255" s="178">
        <f>PirteiKisuiBeMutzar!AM257</f>
        <v>0</v>
      </c>
      <c r="D255" s="178">
        <f>PirteiKisuiBeMutzar!G257</f>
        <v>0</v>
      </c>
      <c r="E255" s="178">
        <f>PirteiKisuiBeMutzar!W257</f>
        <v>0</v>
      </c>
      <c r="F255" s="178">
        <f>PirteiKisuiBeMutzar!K257</f>
        <v>0</v>
      </c>
      <c r="G255" s="178">
        <f>PirteiKisuiBeMutzar!M257</f>
        <v>0</v>
      </c>
      <c r="H255" s="979">
        <f>PirteiKisuiBeMutzar!P257</f>
        <v>0</v>
      </c>
      <c r="I255" s="178">
        <f>PirteiKisuiBeMutzar!X257</f>
        <v>0</v>
      </c>
      <c r="J255" s="979">
        <f>PirteiKisuiBeMutzar!Y257</f>
        <v>0</v>
      </c>
      <c r="K255" s="178">
        <f>PirteiKisuiBeMutzar!AL257</f>
        <v>0</v>
      </c>
      <c r="L255" s="178">
        <f>PirteiKisuiBeMutzar!AO257</f>
        <v>0</v>
      </c>
      <c r="M255" s="178">
        <f>PirteiKisuiBeMutzar!AP257</f>
        <v>0</v>
      </c>
    </row>
    <row r="256" spans="1:13" x14ac:dyDescent="0.2">
      <c r="A256" s="178">
        <f>PirteiKisuiBeMutzar!D258</f>
        <v>0</v>
      </c>
      <c r="B256" s="178">
        <f>PirteiKisuiBeMutzar!AQ258</f>
        <v>0</v>
      </c>
      <c r="C256" s="178">
        <f>PirteiKisuiBeMutzar!AM258</f>
        <v>0</v>
      </c>
      <c r="D256" s="178">
        <f>PirteiKisuiBeMutzar!G258</f>
        <v>0</v>
      </c>
      <c r="E256" s="178">
        <f>PirteiKisuiBeMutzar!W258</f>
        <v>0</v>
      </c>
      <c r="F256" s="178">
        <f>PirteiKisuiBeMutzar!K258</f>
        <v>0</v>
      </c>
      <c r="G256" s="178">
        <f>PirteiKisuiBeMutzar!M258</f>
        <v>0</v>
      </c>
      <c r="H256" s="979">
        <f>PirteiKisuiBeMutzar!P258</f>
        <v>0</v>
      </c>
      <c r="I256" s="178">
        <f>PirteiKisuiBeMutzar!X258</f>
        <v>0</v>
      </c>
      <c r="J256" s="979">
        <f>PirteiKisuiBeMutzar!Y258</f>
        <v>0</v>
      </c>
      <c r="K256" s="178">
        <f>PirteiKisuiBeMutzar!AL258</f>
        <v>0</v>
      </c>
      <c r="L256" s="178">
        <f>PirteiKisuiBeMutzar!AO258</f>
        <v>0</v>
      </c>
      <c r="M256" s="178">
        <f>PirteiKisuiBeMutzar!AP258</f>
        <v>0</v>
      </c>
    </row>
    <row r="257" spans="1:13" x14ac:dyDescent="0.2">
      <c r="A257" s="178">
        <f>PirteiKisuiBeMutzar!D259</f>
        <v>0</v>
      </c>
      <c r="B257" s="178">
        <f>PirteiKisuiBeMutzar!AQ259</f>
        <v>0</v>
      </c>
      <c r="C257" s="178">
        <f>PirteiKisuiBeMutzar!AM259</f>
        <v>0</v>
      </c>
      <c r="D257" s="178">
        <f>PirteiKisuiBeMutzar!G259</f>
        <v>0</v>
      </c>
      <c r="E257" s="178">
        <f>PirteiKisuiBeMutzar!W259</f>
        <v>0</v>
      </c>
      <c r="F257" s="178">
        <f>PirteiKisuiBeMutzar!K259</f>
        <v>0</v>
      </c>
      <c r="G257" s="178">
        <f>PirteiKisuiBeMutzar!M259</f>
        <v>0</v>
      </c>
      <c r="H257" s="979">
        <f>PirteiKisuiBeMutzar!P259</f>
        <v>0</v>
      </c>
      <c r="I257" s="178">
        <f>PirteiKisuiBeMutzar!X259</f>
        <v>0</v>
      </c>
      <c r="J257" s="979">
        <f>PirteiKisuiBeMutzar!Y259</f>
        <v>0</v>
      </c>
      <c r="K257" s="178">
        <f>PirteiKisuiBeMutzar!AL259</f>
        <v>0</v>
      </c>
      <c r="L257" s="178">
        <f>PirteiKisuiBeMutzar!AO259</f>
        <v>0</v>
      </c>
      <c r="M257" s="178">
        <f>PirteiKisuiBeMutzar!AP259</f>
        <v>0</v>
      </c>
    </row>
    <row r="258" spans="1:13" x14ac:dyDescent="0.2">
      <c r="A258" s="178">
        <f>PirteiKisuiBeMutzar!D260</f>
        <v>0</v>
      </c>
      <c r="B258" s="178">
        <f>PirteiKisuiBeMutzar!AQ260</f>
        <v>0</v>
      </c>
      <c r="C258" s="178">
        <f>PirteiKisuiBeMutzar!AM260</f>
        <v>0</v>
      </c>
      <c r="D258" s="178">
        <f>PirteiKisuiBeMutzar!G260</f>
        <v>0</v>
      </c>
      <c r="E258" s="178">
        <f>PirteiKisuiBeMutzar!W260</f>
        <v>0</v>
      </c>
      <c r="F258" s="178">
        <f>PirteiKisuiBeMutzar!K260</f>
        <v>0</v>
      </c>
      <c r="G258" s="178">
        <f>PirteiKisuiBeMutzar!M260</f>
        <v>0</v>
      </c>
      <c r="H258" s="979">
        <f>PirteiKisuiBeMutzar!P260</f>
        <v>0</v>
      </c>
      <c r="I258" s="178">
        <f>PirteiKisuiBeMutzar!X260</f>
        <v>0</v>
      </c>
      <c r="J258" s="979">
        <f>PirteiKisuiBeMutzar!Y260</f>
        <v>0</v>
      </c>
      <c r="K258" s="178">
        <f>PirteiKisuiBeMutzar!AL260</f>
        <v>0</v>
      </c>
      <c r="L258" s="178">
        <f>PirteiKisuiBeMutzar!AO260</f>
        <v>0</v>
      </c>
      <c r="M258" s="178">
        <f>PirteiKisuiBeMutzar!AP260</f>
        <v>0</v>
      </c>
    </row>
    <row r="259" spans="1:13" x14ac:dyDescent="0.2">
      <c r="A259" s="178">
        <f>PirteiKisuiBeMutzar!D261</f>
        <v>0</v>
      </c>
      <c r="B259" s="178">
        <f>PirteiKisuiBeMutzar!AQ261</f>
        <v>0</v>
      </c>
      <c r="C259" s="178">
        <f>PirteiKisuiBeMutzar!AM261</f>
        <v>0</v>
      </c>
      <c r="D259" s="178">
        <f>PirteiKisuiBeMutzar!G261</f>
        <v>0</v>
      </c>
      <c r="E259" s="178">
        <f>PirteiKisuiBeMutzar!W261</f>
        <v>0</v>
      </c>
      <c r="F259" s="178">
        <f>PirteiKisuiBeMutzar!K261</f>
        <v>0</v>
      </c>
      <c r="G259" s="178">
        <f>PirteiKisuiBeMutzar!M261</f>
        <v>0</v>
      </c>
      <c r="H259" s="979">
        <f>PirteiKisuiBeMutzar!P261</f>
        <v>0</v>
      </c>
      <c r="I259" s="178">
        <f>PirteiKisuiBeMutzar!X261</f>
        <v>0</v>
      </c>
      <c r="J259" s="979">
        <f>PirteiKisuiBeMutzar!Y261</f>
        <v>0</v>
      </c>
      <c r="K259" s="178">
        <f>PirteiKisuiBeMutzar!AL261</f>
        <v>0</v>
      </c>
      <c r="L259" s="178">
        <f>PirteiKisuiBeMutzar!AO261</f>
        <v>0</v>
      </c>
      <c r="M259" s="178">
        <f>PirteiKisuiBeMutzar!AP261</f>
        <v>0</v>
      </c>
    </row>
    <row r="260" spans="1:13" x14ac:dyDescent="0.2">
      <c r="A260" s="178">
        <f>PirteiKisuiBeMutzar!D262</f>
        <v>0</v>
      </c>
      <c r="B260" s="178">
        <f>PirteiKisuiBeMutzar!AQ262</f>
        <v>0</v>
      </c>
      <c r="C260" s="178">
        <f>PirteiKisuiBeMutzar!AM262</f>
        <v>0</v>
      </c>
      <c r="D260" s="178">
        <f>PirteiKisuiBeMutzar!G262</f>
        <v>0</v>
      </c>
      <c r="E260" s="178">
        <f>PirteiKisuiBeMutzar!W262</f>
        <v>0</v>
      </c>
      <c r="F260" s="178">
        <f>PirteiKisuiBeMutzar!K262</f>
        <v>0</v>
      </c>
      <c r="G260" s="178">
        <f>PirteiKisuiBeMutzar!M262</f>
        <v>0</v>
      </c>
      <c r="H260" s="979">
        <f>PirteiKisuiBeMutzar!P262</f>
        <v>0</v>
      </c>
      <c r="I260" s="178">
        <f>PirteiKisuiBeMutzar!X262</f>
        <v>0</v>
      </c>
      <c r="J260" s="979">
        <f>PirteiKisuiBeMutzar!Y262</f>
        <v>0</v>
      </c>
      <c r="K260" s="178">
        <f>PirteiKisuiBeMutzar!AL262</f>
        <v>0</v>
      </c>
      <c r="L260" s="178">
        <f>PirteiKisuiBeMutzar!AO262</f>
        <v>0</v>
      </c>
      <c r="M260" s="178">
        <f>PirteiKisuiBeMutzar!AP262</f>
        <v>0</v>
      </c>
    </row>
    <row r="261" spans="1:13" x14ac:dyDescent="0.2">
      <c r="A261" s="178">
        <f>PirteiKisuiBeMutzar!D263</f>
        <v>0</v>
      </c>
      <c r="B261" s="178">
        <f>PirteiKisuiBeMutzar!AQ263</f>
        <v>0</v>
      </c>
      <c r="C261" s="178">
        <f>PirteiKisuiBeMutzar!AM263</f>
        <v>0</v>
      </c>
      <c r="D261" s="178">
        <f>PirteiKisuiBeMutzar!G263</f>
        <v>0</v>
      </c>
      <c r="E261" s="178">
        <f>PirteiKisuiBeMutzar!W263</f>
        <v>0</v>
      </c>
      <c r="F261" s="178">
        <f>PirteiKisuiBeMutzar!K263</f>
        <v>0</v>
      </c>
      <c r="G261" s="178">
        <f>PirteiKisuiBeMutzar!M263</f>
        <v>0</v>
      </c>
      <c r="H261" s="979">
        <f>PirteiKisuiBeMutzar!P263</f>
        <v>0</v>
      </c>
      <c r="I261" s="178">
        <f>PirteiKisuiBeMutzar!X263</f>
        <v>0</v>
      </c>
      <c r="J261" s="979">
        <f>PirteiKisuiBeMutzar!Y263</f>
        <v>0</v>
      </c>
      <c r="K261" s="178">
        <f>PirteiKisuiBeMutzar!AL263</f>
        <v>0</v>
      </c>
      <c r="L261" s="178">
        <f>PirteiKisuiBeMutzar!AO263</f>
        <v>0</v>
      </c>
      <c r="M261" s="178">
        <f>PirteiKisuiBeMutzar!AP263</f>
        <v>0</v>
      </c>
    </row>
    <row r="262" spans="1:13" x14ac:dyDescent="0.2">
      <c r="A262" s="178">
        <f>PirteiKisuiBeMutzar!D264</f>
        <v>0</v>
      </c>
      <c r="B262" s="178">
        <f>PirteiKisuiBeMutzar!AQ264</f>
        <v>0</v>
      </c>
      <c r="C262" s="178">
        <f>PirteiKisuiBeMutzar!AM264</f>
        <v>0</v>
      </c>
      <c r="D262" s="178">
        <f>PirteiKisuiBeMutzar!G264</f>
        <v>0</v>
      </c>
      <c r="E262" s="178">
        <f>PirteiKisuiBeMutzar!W264</f>
        <v>0</v>
      </c>
      <c r="F262" s="178">
        <f>PirteiKisuiBeMutzar!K264</f>
        <v>0</v>
      </c>
      <c r="G262" s="178">
        <f>PirteiKisuiBeMutzar!M264</f>
        <v>0</v>
      </c>
      <c r="H262" s="979">
        <f>PirteiKisuiBeMutzar!P264</f>
        <v>0</v>
      </c>
      <c r="I262" s="178">
        <f>PirteiKisuiBeMutzar!X264</f>
        <v>0</v>
      </c>
      <c r="J262" s="979">
        <f>PirteiKisuiBeMutzar!Y264</f>
        <v>0</v>
      </c>
      <c r="K262" s="178">
        <f>PirteiKisuiBeMutzar!AL264</f>
        <v>0</v>
      </c>
      <c r="L262" s="178">
        <f>PirteiKisuiBeMutzar!AO264</f>
        <v>0</v>
      </c>
      <c r="M262" s="178">
        <f>PirteiKisuiBeMutzar!AP264</f>
        <v>0</v>
      </c>
    </row>
    <row r="263" spans="1:13" x14ac:dyDescent="0.2">
      <c r="A263" s="178">
        <f>PirteiKisuiBeMutzar!D265</f>
        <v>0</v>
      </c>
      <c r="B263" s="178">
        <f>PirteiKisuiBeMutzar!AQ265</f>
        <v>0</v>
      </c>
      <c r="C263" s="178">
        <f>PirteiKisuiBeMutzar!AM265</f>
        <v>0</v>
      </c>
      <c r="D263" s="178">
        <f>PirteiKisuiBeMutzar!G265</f>
        <v>0</v>
      </c>
      <c r="E263" s="178">
        <f>PirteiKisuiBeMutzar!W265</f>
        <v>0</v>
      </c>
      <c r="F263" s="178">
        <f>PirteiKisuiBeMutzar!K265</f>
        <v>0</v>
      </c>
      <c r="G263" s="178">
        <f>PirteiKisuiBeMutzar!M265</f>
        <v>0</v>
      </c>
      <c r="H263" s="979">
        <f>PirteiKisuiBeMutzar!P265</f>
        <v>0</v>
      </c>
      <c r="I263" s="178">
        <f>PirteiKisuiBeMutzar!X265</f>
        <v>0</v>
      </c>
      <c r="J263" s="979">
        <f>PirteiKisuiBeMutzar!Y265</f>
        <v>0</v>
      </c>
      <c r="K263" s="178">
        <f>PirteiKisuiBeMutzar!AL265</f>
        <v>0</v>
      </c>
      <c r="L263" s="178">
        <f>PirteiKisuiBeMutzar!AO265</f>
        <v>0</v>
      </c>
      <c r="M263" s="178">
        <f>PirteiKisuiBeMutzar!AP265</f>
        <v>0</v>
      </c>
    </row>
    <row r="264" spans="1:13" x14ac:dyDescent="0.2">
      <c r="A264" s="178">
        <f>PirteiKisuiBeMutzar!D266</f>
        <v>0</v>
      </c>
      <c r="B264" s="178">
        <f>PirteiKisuiBeMutzar!AQ266</f>
        <v>0</v>
      </c>
      <c r="C264" s="178">
        <f>PirteiKisuiBeMutzar!AM266</f>
        <v>0</v>
      </c>
      <c r="D264" s="178">
        <f>PirteiKisuiBeMutzar!G266</f>
        <v>0</v>
      </c>
      <c r="E264" s="178">
        <f>PirteiKisuiBeMutzar!W266</f>
        <v>0</v>
      </c>
      <c r="F264" s="178">
        <f>PirteiKisuiBeMutzar!K266</f>
        <v>0</v>
      </c>
      <c r="G264" s="178">
        <f>PirteiKisuiBeMutzar!M266</f>
        <v>0</v>
      </c>
      <c r="H264" s="979">
        <f>PirteiKisuiBeMutzar!P266</f>
        <v>0</v>
      </c>
      <c r="I264" s="178">
        <f>PirteiKisuiBeMutzar!X266</f>
        <v>0</v>
      </c>
      <c r="J264" s="979">
        <f>PirteiKisuiBeMutzar!Y266</f>
        <v>0</v>
      </c>
      <c r="K264" s="178">
        <f>PirteiKisuiBeMutzar!AL266</f>
        <v>0</v>
      </c>
      <c r="L264" s="178">
        <f>PirteiKisuiBeMutzar!AO266</f>
        <v>0</v>
      </c>
      <c r="M264" s="178">
        <f>PirteiKisuiBeMutzar!AP266</f>
        <v>0</v>
      </c>
    </row>
    <row r="265" spans="1:13" x14ac:dyDescent="0.2">
      <c r="A265" s="178">
        <f>PirteiKisuiBeMutzar!D267</f>
        <v>0</v>
      </c>
      <c r="B265" s="178">
        <f>PirteiKisuiBeMutzar!AQ267</f>
        <v>0</v>
      </c>
      <c r="C265" s="178">
        <f>PirteiKisuiBeMutzar!AM267</f>
        <v>0</v>
      </c>
      <c r="D265" s="178">
        <f>PirteiKisuiBeMutzar!G267</f>
        <v>0</v>
      </c>
      <c r="E265" s="178">
        <f>PirteiKisuiBeMutzar!W267</f>
        <v>0</v>
      </c>
      <c r="F265" s="178">
        <f>PirteiKisuiBeMutzar!K267</f>
        <v>0</v>
      </c>
      <c r="G265" s="178">
        <f>PirteiKisuiBeMutzar!M267</f>
        <v>0</v>
      </c>
      <c r="H265" s="979">
        <f>PirteiKisuiBeMutzar!P267</f>
        <v>0</v>
      </c>
      <c r="I265" s="178">
        <f>PirteiKisuiBeMutzar!X267</f>
        <v>0</v>
      </c>
      <c r="J265" s="979">
        <f>PirteiKisuiBeMutzar!Y267</f>
        <v>0</v>
      </c>
      <c r="K265" s="178">
        <f>PirteiKisuiBeMutzar!AL267</f>
        <v>0</v>
      </c>
      <c r="L265" s="178">
        <f>PirteiKisuiBeMutzar!AO267</f>
        <v>0</v>
      </c>
      <c r="M265" s="178">
        <f>PirteiKisuiBeMutzar!AP267</f>
        <v>0</v>
      </c>
    </row>
    <row r="266" spans="1:13" x14ac:dyDescent="0.2">
      <c r="A266" s="178">
        <f>PirteiKisuiBeMutzar!D268</f>
        <v>0</v>
      </c>
      <c r="B266" s="178">
        <f>PirteiKisuiBeMutzar!AQ268</f>
        <v>0</v>
      </c>
      <c r="C266" s="178">
        <f>PirteiKisuiBeMutzar!AM268</f>
        <v>0</v>
      </c>
      <c r="D266" s="178">
        <f>PirteiKisuiBeMutzar!G268</f>
        <v>0</v>
      </c>
      <c r="E266" s="178">
        <f>PirteiKisuiBeMutzar!W268</f>
        <v>0</v>
      </c>
      <c r="F266" s="178">
        <f>PirteiKisuiBeMutzar!K268</f>
        <v>0</v>
      </c>
      <c r="G266" s="178">
        <f>PirteiKisuiBeMutzar!M268</f>
        <v>0</v>
      </c>
      <c r="H266" s="979">
        <f>PirteiKisuiBeMutzar!P268</f>
        <v>0</v>
      </c>
      <c r="I266" s="178">
        <f>PirteiKisuiBeMutzar!X268</f>
        <v>0</v>
      </c>
      <c r="J266" s="979">
        <f>PirteiKisuiBeMutzar!Y268</f>
        <v>0</v>
      </c>
      <c r="K266" s="178">
        <f>PirteiKisuiBeMutzar!AL268</f>
        <v>0</v>
      </c>
      <c r="L266" s="178">
        <f>PirteiKisuiBeMutzar!AO268</f>
        <v>0</v>
      </c>
      <c r="M266" s="178">
        <f>PirteiKisuiBeMutzar!AP268</f>
        <v>0</v>
      </c>
    </row>
    <row r="267" spans="1:13" x14ac:dyDescent="0.2">
      <c r="A267" s="178">
        <f>PirteiKisuiBeMutzar!D269</f>
        <v>0</v>
      </c>
      <c r="B267" s="178">
        <f>PirteiKisuiBeMutzar!AQ269</f>
        <v>0</v>
      </c>
      <c r="C267" s="178">
        <f>PirteiKisuiBeMutzar!AM269</f>
        <v>0</v>
      </c>
      <c r="D267" s="178">
        <f>PirteiKisuiBeMutzar!G269</f>
        <v>0</v>
      </c>
      <c r="E267" s="178">
        <f>PirteiKisuiBeMutzar!W269</f>
        <v>0</v>
      </c>
      <c r="F267" s="178">
        <f>PirteiKisuiBeMutzar!K269</f>
        <v>0</v>
      </c>
      <c r="G267" s="178">
        <f>PirteiKisuiBeMutzar!M269</f>
        <v>0</v>
      </c>
      <c r="H267" s="979">
        <f>PirteiKisuiBeMutzar!P269</f>
        <v>0</v>
      </c>
      <c r="I267" s="178">
        <f>PirteiKisuiBeMutzar!X269</f>
        <v>0</v>
      </c>
      <c r="J267" s="979">
        <f>PirteiKisuiBeMutzar!Y269</f>
        <v>0</v>
      </c>
      <c r="K267" s="178">
        <f>PirteiKisuiBeMutzar!AL269</f>
        <v>0</v>
      </c>
      <c r="L267" s="178">
        <f>PirteiKisuiBeMutzar!AO269</f>
        <v>0</v>
      </c>
      <c r="M267" s="178">
        <f>PirteiKisuiBeMutzar!AP269</f>
        <v>0</v>
      </c>
    </row>
    <row r="268" spans="1:13" x14ac:dyDescent="0.2">
      <c r="A268" s="178">
        <f>PirteiKisuiBeMutzar!D270</f>
        <v>0</v>
      </c>
      <c r="B268" s="178">
        <f>PirteiKisuiBeMutzar!AQ270</f>
        <v>0</v>
      </c>
      <c r="C268" s="178">
        <f>PirteiKisuiBeMutzar!AM270</f>
        <v>0</v>
      </c>
      <c r="D268" s="178">
        <f>PirteiKisuiBeMutzar!G270</f>
        <v>0</v>
      </c>
      <c r="E268" s="178">
        <f>PirteiKisuiBeMutzar!W270</f>
        <v>0</v>
      </c>
      <c r="F268" s="178">
        <f>PirteiKisuiBeMutzar!K270</f>
        <v>0</v>
      </c>
      <c r="G268" s="178">
        <f>PirteiKisuiBeMutzar!M270</f>
        <v>0</v>
      </c>
      <c r="H268" s="979">
        <f>PirteiKisuiBeMutzar!P270</f>
        <v>0</v>
      </c>
      <c r="I268" s="178">
        <f>PirteiKisuiBeMutzar!X270</f>
        <v>0</v>
      </c>
      <c r="J268" s="979">
        <f>PirteiKisuiBeMutzar!Y270</f>
        <v>0</v>
      </c>
      <c r="K268" s="178">
        <f>PirteiKisuiBeMutzar!AL270</f>
        <v>0</v>
      </c>
      <c r="L268" s="178">
        <f>PirteiKisuiBeMutzar!AO270</f>
        <v>0</v>
      </c>
      <c r="M268" s="178">
        <f>PirteiKisuiBeMutzar!AP270</f>
        <v>0</v>
      </c>
    </row>
    <row r="269" spans="1:13" x14ac:dyDescent="0.2">
      <c r="A269" s="178">
        <f>PirteiKisuiBeMutzar!D271</f>
        <v>0</v>
      </c>
      <c r="B269" s="178">
        <f>PirteiKisuiBeMutzar!AQ271</f>
        <v>0</v>
      </c>
      <c r="C269" s="178">
        <f>PirteiKisuiBeMutzar!AM271</f>
        <v>0</v>
      </c>
      <c r="D269" s="178">
        <f>PirteiKisuiBeMutzar!G271</f>
        <v>0</v>
      </c>
      <c r="E269" s="178">
        <f>PirteiKisuiBeMutzar!W271</f>
        <v>0</v>
      </c>
      <c r="F269" s="178">
        <f>PirteiKisuiBeMutzar!K271</f>
        <v>0</v>
      </c>
      <c r="G269" s="178">
        <f>PirteiKisuiBeMutzar!M271</f>
        <v>0</v>
      </c>
      <c r="H269" s="979">
        <f>PirteiKisuiBeMutzar!P271</f>
        <v>0</v>
      </c>
      <c r="I269" s="178">
        <f>PirteiKisuiBeMutzar!X271</f>
        <v>0</v>
      </c>
      <c r="J269" s="979">
        <f>PirteiKisuiBeMutzar!Y271</f>
        <v>0</v>
      </c>
      <c r="K269" s="178">
        <f>PirteiKisuiBeMutzar!AL271</f>
        <v>0</v>
      </c>
      <c r="L269" s="178">
        <f>PirteiKisuiBeMutzar!AO271</f>
        <v>0</v>
      </c>
      <c r="M269" s="178">
        <f>PirteiKisuiBeMutzar!AP271</f>
        <v>0</v>
      </c>
    </row>
    <row r="270" spans="1:13" x14ac:dyDescent="0.2">
      <c r="A270" s="178">
        <f>PirteiKisuiBeMutzar!D272</f>
        <v>0</v>
      </c>
      <c r="B270" s="178">
        <f>PirteiKisuiBeMutzar!AQ272</f>
        <v>0</v>
      </c>
      <c r="C270" s="178">
        <f>PirteiKisuiBeMutzar!AM272</f>
        <v>0</v>
      </c>
      <c r="D270" s="178">
        <f>PirteiKisuiBeMutzar!G272</f>
        <v>0</v>
      </c>
      <c r="E270" s="178">
        <f>PirteiKisuiBeMutzar!W272</f>
        <v>0</v>
      </c>
      <c r="F270" s="178">
        <f>PirteiKisuiBeMutzar!K272</f>
        <v>0</v>
      </c>
      <c r="G270" s="178">
        <f>PirteiKisuiBeMutzar!M272</f>
        <v>0</v>
      </c>
      <c r="H270" s="979">
        <f>PirteiKisuiBeMutzar!P272</f>
        <v>0</v>
      </c>
      <c r="I270" s="178">
        <f>PirteiKisuiBeMutzar!X272</f>
        <v>0</v>
      </c>
      <c r="J270" s="979">
        <f>PirteiKisuiBeMutzar!Y272</f>
        <v>0</v>
      </c>
      <c r="K270" s="178">
        <f>PirteiKisuiBeMutzar!AL272</f>
        <v>0</v>
      </c>
      <c r="L270" s="178">
        <f>PirteiKisuiBeMutzar!AO272</f>
        <v>0</v>
      </c>
      <c r="M270" s="178">
        <f>PirteiKisuiBeMutzar!AP272</f>
        <v>0</v>
      </c>
    </row>
    <row r="271" spans="1:13" x14ac:dyDescent="0.2">
      <c r="A271" s="178">
        <f>PirteiKisuiBeMutzar!D273</f>
        <v>0</v>
      </c>
      <c r="B271" s="178">
        <f>PirteiKisuiBeMutzar!AQ273</f>
        <v>0</v>
      </c>
      <c r="C271" s="178">
        <f>PirteiKisuiBeMutzar!AM273</f>
        <v>0</v>
      </c>
      <c r="D271" s="178">
        <f>PirteiKisuiBeMutzar!G273</f>
        <v>0</v>
      </c>
      <c r="E271" s="178">
        <f>PirteiKisuiBeMutzar!W273</f>
        <v>0</v>
      </c>
      <c r="F271" s="178">
        <f>PirteiKisuiBeMutzar!K273</f>
        <v>0</v>
      </c>
      <c r="G271" s="178">
        <f>PirteiKisuiBeMutzar!M273</f>
        <v>0</v>
      </c>
      <c r="H271" s="979">
        <f>PirteiKisuiBeMutzar!P273</f>
        <v>0</v>
      </c>
      <c r="I271" s="178">
        <f>PirteiKisuiBeMutzar!X273</f>
        <v>0</v>
      </c>
      <c r="J271" s="979">
        <f>PirteiKisuiBeMutzar!Y273</f>
        <v>0</v>
      </c>
      <c r="K271" s="178">
        <f>PirteiKisuiBeMutzar!AL273</f>
        <v>0</v>
      </c>
      <c r="L271" s="178">
        <f>PirteiKisuiBeMutzar!AO273</f>
        <v>0</v>
      </c>
      <c r="M271" s="178">
        <f>PirteiKisuiBeMutzar!AP273</f>
        <v>0</v>
      </c>
    </row>
    <row r="272" spans="1:13" x14ac:dyDescent="0.2">
      <c r="A272" s="178">
        <f>PirteiKisuiBeMutzar!D274</f>
        <v>0</v>
      </c>
      <c r="B272" s="178">
        <f>PirteiKisuiBeMutzar!AQ274</f>
        <v>0</v>
      </c>
      <c r="C272" s="178">
        <f>PirteiKisuiBeMutzar!AM274</f>
        <v>0</v>
      </c>
      <c r="D272" s="178">
        <f>PirteiKisuiBeMutzar!G274</f>
        <v>0</v>
      </c>
      <c r="E272" s="178">
        <f>PirteiKisuiBeMutzar!W274</f>
        <v>0</v>
      </c>
      <c r="F272" s="178">
        <f>PirteiKisuiBeMutzar!K274</f>
        <v>0</v>
      </c>
      <c r="G272" s="178">
        <f>PirteiKisuiBeMutzar!M274</f>
        <v>0</v>
      </c>
      <c r="H272" s="979">
        <f>PirteiKisuiBeMutzar!P274</f>
        <v>0</v>
      </c>
      <c r="I272" s="178">
        <f>PirteiKisuiBeMutzar!X274</f>
        <v>0</v>
      </c>
      <c r="J272" s="979">
        <f>PirteiKisuiBeMutzar!Y274</f>
        <v>0</v>
      </c>
      <c r="K272" s="178">
        <f>PirteiKisuiBeMutzar!AL274</f>
        <v>0</v>
      </c>
      <c r="L272" s="178">
        <f>PirteiKisuiBeMutzar!AO274</f>
        <v>0</v>
      </c>
      <c r="M272" s="178">
        <f>PirteiKisuiBeMutzar!AP274</f>
        <v>0</v>
      </c>
    </row>
    <row r="273" spans="1:13" x14ac:dyDescent="0.2">
      <c r="A273" s="178">
        <f>PirteiKisuiBeMutzar!D275</f>
        <v>0</v>
      </c>
      <c r="B273" s="178">
        <f>PirteiKisuiBeMutzar!AQ275</f>
        <v>0</v>
      </c>
      <c r="C273" s="178">
        <f>PirteiKisuiBeMutzar!AM275</f>
        <v>0</v>
      </c>
      <c r="D273" s="178">
        <f>PirteiKisuiBeMutzar!G275</f>
        <v>0</v>
      </c>
      <c r="E273" s="178">
        <f>PirteiKisuiBeMutzar!W275</f>
        <v>0</v>
      </c>
      <c r="F273" s="178">
        <f>PirteiKisuiBeMutzar!K275</f>
        <v>0</v>
      </c>
      <c r="G273" s="178">
        <f>PirteiKisuiBeMutzar!M275</f>
        <v>0</v>
      </c>
      <c r="H273" s="979">
        <f>PirteiKisuiBeMutzar!P275</f>
        <v>0</v>
      </c>
      <c r="I273" s="178">
        <f>PirteiKisuiBeMutzar!X275</f>
        <v>0</v>
      </c>
      <c r="J273" s="979">
        <f>PirteiKisuiBeMutzar!Y275</f>
        <v>0</v>
      </c>
      <c r="K273" s="178">
        <f>PirteiKisuiBeMutzar!AL275</f>
        <v>0</v>
      </c>
      <c r="L273" s="178">
        <f>PirteiKisuiBeMutzar!AO275</f>
        <v>0</v>
      </c>
      <c r="M273" s="178">
        <f>PirteiKisuiBeMutzar!AP275</f>
        <v>0</v>
      </c>
    </row>
    <row r="274" spans="1:13" x14ac:dyDescent="0.2">
      <c r="A274" s="178">
        <f>PirteiKisuiBeMutzar!D276</f>
        <v>0</v>
      </c>
      <c r="B274" s="178">
        <f>PirteiKisuiBeMutzar!AQ276</f>
        <v>0</v>
      </c>
      <c r="C274" s="178">
        <f>PirteiKisuiBeMutzar!AM276</f>
        <v>0</v>
      </c>
      <c r="D274" s="178">
        <f>PirteiKisuiBeMutzar!G276</f>
        <v>0</v>
      </c>
      <c r="E274" s="178">
        <f>PirteiKisuiBeMutzar!W276</f>
        <v>0</v>
      </c>
      <c r="F274" s="178">
        <f>PirteiKisuiBeMutzar!K276</f>
        <v>0</v>
      </c>
      <c r="G274" s="178">
        <f>PirteiKisuiBeMutzar!M276</f>
        <v>0</v>
      </c>
      <c r="H274" s="979">
        <f>PirteiKisuiBeMutzar!P276</f>
        <v>0</v>
      </c>
      <c r="I274" s="178">
        <f>PirteiKisuiBeMutzar!X276</f>
        <v>0</v>
      </c>
      <c r="J274" s="979">
        <f>PirteiKisuiBeMutzar!Y276</f>
        <v>0</v>
      </c>
      <c r="K274" s="178">
        <f>PirteiKisuiBeMutzar!AL276</f>
        <v>0</v>
      </c>
      <c r="L274" s="178">
        <f>PirteiKisuiBeMutzar!AO276</f>
        <v>0</v>
      </c>
      <c r="M274" s="178">
        <f>PirteiKisuiBeMutzar!AP276</f>
        <v>0</v>
      </c>
    </row>
    <row r="275" spans="1:13" x14ac:dyDescent="0.2">
      <c r="A275" s="178">
        <f>PirteiKisuiBeMutzar!D277</f>
        <v>0</v>
      </c>
      <c r="B275" s="178">
        <f>PirteiKisuiBeMutzar!AQ277</f>
        <v>0</v>
      </c>
      <c r="C275" s="178">
        <f>PirteiKisuiBeMutzar!AM277</f>
        <v>0</v>
      </c>
      <c r="D275" s="178">
        <f>PirteiKisuiBeMutzar!G277</f>
        <v>0</v>
      </c>
      <c r="E275" s="178">
        <f>PirteiKisuiBeMutzar!W277</f>
        <v>0</v>
      </c>
      <c r="F275" s="178">
        <f>PirteiKisuiBeMutzar!K277</f>
        <v>0</v>
      </c>
      <c r="G275" s="178">
        <f>PirteiKisuiBeMutzar!M277</f>
        <v>0</v>
      </c>
      <c r="H275" s="979">
        <f>PirteiKisuiBeMutzar!P277</f>
        <v>0</v>
      </c>
      <c r="I275" s="178">
        <f>PirteiKisuiBeMutzar!X277</f>
        <v>0</v>
      </c>
      <c r="J275" s="979">
        <f>PirteiKisuiBeMutzar!Y277</f>
        <v>0</v>
      </c>
      <c r="K275" s="178">
        <f>PirteiKisuiBeMutzar!AL277</f>
        <v>0</v>
      </c>
      <c r="L275" s="178">
        <f>PirteiKisuiBeMutzar!AO277</f>
        <v>0</v>
      </c>
      <c r="M275" s="178">
        <f>PirteiKisuiBeMutzar!AP277</f>
        <v>0</v>
      </c>
    </row>
  </sheetData>
  <conditionalFormatting sqref="A4:M275">
    <cfRule type="cellIs" dxfId="1" priority="1" operator="equal">
      <formula>0</formula>
    </cfRule>
  </conditionalFormatting>
  <pageMargins left="0.11811023622047245" right="0.19685039370078741" top="0.74803149606299213" bottom="0.74803149606299213" header="0.31496062992125984" footer="0.31496062992125984"/>
  <pageSetup orientation="landscape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14">
    <tabColor indexed="43"/>
  </sheetPr>
  <dimension ref="A1:AK738"/>
  <sheetViews>
    <sheetView rightToLeft="1" zoomScaleNormal="100" workbookViewId="0">
      <pane ySplit="2" topLeftCell="A3" activePane="bottomLeft" state="frozen"/>
      <selection activeCell="AL8" sqref="AL8"/>
      <selection pane="bottomLeft" activeCell="AL8" sqref="AL8"/>
    </sheetView>
  </sheetViews>
  <sheetFormatPr defaultRowHeight="12.75" x14ac:dyDescent="0.2"/>
  <cols>
    <col min="1" max="1" width="7" style="292" customWidth="1"/>
    <col min="2" max="2" width="15.140625" style="292" customWidth="1"/>
    <col min="3" max="3" width="21.140625" style="292" customWidth="1"/>
    <col min="4" max="4" width="19.85546875" style="292" customWidth="1"/>
    <col min="5" max="5" width="18.5703125" style="292" customWidth="1"/>
    <col min="6" max="6" width="17.7109375" style="292" customWidth="1"/>
    <col min="7" max="7" width="10.7109375" style="292" customWidth="1"/>
    <col min="8" max="8" width="3.7109375" style="292" customWidth="1"/>
    <col min="9" max="10" width="10.7109375" style="292" customWidth="1"/>
    <col min="11" max="11" width="8.140625" style="321" customWidth="1"/>
    <col min="12" max="12" width="9.5703125" style="292" bestFit="1" customWidth="1"/>
    <col min="13" max="13" width="10.140625" style="292" customWidth="1"/>
    <col min="14" max="14" width="9.140625" style="292"/>
    <col min="15" max="15" width="11" style="292" customWidth="1"/>
    <col min="16" max="16" width="10.7109375" style="292" customWidth="1"/>
    <col min="17" max="17" width="9.140625" style="292"/>
    <col min="18" max="18" width="11.7109375" style="292" customWidth="1"/>
    <col min="19" max="19" width="13.42578125" style="292" customWidth="1"/>
    <col min="20" max="20" width="13" style="292" customWidth="1"/>
    <col min="21" max="21" width="11" style="292" customWidth="1"/>
    <col min="22" max="22" width="14" style="292" customWidth="1"/>
    <col min="23" max="16384" width="9.140625" style="292"/>
  </cols>
  <sheetData>
    <row r="1" spans="1:37" ht="57" customHeight="1" thickBot="1" x14ac:dyDescent="0.25">
      <c r="A1" s="1090" t="s">
        <v>618</v>
      </c>
      <c r="B1" s="1090"/>
      <c r="C1" s="1090"/>
      <c r="D1" s="1090"/>
      <c r="E1" s="1090"/>
      <c r="F1" s="289">
        <f>INT('נתוני יסוד'!B5)</f>
        <v>65</v>
      </c>
      <c r="G1" s="1091"/>
      <c r="H1" s="1091"/>
      <c r="I1" s="1091"/>
      <c r="J1" s="1091"/>
      <c r="K1" s="290"/>
      <c r="L1" s="291"/>
      <c r="M1" s="1092"/>
      <c r="N1" s="1092"/>
      <c r="O1" s="1081" t="s">
        <v>1158</v>
      </c>
      <c r="P1" s="1082"/>
      <c r="R1" s="1085" t="s">
        <v>1161</v>
      </c>
      <c r="S1" s="1086"/>
      <c r="T1" s="1083" t="s">
        <v>1162</v>
      </c>
      <c r="U1" s="1084"/>
      <c r="V1" s="290"/>
      <c r="W1" s="290"/>
      <c r="X1" s="290"/>
      <c r="Y1" s="290"/>
      <c r="Z1" s="290"/>
      <c r="AA1" s="290"/>
      <c r="AB1" s="290"/>
      <c r="AC1" s="290"/>
      <c r="AD1" s="290"/>
      <c r="AE1" s="290"/>
      <c r="AF1" s="290"/>
      <c r="AG1" s="290"/>
      <c r="AH1" s="290"/>
      <c r="AI1" s="290"/>
      <c r="AJ1" s="290"/>
      <c r="AK1" s="290"/>
    </row>
    <row r="2" spans="1:37" s="297" customFormat="1" ht="57" customHeight="1" thickBot="1" x14ac:dyDescent="0.25">
      <c r="A2" s="184" t="s">
        <v>493</v>
      </c>
      <c r="B2" s="293" t="s">
        <v>494</v>
      </c>
      <c r="C2" s="293" t="s">
        <v>228</v>
      </c>
      <c r="D2" s="293" t="s">
        <v>495</v>
      </c>
      <c r="E2" s="184" t="s">
        <v>496</v>
      </c>
      <c r="F2" s="293" t="s">
        <v>497</v>
      </c>
      <c r="G2" s="899" t="s">
        <v>619</v>
      </c>
      <c r="H2" s="293" t="s">
        <v>620</v>
      </c>
      <c r="I2" s="184" t="s">
        <v>264</v>
      </c>
      <c r="J2" s="293" t="s">
        <v>621</v>
      </c>
      <c r="K2" s="294" t="s">
        <v>502</v>
      </c>
      <c r="L2" s="295"/>
      <c r="M2" s="295"/>
      <c r="N2" s="295"/>
      <c r="O2" s="1044" t="s">
        <v>1159</v>
      </c>
      <c r="P2" s="1044" t="s">
        <v>1160</v>
      </c>
      <c r="Q2" s="1044" t="s">
        <v>165</v>
      </c>
      <c r="R2" s="1044" t="s">
        <v>1159</v>
      </c>
      <c r="S2" s="1044" t="s">
        <v>1160</v>
      </c>
      <c r="T2" s="1044" t="s">
        <v>1159</v>
      </c>
      <c r="U2" s="1044" t="s">
        <v>1160</v>
      </c>
      <c r="V2" s="1044" t="s">
        <v>170</v>
      </c>
      <c r="W2" s="296"/>
      <c r="X2" s="296"/>
      <c r="Y2" s="296"/>
      <c r="Z2" s="296"/>
      <c r="AA2" s="296"/>
      <c r="AB2" s="296"/>
      <c r="AC2" s="296"/>
      <c r="AD2" s="296"/>
      <c r="AE2" s="296"/>
      <c r="AF2" s="296"/>
      <c r="AG2" s="296"/>
      <c r="AH2" s="296"/>
      <c r="AI2" s="296"/>
      <c r="AJ2" s="296"/>
      <c r="AK2" s="296"/>
    </row>
    <row r="3" spans="1:37" s="302" customFormat="1" ht="50.1" customHeight="1" x14ac:dyDescent="0.3">
      <c r="A3" s="164">
        <f>IF(main!A9&gt;0,main!A9,"")</f>
        <v>1</v>
      </c>
      <c r="B3" s="165" t="str">
        <f>IF(main!A9&gt;0,main!B9,"")</f>
        <v>1595222</v>
      </c>
      <c r="C3" s="164" t="str">
        <f>IF(main!A9&gt;0,main!D9,"")</f>
        <v>כלל</v>
      </c>
      <c r="D3" s="164">
        <f>IF(main!A9&gt;0,main!E9,"")</f>
        <v>0</v>
      </c>
      <c r="E3" s="164">
        <f>IF(main!A9&gt;0,main!C9,"")</f>
        <v>0</v>
      </c>
      <c r="F3" s="298" t="str">
        <f>IF(main!A9&gt;0,main!R9,"")</f>
        <v>01/01/1900</v>
      </c>
      <c r="G3" s="1045">
        <f>main!BG9</f>
        <v>0</v>
      </c>
      <c r="H3" s="164" t="s">
        <v>620</v>
      </c>
      <c r="I3" s="164">
        <f>main!BJ9</f>
        <v>0</v>
      </c>
      <c r="J3" s="164"/>
      <c r="K3" s="299"/>
      <c r="L3" s="300"/>
      <c r="M3" s="300"/>
      <c r="N3" s="300"/>
      <c r="O3" s="1045">
        <f>IFERROR(VLOOKUP(B3,Kupa!$D$6:'Kupa'!$O$54,5,FALSE),0)</f>
        <v>0</v>
      </c>
      <c r="P3" s="1045">
        <f>IFERROR(VLOOKUP(B3,Kupa!$D$6:'Kupa'!$O$54,6,FALSE),0)</f>
        <v>0</v>
      </c>
      <c r="Q3" s="1046">
        <f>IFERROR(VLOOKUP(B3,Kupa!$D$6:'Kupa'!$O$54,7,FALSE),0)</f>
        <v>0</v>
      </c>
      <c r="R3" s="1047" t="str">
        <f>IFERROR(VLOOKUP(B3,Kupa!$D$6:'Kupa'!$O$54,8,FALSE),0)</f>
        <v/>
      </c>
      <c r="S3" s="1047">
        <f>IFERROR(VLOOKUP(B3,Kupa!$D$6:'Kupa'!$O$54,9,FALSE),0)</f>
        <v>0</v>
      </c>
      <c r="T3" s="1045">
        <f>IFERROR(VLOOKUP(B3,Kupa!$D$6:'Kupa'!$O$54,10,FALSE),0)</f>
        <v>0</v>
      </c>
      <c r="U3" s="1045">
        <f>IFERROR(VLOOKUP(B3,Kupa!$D$6:'Kupa'!$O$54,11,FALSE),0)</f>
        <v>0</v>
      </c>
      <c r="V3" s="1047">
        <f>IFERROR(VLOOKUP(B3,Kupa!$D$6:'Kupa'!$O$54,12,FALSE),0)</f>
        <v>0</v>
      </c>
      <c r="W3" s="301"/>
      <c r="X3" s="301"/>
      <c r="Y3" s="301"/>
      <c r="Z3" s="301"/>
      <c r="AA3" s="301"/>
      <c r="AB3" s="301"/>
      <c r="AC3" s="301"/>
      <c r="AD3" s="301"/>
      <c r="AE3" s="301"/>
      <c r="AF3" s="301"/>
      <c r="AG3" s="301"/>
      <c r="AH3" s="301"/>
      <c r="AI3" s="301"/>
      <c r="AJ3" s="301"/>
      <c r="AK3" s="301"/>
    </row>
    <row r="4" spans="1:37" s="302" customFormat="1" ht="50.1" customHeight="1" x14ac:dyDescent="0.3">
      <c r="A4" s="164">
        <f>IF(main!A10&gt;0,main!A10,"")</f>
        <v>2</v>
      </c>
      <c r="B4" s="165" t="str">
        <f>IF(main!A10&gt;0,main!B10,"")</f>
        <v>1394362</v>
      </c>
      <c r="C4" s="164" t="str">
        <f>IF(main!A10&gt;0,main!D10,"")</f>
        <v>ארם גמולים - חברה לניהול קופות גמל בע"מ</v>
      </c>
      <c r="D4" s="164" t="str">
        <f>IF(main!A10&gt;0,main!E10,"")</f>
        <v>ארם-קופת גמל לתגמולים של ארגון הרופאים עובדי מדינה</v>
      </c>
      <c r="E4" s="164" t="str">
        <f>IF(main!A10&gt;0,main!C10,"")</f>
        <v>קופת גמל</v>
      </c>
      <c r="F4" s="298" t="str">
        <f>IF(main!A10&gt;0,main!R10,"")</f>
        <v>01/11/2011</v>
      </c>
      <c r="G4" s="1045">
        <f>main!BG10</f>
        <v>0</v>
      </c>
      <c r="H4" s="164" t="s">
        <v>620</v>
      </c>
      <c r="I4" s="164">
        <f>main!BJ10</f>
        <v>0</v>
      </c>
      <c r="J4" s="164"/>
      <c r="K4" s="299"/>
      <c r="L4" s="300"/>
      <c r="M4" s="300"/>
      <c r="N4" s="300"/>
      <c r="O4" s="1045">
        <f>IFERROR(VLOOKUP(B4,Kupa!$D$6:'Kupa'!$O$54,5,FALSE),0)</f>
        <v>0</v>
      </c>
      <c r="P4" s="1045">
        <f>IFERROR(VLOOKUP(B4,Kupa!$D$6:'Kupa'!$O$54,6,FALSE),0)</f>
        <v>0</v>
      </c>
      <c r="Q4" s="1046">
        <f>IFERROR(VLOOKUP(B4,Kupa!$D$6:'Kupa'!$O$54,7,FALSE),0)</f>
        <v>0</v>
      </c>
      <c r="R4" s="1047">
        <f>IFERROR(VLOOKUP(B4,Kupa!$D$6:'Kupa'!$O$54,8,FALSE),0)</f>
        <v>0</v>
      </c>
      <c r="S4" s="1047">
        <f>IFERROR(VLOOKUP(B4,Kupa!$D$6:'Kupa'!$O$54,9,FALSE),0)</f>
        <v>0</v>
      </c>
      <c r="T4" s="1045">
        <f>IFERROR(VLOOKUP(B4,Kupa!$D$6:'Kupa'!$O$54,10,FALSE),0)</f>
        <v>0</v>
      </c>
      <c r="U4" s="1045">
        <f>IFERROR(VLOOKUP(B4,Kupa!$D$6:'Kupa'!$O$54,11,FALSE),0)</f>
        <v>0</v>
      </c>
      <c r="V4" s="1047">
        <f>IFERROR(VLOOKUP(B4,Kupa!$D$6:'Kupa'!$O$54,12,FALSE),0)</f>
        <v>0</v>
      </c>
      <c r="W4" s="301"/>
      <c r="X4" s="301"/>
      <c r="Y4" s="301"/>
      <c r="Z4" s="301"/>
      <c r="AA4" s="301"/>
      <c r="AB4" s="301"/>
      <c r="AC4" s="301"/>
      <c r="AD4" s="301"/>
      <c r="AE4" s="301"/>
      <c r="AF4" s="301"/>
      <c r="AG4" s="301"/>
      <c r="AH4" s="301"/>
      <c r="AI4" s="301"/>
      <c r="AJ4" s="301"/>
      <c r="AK4" s="301"/>
    </row>
    <row r="5" spans="1:37" s="302" customFormat="1" ht="50.1" customHeight="1" x14ac:dyDescent="0.3">
      <c r="A5" s="164">
        <f>IF(main!A11&gt;0,main!A11,"")</f>
        <v>3</v>
      </c>
      <c r="B5" s="165" t="str">
        <f>IF(main!A11&gt;0,main!B11,"")</f>
        <v>1394370</v>
      </c>
      <c r="C5" s="164" t="str">
        <f>IF(main!A11&gt;0,main!D11,"")</f>
        <v>ארם גמולים - חברה לניהול קופות גמל בע"מ</v>
      </c>
      <c r="D5" s="164" t="str">
        <f>IF(main!A11&gt;0,main!E11,"")</f>
        <v>ארם-קופת גמל לתגמולים של ארגון הרופאים עובדי מדינה</v>
      </c>
      <c r="E5" s="164" t="str">
        <f>IF(main!A11&gt;0,main!C11,"")</f>
        <v>קופת גמל</v>
      </c>
      <c r="F5" s="298" t="str">
        <f>IF(main!A11&gt;0,main!R11,"")</f>
        <v>02/03/2008</v>
      </c>
      <c r="G5" s="1045">
        <f>main!BG11</f>
        <v>0</v>
      </c>
      <c r="H5" s="164" t="s">
        <v>620</v>
      </c>
      <c r="I5" s="164">
        <f>main!BJ11</f>
        <v>0</v>
      </c>
      <c r="J5" s="164"/>
      <c r="K5" s="299"/>
      <c r="L5" s="300"/>
      <c r="M5" s="300"/>
      <c r="N5" s="300"/>
      <c r="O5" s="1045">
        <f>IFERROR(VLOOKUP(B5,Kupa!$D$6:'Kupa'!$O$54,5,FALSE),0)</f>
        <v>0</v>
      </c>
      <c r="P5" s="1045">
        <f>IFERROR(VLOOKUP(B5,Kupa!$D$6:'Kupa'!$O$54,6,FALSE),0)</f>
        <v>0</v>
      </c>
      <c r="Q5" s="1046">
        <f>IFERROR(VLOOKUP(B5,Kupa!$D$6:'Kupa'!$O$54,7,FALSE),0)</f>
        <v>0</v>
      </c>
      <c r="R5" s="1047">
        <f>IFERROR(VLOOKUP(B5,Kupa!$D$6:'Kupa'!$O$54,8,FALSE),0)</f>
        <v>0</v>
      </c>
      <c r="S5" s="1047">
        <f>IFERROR(VLOOKUP(B5,Kupa!$D$6:'Kupa'!$O$54,9,FALSE),0)</f>
        <v>0</v>
      </c>
      <c r="T5" s="1045">
        <f>IFERROR(VLOOKUP(B5,Kupa!$D$6:'Kupa'!$O$54,10,FALSE),0)</f>
        <v>0</v>
      </c>
      <c r="U5" s="1045">
        <f>IFERROR(VLOOKUP(B5,Kupa!$D$6:'Kupa'!$O$54,11,FALSE),0)</f>
        <v>0</v>
      </c>
      <c r="V5" s="1047">
        <f>IFERROR(VLOOKUP(B5,Kupa!$D$6:'Kupa'!$O$54,12,FALSE),0)</f>
        <v>0</v>
      </c>
      <c r="W5" s="301"/>
      <c r="X5" s="301"/>
      <c r="Y5" s="301"/>
      <c r="Z5" s="301"/>
      <c r="AA5" s="301"/>
      <c r="AB5" s="301"/>
      <c r="AC5" s="301"/>
      <c r="AD5" s="301"/>
      <c r="AE5" s="301"/>
      <c r="AF5" s="301"/>
      <c r="AG5" s="301"/>
      <c r="AH5" s="301"/>
      <c r="AI5" s="301"/>
      <c r="AJ5" s="301"/>
      <c r="AK5" s="301"/>
    </row>
    <row r="6" spans="1:37" s="302" customFormat="1" ht="50.1" customHeight="1" x14ac:dyDescent="0.3">
      <c r="A6" s="164">
        <f>IF(main!A12&gt;0,main!A12,"")</f>
        <v>4</v>
      </c>
      <c r="B6" s="165" t="str">
        <f>IF(main!A12&gt;0,main!B12,"")</f>
        <v>630251455</v>
      </c>
      <c r="C6" s="164" t="str">
        <f>IF(main!A12&gt;0,main!D12,"")</f>
        <v>מגדל מקפת פנסיה וגמל</v>
      </c>
      <c r="D6" s="164" t="str">
        <f>IF(main!A12&gt;0,main!E12,"")</f>
        <v>מקפת אישית</v>
      </c>
      <c r="E6" s="164" t="str">
        <f>IF(main!A12&gt;0,main!C12,"")</f>
        <v>קרן פנסיה</v>
      </c>
      <c r="F6" s="298" t="str">
        <f>IF(main!A12&gt;0,main!R12,"")</f>
        <v>02/03/2008</v>
      </c>
      <c r="G6" s="1045">
        <f>main!BG12</f>
        <v>0</v>
      </c>
      <c r="H6" s="164" t="s">
        <v>620</v>
      </c>
      <c r="I6" s="164">
        <f>main!BJ12</f>
        <v>0</v>
      </c>
      <c r="J6" s="164"/>
      <c r="K6" s="299"/>
      <c r="L6" s="300"/>
      <c r="M6" s="300"/>
      <c r="N6" s="300"/>
      <c r="O6" s="1045">
        <f>IFERROR(VLOOKUP(B6,Kupa!$D$6:'Kupa'!$O$54,5,FALSE),0)</f>
        <v>0.66</v>
      </c>
      <c r="P6" s="1045">
        <f>IFERROR(VLOOKUP(B6,Kupa!$D$6:'Kupa'!$O$54,6,FALSE),0)</f>
        <v>75</v>
      </c>
      <c r="Q6" s="1046">
        <f>IFERROR(VLOOKUP(B6,Kupa!$D$6:'Kupa'!$O$54,7,FALSE),0)</f>
        <v>951.12</v>
      </c>
      <c r="R6" s="1047" t="str">
        <f>IFERROR(VLOOKUP(B6,Kupa!$D$6:'Kupa'!$O$54,8,FALSE),0)</f>
        <v>31/10/2016</v>
      </c>
      <c r="S6" s="1047">
        <f>IFERROR(VLOOKUP(B6,Kupa!$D$6:'Kupa'!$O$54,9,FALSE),0)</f>
        <v>713.34</v>
      </c>
      <c r="T6" s="1045">
        <f>IFERROR(VLOOKUP(B6,Kupa!$D$6:'Kupa'!$O$54,10,FALSE),0)</f>
        <v>16.54</v>
      </c>
      <c r="U6" s="1045">
        <f>IFERROR(VLOOKUP(B6,Kupa!$D$6:'Kupa'!$O$54,11,FALSE),0)</f>
        <v>22.25</v>
      </c>
      <c r="V6" s="1047">
        <f>IFERROR(VLOOKUP(B6,Kupa!$D$6:'Kupa'!$O$54,12,FALSE),0)</f>
        <v>423.25</v>
      </c>
      <c r="W6" s="301"/>
      <c r="X6" s="301"/>
      <c r="Y6" s="301"/>
      <c r="Z6" s="301"/>
      <c r="AA6" s="301"/>
      <c r="AB6" s="301"/>
      <c r="AC6" s="301"/>
      <c r="AD6" s="301"/>
      <c r="AE6" s="301"/>
      <c r="AF6" s="301"/>
      <c r="AG6" s="301"/>
      <c r="AH6" s="301"/>
      <c r="AI6" s="301"/>
      <c r="AJ6" s="301"/>
      <c r="AK6" s="301"/>
    </row>
    <row r="7" spans="1:37" s="302" customFormat="1" ht="50.1" customHeight="1" x14ac:dyDescent="0.3">
      <c r="A7" s="164">
        <f>IF(main!A13&gt;0,main!A13,"")</f>
        <v>5</v>
      </c>
      <c r="B7" s="165" t="str">
        <f>IF(main!A13&gt;0,main!B13,"")</f>
        <v>20047373</v>
      </c>
      <c r="C7" s="164" t="str">
        <f>IF(main!A13&gt;0,main!D13,"")</f>
        <v>מנורה מבטחים פנסיה וגמל בעמ</v>
      </c>
      <c r="D7" s="164" t="str">
        <f>IF(main!A13&gt;0,main!E13,"")</f>
        <v>מנורה מבטחים אמיר כללי</v>
      </c>
      <c r="E7" s="164" t="str">
        <f>IF(main!A13&gt;0,main!C13,"")</f>
        <v>קופת גמל</v>
      </c>
      <c r="F7" s="298" t="str">
        <f>IF(main!A13&gt;0,main!R13,"")</f>
        <v>01/02/2005</v>
      </c>
      <c r="G7" s="1045">
        <f>main!BG13</f>
        <v>0</v>
      </c>
      <c r="H7" s="164" t="s">
        <v>620</v>
      </c>
      <c r="I7" s="164">
        <f>main!BJ13</f>
        <v>0</v>
      </c>
      <c r="J7" s="164"/>
      <c r="K7" s="299"/>
      <c r="L7" s="300"/>
      <c r="M7" s="300"/>
      <c r="N7" s="300"/>
      <c r="O7" s="1045">
        <f>IFERROR(VLOOKUP(B7,Kupa!$D$6:'Kupa'!$O$54,5,FALSE),0)</f>
        <v>0</v>
      </c>
      <c r="P7" s="1045">
        <f>IFERROR(VLOOKUP(B7,Kupa!$D$6:'Kupa'!$O$54,6,FALSE),0)</f>
        <v>0</v>
      </c>
      <c r="Q7" s="1046">
        <f>IFERROR(VLOOKUP(B7,Kupa!$D$6:'Kupa'!$O$54,7,FALSE),0)</f>
        <v>0</v>
      </c>
      <c r="R7" s="1047">
        <f>IFERROR(VLOOKUP(B7,Kupa!$D$6:'Kupa'!$O$54,8,FALSE),0)</f>
        <v>0</v>
      </c>
      <c r="S7" s="1047">
        <f>IFERROR(VLOOKUP(B7,Kupa!$D$6:'Kupa'!$O$54,9,FALSE),0)</f>
        <v>0</v>
      </c>
      <c r="T7" s="1045">
        <f>IFERROR(VLOOKUP(B7,Kupa!$D$6:'Kupa'!$O$54,10,FALSE),0)</f>
        <v>0</v>
      </c>
      <c r="U7" s="1045">
        <f>IFERROR(VLOOKUP(B7,Kupa!$D$6:'Kupa'!$O$54,11,FALSE),0)</f>
        <v>0</v>
      </c>
      <c r="V7" s="1047">
        <f>IFERROR(VLOOKUP(B7,Kupa!$D$6:'Kupa'!$O$54,12,FALSE),0)</f>
        <v>0</v>
      </c>
      <c r="W7" s="301"/>
      <c r="X7" s="301"/>
      <c r="Y7" s="301"/>
      <c r="Z7" s="301"/>
      <c r="AA7" s="301"/>
      <c r="AB7" s="301"/>
      <c r="AC7" s="301"/>
      <c r="AD7" s="301"/>
      <c r="AE7" s="301"/>
      <c r="AF7" s="301"/>
      <c r="AG7" s="301"/>
      <c r="AH7" s="301"/>
      <c r="AI7" s="301"/>
      <c r="AJ7" s="301"/>
      <c r="AK7" s="301"/>
    </row>
    <row r="8" spans="1:37" s="302" customFormat="1" ht="50.1" customHeight="1" x14ac:dyDescent="0.3">
      <c r="A8" s="164">
        <f>IF(main!A14&gt;0,main!A14,"")</f>
        <v>6</v>
      </c>
      <c r="B8" s="165" t="str">
        <f>IF(main!A14&gt;0,main!B14,"")</f>
        <v>2296587</v>
      </c>
      <c r="C8" s="164" t="str">
        <f>IF(main!A14&gt;0,main!D14,"")</f>
        <v>מנורה מבטחים פנסיה וגמל בעמ</v>
      </c>
      <c r="D8" s="164" t="str">
        <f>IF(main!A14&gt;0,main!E14,"")</f>
        <v>מנורה מבטחים תגמולים</v>
      </c>
      <c r="E8" s="164" t="str">
        <f>IF(main!A14&gt;0,main!C14,"")</f>
        <v>קופת גמל</v>
      </c>
      <c r="F8" s="298" t="str">
        <f>IF(main!A14&gt;0,main!R14,"")</f>
        <v>02/01/2005</v>
      </c>
      <c r="G8" s="1045">
        <f>main!BG14</f>
        <v>0</v>
      </c>
      <c r="H8" s="164" t="s">
        <v>620</v>
      </c>
      <c r="I8" s="164">
        <f>main!BJ14</f>
        <v>0</v>
      </c>
      <c r="J8" s="164"/>
      <c r="K8" s="299"/>
      <c r="L8" s="300"/>
      <c r="M8" s="300"/>
      <c r="N8" s="300"/>
      <c r="O8" s="1045">
        <f>IFERROR(VLOOKUP(B8,Kupa!$D$6:'Kupa'!$O$54,5,FALSE),0)</f>
        <v>0</v>
      </c>
      <c r="P8" s="1045">
        <f>IFERROR(VLOOKUP(B8,Kupa!$D$6:'Kupa'!$O$54,6,FALSE),0)</f>
        <v>0</v>
      </c>
      <c r="Q8" s="1046">
        <f>IFERROR(VLOOKUP(B8,Kupa!$D$6:'Kupa'!$O$54,7,FALSE),0)</f>
        <v>0</v>
      </c>
      <c r="R8" s="1047">
        <f>IFERROR(VLOOKUP(B8,Kupa!$D$6:'Kupa'!$O$54,8,FALSE),0)</f>
        <v>0</v>
      </c>
      <c r="S8" s="1047">
        <f>IFERROR(VLOOKUP(B8,Kupa!$D$6:'Kupa'!$O$54,9,FALSE),0)</f>
        <v>0</v>
      </c>
      <c r="T8" s="1045">
        <f>IFERROR(VLOOKUP(B8,Kupa!$D$6:'Kupa'!$O$54,10,FALSE),0)</f>
        <v>0</v>
      </c>
      <c r="U8" s="1045">
        <f>IFERROR(VLOOKUP(B8,Kupa!$D$6:'Kupa'!$O$54,11,FALSE),0)</f>
        <v>0</v>
      </c>
      <c r="V8" s="1047">
        <f>IFERROR(VLOOKUP(B8,Kupa!$D$6:'Kupa'!$O$54,12,FALSE),0)</f>
        <v>0</v>
      </c>
      <c r="W8" s="301"/>
      <c r="X8" s="301"/>
      <c r="Y8" s="301"/>
      <c r="Z8" s="301"/>
      <c r="AA8" s="301"/>
      <c r="AB8" s="301"/>
      <c r="AC8" s="301"/>
      <c r="AD8" s="301"/>
      <c r="AE8" s="301"/>
      <c r="AF8" s="301"/>
      <c r="AG8" s="301"/>
      <c r="AH8" s="301"/>
      <c r="AI8" s="301"/>
      <c r="AJ8" s="301"/>
      <c r="AK8" s="301"/>
    </row>
    <row r="9" spans="1:37" s="302" customFormat="1" ht="50.1" customHeight="1" x14ac:dyDescent="0.3">
      <c r="A9" s="164">
        <f>IF(main!A15&gt;0,main!A15,"")</f>
        <v>7</v>
      </c>
      <c r="B9" s="165" t="str">
        <f>IF(main!A15&gt;0,main!B15,"")</f>
        <v>56078603</v>
      </c>
      <c r="C9" s="164" t="str">
        <f>IF(main!A15&gt;0,main!D15,"")</f>
        <v>מנורה מבטחים פנסיה וגמל בעמ</v>
      </c>
      <c r="D9" s="164" t="str">
        <f>IF(main!A15&gt;0,main!E15,"")</f>
        <v>מבטחים החדשה פלוס</v>
      </c>
      <c r="E9" s="164" t="str">
        <f>IF(main!A15&gt;0,main!C15,"")</f>
        <v>קרן פנסיה</v>
      </c>
      <c r="F9" s="298" t="str">
        <f>IF(main!A15&gt;0,main!R15,"")</f>
        <v>16/08/1994</v>
      </c>
      <c r="G9" s="1045">
        <f>main!BG15</f>
        <v>0</v>
      </c>
      <c r="H9" s="164" t="s">
        <v>620</v>
      </c>
      <c r="I9" s="164">
        <f>main!BJ15</f>
        <v>0</v>
      </c>
      <c r="J9" s="164"/>
      <c r="K9" s="299"/>
      <c r="L9" s="300"/>
      <c r="M9" s="300"/>
      <c r="N9" s="300"/>
      <c r="O9" s="1045">
        <f>IFERROR(VLOOKUP(B9,Kupa!$D$6:'Kupa'!$O$54,5,FALSE),0)</f>
        <v>0</v>
      </c>
      <c r="P9" s="1045">
        <f>IFERROR(VLOOKUP(B9,Kupa!$D$6:'Kupa'!$O$54,6,FALSE),0)</f>
        <v>0</v>
      </c>
      <c r="Q9" s="1046">
        <f>IFERROR(VLOOKUP(B9,Kupa!$D$6:'Kupa'!$O$54,7,FALSE),0)</f>
        <v>0</v>
      </c>
      <c r="R9" s="1047" t="str">
        <f>IFERROR(VLOOKUP(B9,Kupa!$D$6:'Kupa'!$O$54,8,FALSE),0)</f>
        <v>31/10/2016</v>
      </c>
      <c r="S9" s="1047">
        <f>IFERROR(VLOOKUP(B9,Kupa!$D$6:'Kupa'!$O$54,9,FALSE),0)</f>
        <v>0</v>
      </c>
      <c r="T9" s="1045">
        <f>IFERROR(VLOOKUP(B9,Kupa!$D$6:'Kupa'!$O$54,10,FALSE),0)</f>
        <v>0</v>
      </c>
      <c r="U9" s="1045">
        <f>IFERROR(VLOOKUP(B9,Kupa!$D$6:'Kupa'!$O$54,11,FALSE),0)</f>
        <v>0</v>
      </c>
      <c r="V9" s="1047">
        <f>IFERROR(VLOOKUP(B9,Kupa!$D$6:'Kupa'!$O$54,12,FALSE),0)</f>
        <v>0</v>
      </c>
      <c r="W9" s="301"/>
      <c r="X9" s="301"/>
      <c r="Y9" s="301"/>
      <c r="Z9" s="301"/>
      <c r="AA9" s="301"/>
      <c r="AB9" s="301"/>
      <c r="AC9" s="301"/>
      <c r="AD9" s="301"/>
      <c r="AE9" s="301"/>
      <c r="AF9" s="301"/>
      <c r="AG9" s="301"/>
      <c r="AH9" s="301"/>
      <c r="AI9" s="301"/>
      <c r="AJ9" s="301"/>
      <c r="AK9" s="301"/>
    </row>
    <row r="10" spans="1:37" s="302" customFormat="1" ht="50.1" customHeight="1" x14ac:dyDescent="0.3">
      <c r="A10" s="164">
        <f>IF(main!A16&gt;0,main!A16,"")</f>
        <v>8</v>
      </c>
      <c r="B10" s="165" t="str">
        <f>IF(main!A16&gt;0,main!B16,"")</f>
        <v>4355788</v>
      </c>
      <c r="C10" s="164" t="str">
        <f>IF(main!A16&gt;0,main!D16,"")</f>
        <v xml:space="preserve">אלטשולר שחם  גמל ופנסיה </v>
      </c>
      <c r="D10" s="164" t="str">
        <f>IF(main!A16&gt;0,main!E16,"")</f>
        <v>אלטשולר שחם גמל</v>
      </c>
      <c r="E10" s="164" t="str">
        <f>IF(main!A16&gt;0,main!C16,"")</f>
        <v>קופת גמל</v>
      </c>
      <c r="F10" s="298" t="str">
        <f>IF(main!A16&gt;0,main!R16,"")</f>
        <v>01/01/2007</v>
      </c>
      <c r="G10" s="1045">
        <f>main!BG16</f>
        <v>0</v>
      </c>
      <c r="H10" s="164" t="s">
        <v>620</v>
      </c>
      <c r="I10" s="164">
        <f>main!BJ16</f>
        <v>0</v>
      </c>
      <c r="J10" s="164"/>
      <c r="K10" s="299"/>
      <c r="L10" s="300"/>
      <c r="M10" s="300"/>
      <c r="N10" s="300"/>
      <c r="O10" s="1045">
        <f>IFERROR(VLOOKUP(B10,Kupa!$D$6:'Kupa'!$O$54,5,FALSE),0)</f>
        <v>0</v>
      </c>
      <c r="P10" s="1045">
        <f>IFERROR(VLOOKUP(B10,Kupa!$D$6:'Kupa'!$O$54,6,FALSE),0)</f>
        <v>0</v>
      </c>
      <c r="Q10" s="1046">
        <f>IFERROR(VLOOKUP(B10,Kupa!$D$6:'Kupa'!$O$54,7,FALSE),0)</f>
        <v>0</v>
      </c>
      <c r="R10" s="1047">
        <f>IFERROR(VLOOKUP(B10,Kupa!$D$6:'Kupa'!$O$54,8,FALSE),0)</f>
        <v>0</v>
      </c>
      <c r="S10" s="1047">
        <f>IFERROR(VLOOKUP(B10,Kupa!$D$6:'Kupa'!$O$54,9,FALSE),0)</f>
        <v>0</v>
      </c>
      <c r="T10" s="1045">
        <f>IFERROR(VLOOKUP(B10,Kupa!$D$6:'Kupa'!$O$54,10,FALSE),0)</f>
        <v>0</v>
      </c>
      <c r="U10" s="1045">
        <f>IFERROR(VLOOKUP(B10,Kupa!$D$6:'Kupa'!$O$54,11,FALSE),0)</f>
        <v>0</v>
      </c>
      <c r="V10" s="1047">
        <f>IFERROR(VLOOKUP(B10,Kupa!$D$6:'Kupa'!$O$54,12,FALSE),0)</f>
        <v>0</v>
      </c>
      <c r="W10" s="301"/>
      <c r="X10" s="301"/>
      <c r="Y10" s="301"/>
      <c r="Z10" s="301"/>
      <c r="AA10" s="301"/>
      <c r="AB10" s="301"/>
      <c r="AC10" s="301"/>
      <c r="AD10" s="301"/>
      <c r="AE10" s="301"/>
      <c r="AF10" s="301"/>
      <c r="AG10" s="301"/>
      <c r="AH10" s="301"/>
      <c r="AI10" s="301"/>
      <c r="AJ10" s="301"/>
      <c r="AK10" s="301"/>
    </row>
    <row r="11" spans="1:37" s="302" customFormat="1" ht="50.1" customHeight="1" x14ac:dyDescent="0.3">
      <c r="A11" s="164">
        <f>IF(main!A17&gt;0,main!A17,"")</f>
        <v>9</v>
      </c>
      <c r="B11" s="165" t="str">
        <f>IF(main!A17&gt;0,main!B17,"")</f>
        <v>69002</v>
      </c>
      <c r="C11" s="164" t="str">
        <f>IF(main!A17&gt;0,main!D17,"")</f>
        <v>פסגות קופות גמל ופנסיה בע"מ</v>
      </c>
      <c r="D11" s="164" t="str">
        <f>IF(main!A17&gt;0,main!E17,"")</f>
        <v>תשורה מקיפה</v>
      </c>
      <c r="E11" s="164" t="str">
        <f>IF(main!A17&gt;0,main!C17,"")</f>
        <v>קרן פנסיה</v>
      </c>
      <c r="F11" s="298" t="str">
        <f>IF(main!A17&gt;0,main!R17,"")</f>
        <v>01/02/2015</v>
      </c>
      <c r="G11" s="1045">
        <f>main!BG17</f>
        <v>0</v>
      </c>
      <c r="H11" s="164" t="s">
        <v>620</v>
      </c>
      <c r="I11" s="164">
        <f>main!BJ17</f>
        <v>0</v>
      </c>
      <c r="J11" s="164"/>
      <c r="K11" s="299"/>
      <c r="L11" s="300"/>
      <c r="M11" s="300"/>
      <c r="N11" s="300"/>
      <c r="O11" s="1045">
        <f>IFERROR(VLOOKUP(B11,Kupa!$D$6:'Kupa'!$O$54,5,FALSE),0)</f>
        <v>0</v>
      </c>
      <c r="P11" s="1045">
        <f>IFERROR(VLOOKUP(B11,Kupa!$D$6:'Kupa'!$O$54,6,FALSE),0)</f>
        <v>0</v>
      </c>
      <c r="Q11" s="1046">
        <f>IFERROR(VLOOKUP(B11,Kupa!$D$6:'Kupa'!$O$54,7,FALSE),0)</f>
        <v>0</v>
      </c>
      <c r="R11" s="1047">
        <f>IFERROR(VLOOKUP(B11,Kupa!$D$6:'Kupa'!$O$54,8,FALSE),0)</f>
        <v>0</v>
      </c>
      <c r="S11" s="1047">
        <f>IFERROR(VLOOKUP(B11,Kupa!$D$6:'Kupa'!$O$54,9,FALSE),0)</f>
        <v>0</v>
      </c>
      <c r="T11" s="1045">
        <f>IFERROR(VLOOKUP(B11,Kupa!$D$6:'Kupa'!$O$54,10,FALSE),0)</f>
        <v>0</v>
      </c>
      <c r="U11" s="1045">
        <f>IFERROR(VLOOKUP(B11,Kupa!$D$6:'Kupa'!$O$54,11,FALSE),0)</f>
        <v>0</v>
      </c>
      <c r="V11" s="1047">
        <f>IFERROR(VLOOKUP(B11,Kupa!$D$6:'Kupa'!$O$54,12,FALSE),0)</f>
        <v>0</v>
      </c>
      <c r="W11" s="301"/>
      <c r="X11" s="301"/>
      <c r="Y11" s="301"/>
      <c r="Z11" s="301"/>
      <c r="AA11" s="301"/>
      <c r="AB11" s="301"/>
      <c r="AC11" s="301"/>
      <c r="AD11" s="301"/>
      <c r="AE11" s="301"/>
      <c r="AF11" s="301"/>
      <c r="AG11" s="301"/>
      <c r="AH11" s="301"/>
      <c r="AI11" s="301"/>
      <c r="AJ11" s="301"/>
      <c r="AK11" s="301"/>
    </row>
    <row r="12" spans="1:37" s="302" customFormat="1" ht="50.1" customHeight="1" x14ac:dyDescent="0.3">
      <c r="A12" s="164">
        <f>IF(main!A18&gt;0,main!A18,"")</f>
        <v>10</v>
      </c>
      <c r="B12" s="165" t="str">
        <f>IF(main!A18&gt;0,main!B18,"")</f>
        <v>911245475</v>
      </c>
      <c r="C12" s="164" t="str">
        <f>IF(main!A18&gt;0,main!D18,"")</f>
        <v>הראל חברה לביטוח בע"מ</v>
      </c>
      <c r="D12" s="164" t="str">
        <f>IF(main!A18&gt;0,main!E18,"")</f>
        <v xml:space="preserve">הראל מגוון עסקי למנהלים                           </v>
      </c>
      <c r="E12" s="164" t="str">
        <f>IF(main!A18&gt;0,main!C18,"")</f>
        <v>פוליסת ביטוח חיים משולב חיסכון</v>
      </c>
      <c r="F12" s="298" t="str">
        <f>IF(main!A18&gt;0,main!R18,"")</f>
        <v>01/02/1999</v>
      </c>
      <c r="G12" s="1045">
        <f>main!BG18</f>
        <v>0</v>
      </c>
      <c r="H12" s="164" t="s">
        <v>620</v>
      </c>
      <c r="I12" s="164">
        <f>main!BJ18</f>
        <v>0</v>
      </c>
      <c r="J12" s="164"/>
      <c r="K12" s="299"/>
      <c r="L12" s="300"/>
      <c r="M12" s="300"/>
      <c r="N12" s="300"/>
      <c r="O12" s="1045">
        <f>IFERROR(VLOOKUP(B12,Kupa!$D$6:'Kupa'!$O$54,5,FALSE),0)</f>
        <v>0</v>
      </c>
      <c r="P12" s="1045">
        <f>IFERROR(VLOOKUP(B12,Kupa!$D$6:'Kupa'!$O$54,6,FALSE),0)</f>
        <v>0</v>
      </c>
      <c r="Q12" s="1046">
        <f>IFERROR(VLOOKUP(B12,Kupa!$D$6:'Kupa'!$O$54,7,FALSE),0)</f>
        <v>0</v>
      </c>
      <c r="R12" s="1047">
        <f>IFERROR(VLOOKUP(B12,Kupa!$D$6:'Kupa'!$O$54,8,FALSE),0)</f>
        <v>0</v>
      </c>
      <c r="S12" s="1047">
        <f>IFERROR(VLOOKUP(B12,Kupa!$D$6:'Kupa'!$O$54,9,FALSE),0)</f>
        <v>0</v>
      </c>
      <c r="T12" s="1045">
        <f>IFERROR(VLOOKUP(B12,Kupa!$D$6:'Kupa'!$O$54,10,FALSE),0)</f>
        <v>0</v>
      </c>
      <c r="U12" s="1045">
        <f>IFERROR(VLOOKUP(B12,Kupa!$D$6:'Kupa'!$O$54,11,FALSE),0)</f>
        <v>0</v>
      </c>
      <c r="V12" s="1047">
        <f>IFERROR(VLOOKUP(B12,Kupa!$D$6:'Kupa'!$O$54,12,FALSE),0)</f>
        <v>0</v>
      </c>
      <c r="W12" s="301"/>
      <c r="X12" s="301"/>
      <c r="Y12" s="301"/>
      <c r="Z12" s="301"/>
      <c r="AA12" s="301"/>
      <c r="AB12" s="301"/>
      <c r="AC12" s="301"/>
      <c r="AD12" s="301"/>
      <c r="AE12" s="301"/>
      <c r="AF12" s="301"/>
      <c r="AG12" s="301"/>
      <c r="AH12" s="301"/>
      <c r="AI12" s="301"/>
      <c r="AJ12" s="301"/>
      <c r="AK12" s="301"/>
    </row>
    <row r="13" spans="1:37" s="302" customFormat="1" ht="50.1" customHeight="1" x14ac:dyDescent="0.3">
      <c r="A13" s="164">
        <f>IF(main!A19&gt;0,main!A19,"")</f>
        <v>11</v>
      </c>
      <c r="B13" s="165" t="str">
        <f>IF(main!A19&gt;0,main!B19,"")</f>
        <v>922972106</v>
      </c>
      <c r="C13" s="164" t="str">
        <f>IF(main!A19&gt;0,main!D19,"")</f>
        <v>הראל חברה לביטוח בע"מ</v>
      </c>
      <c r="D13" s="164" t="str">
        <f>IF(main!A19&gt;0,main!E19,"")</f>
        <v xml:space="preserve">מגוון לשכירים קצבה לא משלמת                       </v>
      </c>
      <c r="E13" s="164" t="str">
        <f>IF(main!A19&gt;0,main!C19,"")</f>
        <v>פוליסת ביטוח חיים משולב חיסכון</v>
      </c>
      <c r="F13" s="298" t="str">
        <f>IF(main!A19&gt;0,main!R19,"")</f>
        <v>01/02/2000</v>
      </c>
      <c r="G13" s="1045">
        <f>main!BG19</f>
        <v>0</v>
      </c>
      <c r="H13" s="164" t="s">
        <v>620</v>
      </c>
      <c r="I13" s="164">
        <f>main!BJ19</f>
        <v>0</v>
      </c>
      <c r="J13" s="164"/>
      <c r="K13" s="299"/>
      <c r="L13" s="300"/>
      <c r="M13" s="300"/>
      <c r="N13" s="300"/>
      <c r="O13" s="1045">
        <f>IFERROR(VLOOKUP(B13,Kupa!$D$6:'Kupa'!$O$54,5,FALSE),0)</f>
        <v>0</v>
      </c>
      <c r="P13" s="1045">
        <f>IFERROR(VLOOKUP(B13,Kupa!$D$6:'Kupa'!$O$54,6,FALSE),0)</f>
        <v>0</v>
      </c>
      <c r="Q13" s="1046">
        <f>IFERROR(VLOOKUP(B13,Kupa!$D$6:'Kupa'!$O$54,7,FALSE),0)</f>
        <v>0</v>
      </c>
      <c r="R13" s="1047">
        <f>IFERROR(VLOOKUP(B13,Kupa!$D$6:'Kupa'!$O$54,8,FALSE),0)</f>
        <v>0</v>
      </c>
      <c r="S13" s="1047">
        <f>IFERROR(VLOOKUP(B13,Kupa!$D$6:'Kupa'!$O$54,9,FALSE),0)</f>
        <v>0</v>
      </c>
      <c r="T13" s="1045">
        <f>IFERROR(VLOOKUP(B13,Kupa!$D$6:'Kupa'!$O$54,10,FALSE),0)</f>
        <v>0</v>
      </c>
      <c r="U13" s="1045">
        <f>IFERROR(VLOOKUP(B13,Kupa!$D$6:'Kupa'!$O$54,11,FALSE),0)</f>
        <v>0</v>
      </c>
      <c r="V13" s="1047">
        <f>IFERROR(VLOOKUP(B13,Kupa!$D$6:'Kupa'!$O$54,12,FALSE),0)</f>
        <v>0</v>
      </c>
      <c r="W13" s="301"/>
      <c r="X13" s="301"/>
      <c r="Y13" s="301"/>
      <c r="Z13" s="301"/>
      <c r="AA13" s="301"/>
      <c r="AB13" s="301"/>
      <c r="AC13" s="301"/>
      <c r="AD13" s="301"/>
      <c r="AE13" s="301"/>
      <c r="AF13" s="301"/>
      <c r="AG13" s="301"/>
      <c r="AH13" s="301"/>
      <c r="AI13" s="301"/>
      <c r="AJ13" s="301"/>
      <c r="AK13" s="301"/>
    </row>
    <row r="14" spans="1:37" s="302" customFormat="1" ht="50.1" customHeight="1" x14ac:dyDescent="0.3">
      <c r="A14" s="164">
        <f>IF(main!A20&gt;0,main!A20,"")</f>
        <v>12</v>
      </c>
      <c r="B14" s="165" t="str">
        <f>IF(main!A20&gt;0,main!B20,"")</f>
        <v>411113798</v>
      </c>
      <c r="C14" s="164" t="str">
        <f>IF(main!A20&gt;0,main!D20,"")</f>
        <v>מגדל</v>
      </c>
      <c r="D14" s="164" t="str">
        <f>IF(main!A20&gt;0,main!E20,"")</f>
        <v>יותר</v>
      </c>
      <c r="E14" s="164" t="str">
        <f>IF(main!A20&gt;0,main!C20,"")</f>
        <v>פוליסת ביטוח חיים משולב חיסכון</v>
      </c>
      <c r="F14" s="298" t="str">
        <f>IF(main!A20&gt;0,main!R20,"")</f>
        <v>01/01/1999</v>
      </c>
      <c r="G14" s="1045">
        <f>main!BG20</f>
        <v>1124360.3391645504</v>
      </c>
      <c r="H14" s="164" t="s">
        <v>620</v>
      </c>
      <c r="I14" s="164">
        <f>main!BJ20</f>
        <v>0</v>
      </c>
      <c r="J14" s="164"/>
      <c r="K14" s="299"/>
      <c r="L14" s="300"/>
      <c r="M14" s="300"/>
      <c r="N14" s="300"/>
      <c r="O14" s="1045">
        <f>IFERROR(VLOOKUP(B14,Kupa!$D$6:'Kupa'!$O$54,5,FALSE),0)</f>
        <v>0</v>
      </c>
      <c r="P14" s="1045">
        <f>IFERROR(VLOOKUP(B14,Kupa!$D$6:'Kupa'!$O$54,6,FALSE),0)</f>
        <v>0</v>
      </c>
      <c r="Q14" s="1046">
        <f>IFERROR(VLOOKUP(B14,Kupa!$D$6:'Kupa'!$O$54,7,FALSE),0)</f>
        <v>0</v>
      </c>
      <c r="R14" s="1047">
        <f>IFERROR(VLOOKUP(B14,Kupa!$D$6:'Kupa'!$O$54,8,FALSE),0)</f>
        <v>0</v>
      </c>
      <c r="S14" s="1047">
        <f>IFERROR(VLOOKUP(B14,Kupa!$D$6:'Kupa'!$O$54,9,FALSE),0)</f>
        <v>0</v>
      </c>
      <c r="T14" s="1045">
        <f>IFERROR(VLOOKUP(B14,Kupa!$D$6:'Kupa'!$O$54,10,FALSE),0)</f>
        <v>0</v>
      </c>
      <c r="U14" s="1045">
        <f>IFERROR(VLOOKUP(B14,Kupa!$D$6:'Kupa'!$O$54,11,FALSE),0)</f>
        <v>0</v>
      </c>
      <c r="V14" s="1047">
        <f>IFERROR(VLOOKUP(B14,Kupa!$D$6:'Kupa'!$O$54,12,FALSE),0)</f>
        <v>0</v>
      </c>
      <c r="W14" s="301"/>
      <c r="X14" s="301"/>
      <c r="Y14" s="301"/>
      <c r="Z14" s="301"/>
      <c r="AA14" s="301"/>
      <c r="AB14" s="301"/>
      <c r="AC14" s="301"/>
      <c r="AD14" s="301"/>
      <c r="AE14" s="301"/>
      <c r="AF14" s="301"/>
      <c r="AG14" s="301"/>
      <c r="AH14" s="301"/>
      <c r="AI14" s="301"/>
      <c r="AJ14" s="301"/>
      <c r="AK14" s="301"/>
    </row>
    <row r="15" spans="1:37" s="302" customFormat="1" ht="50.1" customHeight="1" x14ac:dyDescent="0.3">
      <c r="A15" s="164">
        <f>IF(main!A21&gt;0,main!A21,"")</f>
        <v>13</v>
      </c>
      <c r="B15" s="165" t="str">
        <f>IF(main!A21&gt;0,main!B21,"")</f>
        <v>411138484</v>
      </c>
      <c r="C15" s="164" t="str">
        <f>IF(main!A21&gt;0,main!D21,"")</f>
        <v>מגדל</v>
      </c>
      <c r="D15" s="164" t="str">
        <f>IF(main!A21&gt;0,main!E21,"")</f>
        <v>יותר הון</v>
      </c>
      <c r="E15" s="164" t="str">
        <f>IF(main!A21&gt;0,main!C21,"")</f>
        <v>פוליסת ביטוח חיים משולב חיסכון</v>
      </c>
      <c r="F15" s="298" t="str">
        <f>IF(main!A21&gt;0,main!R21,"")</f>
        <v>01/07/1988</v>
      </c>
      <c r="G15" s="1045">
        <f>main!BG21</f>
        <v>0</v>
      </c>
      <c r="H15" s="164" t="s">
        <v>620</v>
      </c>
      <c r="I15" s="164">
        <f>main!BJ21</f>
        <v>0</v>
      </c>
      <c r="J15" s="164"/>
      <c r="K15" s="299"/>
      <c r="L15" s="300"/>
      <c r="M15" s="300"/>
      <c r="N15" s="300"/>
      <c r="O15" s="1045">
        <f>IFERROR(VLOOKUP(B15,Kupa!$D$6:'Kupa'!$O$54,5,FALSE),0)</f>
        <v>0</v>
      </c>
      <c r="P15" s="1045">
        <f>IFERROR(VLOOKUP(B15,Kupa!$D$6:'Kupa'!$O$54,6,FALSE),0)</f>
        <v>0</v>
      </c>
      <c r="Q15" s="1046">
        <f>IFERROR(VLOOKUP(B15,Kupa!$D$6:'Kupa'!$O$54,7,FALSE),0)</f>
        <v>0</v>
      </c>
      <c r="R15" s="1047">
        <f>IFERROR(VLOOKUP(B15,Kupa!$D$6:'Kupa'!$O$54,8,FALSE),0)</f>
        <v>0</v>
      </c>
      <c r="S15" s="1047">
        <f>IFERROR(VLOOKUP(B15,Kupa!$D$6:'Kupa'!$O$54,9,FALSE),0)</f>
        <v>0</v>
      </c>
      <c r="T15" s="1045">
        <f>IFERROR(VLOOKUP(B15,Kupa!$D$6:'Kupa'!$O$54,10,FALSE),0)</f>
        <v>0</v>
      </c>
      <c r="U15" s="1045">
        <f>IFERROR(VLOOKUP(B15,Kupa!$D$6:'Kupa'!$O$54,11,FALSE),0)</f>
        <v>0</v>
      </c>
      <c r="V15" s="1047">
        <f>IFERROR(VLOOKUP(B15,Kupa!$D$6:'Kupa'!$O$54,12,FALSE),0)</f>
        <v>0</v>
      </c>
      <c r="W15" s="301"/>
      <c r="X15" s="301"/>
      <c r="Y15" s="301"/>
      <c r="Z15" s="301"/>
      <c r="AA15" s="301"/>
      <c r="AB15" s="301"/>
      <c r="AC15" s="301"/>
      <c r="AD15" s="301"/>
      <c r="AE15" s="301"/>
      <c r="AF15" s="301"/>
      <c r="AG15" s="301"/>
      <c r="AH15" s="301"/>
      <c r="AI15" s="301"/>
      <c r="AJ15" s="301"/>
      <c r="AK15" s="301"/>
    </row>
    <row r="16" spans="1:37" s="302" customFormat="1" ht="50.1" customHeight="1" x14ac:dyDescent="0.3">
      <c r="A16" s="164">
        <f>IF(main!A22&gt;0,main!A22,"")</f>
        <v>14</v>
      </c>
      <c r="B16" s="165" t="str">
        <f>IF(main!A22&gt;0,main!B22,"")</f>
        <v>323406232</v>
      </c>
      <c r="C16" s="164" t="str">
        <f>IF(main!A22&gt;0,main!D22,"")</f>
        <v>מגדל</v>
      </c>
      <c r="D16" s="164" t="str">
        <f>IF(main!A22&gt;0,main!E22,"")</f>
        <v>יותר</v>
      </c>
      <c r="E16" s="164" t="str">
        <f>IF(main!A22&gt;0,main!C22,"")</f>
        <v>פוליסת ביטוח חיים משולב חיסכון</v>
      </c>
      <c r="F16" s="298" t="str">
        <f>IF(main!A22&gt;0,main!R22,"")</f>
        <v>01/07/1994</v>
      </c>
      <c r="G16" s="1045">
        <f>main!BG22</f>
        <v>1759495.9943612264</v>
      </c>
      <c r="H16" s="164" t="s">
        <v>620</v>
      </c>
      <c r="I16" s="164">
        <f>main!BJ22</f>
        <v>0</v>
      </c>
      <c r="J16" s="164"/>
      <c r="K16" s="299"/>
      <c r="L16" s="300"/>
      <c r="M16" s="300"/>
      <c r="N16" s="300"/>
      <c r="O16" s="1045">
        <f>IFERROR(VLOOKUP(B16,Kupa!$D$6:'Kupa'!$O$54,5,FALSE),0)</f>
        <v>0</v>
      </c>
      <c r="P16" s="1045">
        <f>IFERROR(VLOOKUP(B16,Kupa!$D$6:'Kupa'!$O$54,6,FALSE),0)</f>
        <v>0</v>
      </c>
      <c r="Q16" s="1046">
        <f>IFERROR(VLOOKUP(B16,Kupa!$D$6:'Kupa'!$O$54,7,FALSE),0)</f>
        <v>0</v>
      </c>
      <c r="R16" s="1047">
        <f>IFERROR(VLOOKUP(B16,Kupa!$D$6:'Kupa'!$O$54,8,FALSE),0)</f>
        <v>0</v>
      </c>
      <c r="S16" s="1047">
        <f>IFERROR(VLOOKUP(B16,Kupa!$D$6:'Kupa'!$O$54,9,FALSE),0)</f>
        <v>0</v>
      </c>
      <c r="T16" s="1045">
        <f>IFERROR(VLOOKUP(B16,Kupa!$D$6:'Kupa'!$O$54,10,FALSE),0)</f>
        <v>0</v>
      </c>
      <c r="U16" s="1045">
        <f>IFERROR(VLOOKUP(B16,Kupa!$D$6:'Kupa'!$O$54,11,FALSE),0)</f>
        <v>0</v>
      </c>
      <c r="V16" s="1047">
        <f>IFERROR(VLOOKUP(B16,Kupa!$D$6:'Kupa'!$O$54,12,FALSE),0)</f>
        <v>0</v>
      </c>
      <c r="W16" s="301"/>
      <c r="X16" s="301"/>
      <c r="Y16" s="301"/>
      <c r="Z16" s="301"/>
      <c r="AA16" s="301"/>
      <c r="AB16" s="301"/>
      <c r="AC16" s="301"/>
      <c r="AD16" s="301"/>
      <c r="AE16" s="301"/>
      <c r="AF16" s="301"/>
      <c r="AG16" s="301"/>
      <c r="AH16" s="301"/>
      <c r="AI16" s="301"/>
      <c r="AJ16" s="301"/>
      <c r="AK16" s="301"/>
    </row>
    <row r="17" spans="1:37" s="302" customFormat="1" ht="50.1" customHeight="1" x14ac:dyDescent="0.3">
      <c r="A17" s="164">
        <f>IF(main!A23&gt;0,main!A23,"")</f>
        <v>15</v>
      </c>
      <c r="B17" s="165" t="str">
        <f>IF(main!A23&gt;0,main!B23,"")</f>
        <v>730141236</v>
      </c>
      <c r="C17" s="164" t="str">
        <f>IF(main!A23&gt;0,main!D23,"")</f>
        <v>מגדל</v>
      </c>
      <c r="D17" s="164" t="str">
        <f>IF(main!A23&gt;0,main!E23,"")</f>
        <v>יותר</v>
      </c>
      <c r="E17" s="164" t="str">
        <f>IF(main!A23&gt;0,main!C23,"")</f>
        <v>פוליסת ביטוח חיים משולב חיסכון</v>
      </c>
      <c r="F17" s="298" t="str">
        <f>IF(main!A23&gt;0,main!R23,"")</f>
        <v>01/12/1998</v>
      </c>
      <c r="G17" s="1045">
        <f>main!BG23</f>
        <v>0</v>
      </c>
      <c r="H17" s="164" t="s">
        <v>620</v>
      </c>
      <c r="I17" s="164">
        <f>main!BJ23</f>
        <v>0</v>
      </c>
      <c r="J17" s="164"/>
      <c r="K17" s="299"/>
      <c r="L17" s="300"/>
      <c r="M17" s="300"/>
      <c r="N17" s="300"/>
      <c r="O17" s="1045">
        <f>IFERROR(VLOOKUP(B17,Kupa!$D$6:'Kupa'!$O$54,5,FALSE),0)</f>
        <v>0</v>
      </c>
      <c r="P17" s="1045">
        <f>IFERROR(VLOOKUP(B17,Kupa!$D$6:'Kupa'!$O$54,6,FALSE),0)</f>
        <v>0</v>
      </c>
      <c r="Q17" s="1046">
        <f>IFERROR(VLOOKUP(B17,Kupa!$D$6:'Kupa'!$O$54,7,FALSE),0)</f>
        <v>0</v>
      </c>
      <c r="R17" s="1047">
        <f>IFERROR(VLOOKUP(B17,Kupa!$D$6:'Kupa'!$O$54,8,FALSE),0)</f>
        <v>0</v>
      </c>
      <c r="S17" s="1047">
        <f>IFERROR(VLOOKUP(B17,Kupa!$D$6:'Kupa'!$O$54,9,FALSE),0)</f>
        <v>0</v>
      </c>
      <c r="T17" s="1045">
        <f>IFERROR(VLOOKUP(B17,Kupa!$D$6:'Kupa'!$O$54,10,FALSE),0)</f>
        <v>0</v>
      </c>
      <c r="U17" s="1045">
        <f>IFERROR(VLOOKUP(B17,Kupa!$D$6:'Kupa'!$O$54,11,FALSE),0)</f>
        <v>0</v>
      </c>
      <c r="V17" s="1047">
        <f>IFERROR(VLOOKUP(B17,Kupa!$D$6:'Kupa'!$O$54,12,FALSE),0)</f>
        <v>0</v>
      </c>
      <c r="W17" s="301"/>
      <c r="X17" s="301"/>
      <c r="Y17" s="301"/>
      <c r="Z17" s="301"/>
      <c r="AA17" s="301"/>
      <c r="AB17" s="301"/>
      <c r="AC17" s="301"/>
      <c r="AD17" s="301"/>
      <c r="AE17" s="301"/>
      <c r="AF17" s="301"/>
      <c r="AG17" s="301"/>
      <c r="AH17" s="301"/>
      <c r="AI17" s="301"/>
      <c r="AJ17" s="301"/>
      <c r="AK17" s="301"/>
    </row>
    <row r="18" spans="1:37" s="302" customFormat="1" ht="50.1" customHeight="1" x14ac:dyDescent="0.3">
      <c r="A18" s="164">
        <f>IF(main!A24&gt;0,main!A24,"")</f>
        <v>16</v>
      </c>
      <c r="B18" s="165" t="str">
        <f>IF(main!A24&gt;0,main!B24,"")</f>
        <v>323158955</v>
      </c>
      <c r="C18" s="164" t="str">
        <f>IF(main!A24&gt;0,main!D24,"")</f>
        <v>מגדל</v>
      </c>
      <c r="D18" s="164" t="str">
        <f>IF(main!A24&gt;0,main!E24,"")</f>
        <v>יותר</v>
      </c>
      <c r="E18" s="164" t="str">
        <f>IF(main!A24&gt;0,main!C24,"")</f>
        <v>פוליסת ביטוח חיים משולב חיסכון</v>
      </c>
      <c r="F18" s="298" t="str">
        <f>IF(main!A24&gt;0,main!R24,"")</f>
        <v>01/03/1984</v>
      </c>
      <c r="G18" s="1045">
        <f>main!BG24</f>
        <v>26636364.995581325</v>
      </c>
      <c r="H18" s="164" t="s">
        <v>620</v>
      </c>
      <c r="I18" s="164">
        <f>main!BJ24</f>
        <v>0</v>
      </c>
      <c r="J18" s="164"/>
      <c r="K18" s="299"/>
      <c r="L18" s="300"/>
      <c r="M18" s="300"/>
      <c r="N18" s="300"/>
      <c r="O18" s="1045">
        <f>IFERROR(VLOOKUP(B18,Kupa!$D$6:'Kupa'!$O$54,5,FALSE),0)</f>
        <v>0</v>
      </c>
      <c r="P18" s="1045">
        <f>IFERROR(VLOOKUP(B18,Kupa!$D$6:'Kupa'!$O$54,6,FALSE),0)</f>
        <v>0</v>
      </c>
      <c r="Q18" s="1046">
        <f>IFERROR(VLOOKUP(B18,Kupa!$D$6:'Kupa'!$O$54,7,FALSE),0)</f>
        <v>0</v>
      </c>
      <c r="R18" s="1047">
        <f>IFERROR(VLOOKUP(B18,Kupa!$D$6:'Kupa'!$O$54,8,FALSE),0)</f>
        <v>0</v>
      </c>
      <c r="S18" s="1047">
        <f>IFERROR(VLOOKUP(B18,Kupa!$D$6:'Kupa'!$O$54,9,FALSE),0)</f>
        <v>0</v>
      </c>
      <c r="T18" s="1045">
        <f>IFERROR(VLOOKUP(B18,Kupa!$D$6:'Kupa'!$O$54,10,FALSE),0)</f>
        <v>0</v>
      </c>
      <c r="U18" s="1045">
        <f>IFERROR(VLOOKUP(B18,Kupa!$D$6:'Kupa'!$O$54,11,FALSE),0)</f>
        <v>0</v>
      </c>
      <c r="V18" s="1047">
        <f>IFERROR(VLOOKUP(B18,Kupa!$D$6:'Kupa'!$O$54,12,FALSE),0)</f>
        <v>0</v>
      </c>
      <c r="W18" s="301"/>
      <c r="X18" s="301"/>
      <c r="Y18" s="301"/>
      <c r="Z18" s="301"/>
      <c r="AA18" s="301"/>
      <c r="AB18" s="301"/>
      <c r="AC18" s="301"/>
      <c r="AD18" s="301"/>
      <c r="AE18" s="301"/>
      <c r="AF18" s="301"/>
      <c r="AG18" s="301"/>
      <c r="AH18" s="301"/>
      <c r="AI18" s="301"/>
      <c r="AJ18" s="301"/>
      <c r="AK18" s="301"/>
    </row>
    <row r="19" spans="1:37" s="302" customFormat="1" ht="50.1" customHeight="1" x14ac:dyDescent="0.3">
      <c r="A19" s="164">
        <f>IF(main!A25&gt;0,main!A25,"")</f>
        <v>17</v>
      </c>
      <c r="B19" s="165" t="str">
        <f>IF(main!A25&gt;0,main!B25,"")</f>
        <v>323405593</v>
      </c>
      <c r="C19" s="164" t="str">
        <f>IF(main!A25&gt;0,main!D25,"")</f>
        <v>מגדל</v>
      </c>
      <c r="D19" s="164" t="str">
        <f>IF(main!A25&gt;0,main!E25,"")</f>
        <v>יותר</v>
      </c>
      <c r="E19" s="164" t="str">
        <f>IF(main!A25&gt;0,main!C25,"")</f>
        <v>פוליסת ביטוח חיים משולב חיסכון</v>
      </c>
      <c r="F19" s="298">
        <f>IF(main!A25&gt;0,main!R25,"")</f>
        <v>0</v>
      </c>
      <c r="G19" s="1045">
        <f>main!BG25</f>
        <v>0</v>
      </c>
      <c r="H19" s="164" t="s">
        <v>620</v>
      </c>
      <c r="I19" s="164">
        <f>main!BJ25</f>
        <v>0</v>
      </c>
      <c r="J19" s="164"/>
      <c r="K19" s="299"/>
      <c r="L19" s="300"/>
      <c r="M19" s="300"/>
      <c r="N19" s="303"/>
      <c r="O19" s="1045">
        <f>IFERROR(VLOOKUP(B19,Kupa!$D$6:'Kupa'!$O$54,5,FALSE),0)</f>
        <v>0</v>
      </c>
      <c r="P19" s="1045">
        <f>IFERROR(VLOOKUP(B19,Kupa!$D$6:'Kupa'!$O$54,6,FALSE),0)</f>
        <v>0</v>
      </c>
      <c r="Q19" s="1046">
        <f>IFERROR(VLOOKUP(B19,Kupa!$D$6:'Kupa'!$O$54,7,FALSE),0)</f>
        <v>0</v>
      </c>
      <c r="R19" s="1047">
        <f>IFERROR(VLOOKUP(B19,Kupa!$D$6:'Kupa'!$O$54,8,FALSE),0)</f>
        <v>0</v>
      </c>
      <c r="S19" s="1047">
        <f>IFERROR(VLOOKUP(B19,Kupa!$D$6:'Kupa'!$O$54,9,FALSE),0)</f>
        <v>0</v>
      </c>
      <c r="T19" s="1045">
        <f>IFERROR(VLOOKUP(B19,Kupa!$D$6:'Kupa'!$O$54,10,FALSE),0)</f>
        <v>0</v>
      </c>
      <c r="U19" s="1045">
        <f>IFERROR(VLOOKUP(B19,Kupa!$D$6:'Kupa'!$O$54,11,FALSE),0)</f>
        <v>0</v>
      </c>
      <c r="V19" s="1047">
        <f>IFERROR(VLOOKUP(B19,Kupa!$D$6:'Kupa'!$O$54,12,FALSE),0)</f>
        <v>0</v>
      </c>
      <c r="W19" s="301"/>
      <c r="X19" s="301"/>
      <c r="Y19" s="301"/>
      <c r="Z19" s="301"/>
      <c r="AA19" s="301"/>
      <c r="AB19" s="301"/>
      <c r="AC19" s="301"/>
      <c r="AD19" s="301"/>
      <c r="AE19" s="301"/>
      <c r="AF19" s="301"/>
      <c r="AG19" s="301"/>
      <c r="AH19" s="301"/>
      <c r="AI19" s="301"/>
      <c r="AJ19" s="301"/>
      <c r="AK19" s="301"/>
    </row>
    <row r="20" spans="1:37" s="302" customFormat="1" ht="50.1" customHeight="1" x14ac:dyDescent="0.3">
      <c r="A20" s="164">
        <f>IF(main!A26&gt;0,main!A26,"")</f>
        <v>18</v>
      </c>
      <c r="B20" s="165" t="str">
        <f>IF(main!A26&gt;0,main!B26,"")</f>
        <v>056078603</v>
      </c>
      <c r="C20" s="164" t="str">
        <f>IF(main!A26&gt;0,main!D26,"")</f>
        <v>מבטחים מוסד לביטוח סוציאלי של העובדים</v>
      </c>
      <c r="D20" s="164" t="str">
        <f>IF(main!A26&gt;0,main!E26,"")</f>
        <v>מקיפה</v>
      </c>
      <c r="E20" s="164" t="str">
        <f>IF(main!A26&gt;0,main!C26,"")</f>
        <v>קרן פנסיה</v>
      </c>
      <c r="F20" s="298">
        <f>IF(main!A26&gt;0,main!R26,"")</f>
        <v>0</v>
      </c>
      <c r="G20" s="1045">
        <f>main!BG26</f>
        <v>0</v>
      </c>
      <c r="H20" s="164" t="s">
        <v>620</v>
      </c>
      <c r="I20" s="164">
        <f>main!BJ26</f>
        <v>0</v>
      </c>
      <c r="J20" s="164"/>
      <c r="K20" s="299"/>
      <c r="L20" s="300"/>
      <c r="M20" s="300"/>
      <c r="N20" s="300"/>
      <c r="O20" s="1045">
        <f>IFERROR(VLOOKUP(B20,Kupa!$D$6:'Kupa'!$O$54,5,FALSE),0)</f>
        <v>0</v>
      </c>
      <c r="P20" s="1045">
        <f>IFERROR(VLOOKUP(B20,Kupa!$D$6:'Kupa'!$O$54,6,FALSE),0)</f>
        <v>42.18</v>
      </c>
      <c r="Q20" s="1046">
        <f>IFERROR(VLOOKUP(B20,Kupa!$D$6:'Kupa'!$O$54,7,FALSE),0)</f>
        <v>0</v>
      </c>
      <c r="R20" s="1047">
        <f>IFERROR(VLOOKUP(B20,Kupa!$D$6:'Kupa'!$O$54,8,FALSE),0)</f>
        <v>0</v>
      </c>
      <c r="S20" s="1047">
        <f>IFERROR(VLOOKUP(B20,Kupa!$D$6:'Kupa'!$O$54,9,FALSE),0)</f>
        <v>0</v>
      </c>
      <c r="T20" s="1045">
        <f>IFERROR(VLOOKUP(B20,Kupa!$D$6:'Kupa'!$O$54,10,FALSE),0)</f>
        <v>0</v>
      </c>
      <c r="U20" s="1045">
        <f>IFERROR(VLOOKUP(B20,Kupa!$D$6:'Kupa'!$O$54,11,FALSE),0)</f>
        <v>8.44</v>
      </c>
      <c r="V20" s="1047">
        <f>IFERROR(VLOOKUP(B20,Kupa!$D$6:'Kupa'!$O$54,12,FALSE),0)</f>
        <v>0</v>
      </c>
      <c r="W20" s="301"/>
      <c r="X20" s="301"/>
      <c r="Y20" s="301"/>
      <c r="Z20" s="301"/>
      <c r="AA20" s="301"/>
      <c r="AB20" s="301"/>
      <c r="AC20" s="301"/>
      <c r="AD20" s="301"/>
      <c r="AE20" s="301"/>
      <c r="AF20" s="301"/>
      <c r="AG20" s="301"/>
      <c r="AH20" s="301"/>
      <c r="AI20" s="301"/>
      <c r="AJ20" s="301"/>
      <c r="AK20" s="301"/>
    </row>
    <row r="21" spans="1:37" s="302" customFormat="1" ht="50.1" customHeight="1" x14ac:dyDescent="0.3">
      <c r="A21" s="164" t="str">
        <f>IF(main!A27&gt;0,main!A27,"")</f>
        <v/>
      </c>
      <c r="B21" s="165" t="str">
        <f>IF(main!A27&gt;0,main!B27,"")</f>
        <v/>
      </c>
      <c r="C21" s="164" t="str">
        <f>IF(main!A27&gt;0,main!D27,"")</f>
        <v/>
      </c>
      <c r="D21" s="164" t="str">
        <f>IF(main!A27&gt;0,main!E27,"")</f>
        <v/>
      </c>
      <c r="E21" s="164" t="str">
        <f>IF(main!A27&gt;0,main!C27,"")</f>
        <v/>
      </c>
      <c r="F21" s="298" t="str">
        <f>IF(main!A27&gt;0,main!R27,"")</f>
        <v/>
      </c>
      <c r="G21" s="1045">
        <f>main!BG27</f>
        <v>0</v>
      </c>
      <c r="H21" s="164" t="s">
        <v>620</v>
      </c>
      <c r="I21" s="164">
        <f>main!BJ27</f>
        <v>0</v>
      </c>
      <c r="J21" s="164"/>
      <c r="K21" s="299"/>
      <c r="L21" s="300"/>
      <c r="M21" s="300"/>
      <c r="N21" s="300"/>
      <c r="O21" s="1045">
        <f>IFERROR(VLOOKUP(B21,Kupa!$D$6:'Kupa'!$O$54,5,FALSE),0)</f>
        <v>0</v>
      </c>
      <c r="P21" s="1045">
        <f>IFERROR(VLOOKUP(B21,Kupa!$D$6:'Kupa'!$O$54,6,FALSE),0)</f>
        <v>0</v>
      </c>
      <c r="Q21" s="1046">
        <f>IFERROR(VLOOKUP(B21,Kupa!$D$6:'Kupa'!$O$54,7,FALSE),0)</f>
        <v>0</v>
      </c>
      <c r="R21" s="1047">
        <f>IFERROR(VLOOKUP(B21,Kupa!$D$6:'Kupa'!$O$54,8,FALSE),0)</f>
        <v>0</v>
      </c>
      <c r="S21" s="1047">
        <f>IFERROR(VLOOKUP(B21,Kupa!$D$6:'Kupa'!$O$54,9,FALSE),0)</f>
        <v>0</v>
      </c>
      <c r="T21" s="1045">
        <f>IFERROR(VLOOKUP(B21,Kupa!$D$6:'Kupa'!$O$54,10,FALSE),0)</f>
        <v>0</v>
      </c>
      <c r="U21" s="1045">
        <f>IFERROR(VLOOKUP(B21,Kupa!$D$6:'Kupa'!$O$54,11,FALSE),0)</f>
        <v>0</v>
      </c>
      <c r="V21" s="1047">
        <f>IFERROR(VLOOKUP(B21,Kupa!$D$6:'Kupa'!$O$54,12,FALSE),0)</f>
        <v>0</v>
      </c>
      <c r="W21" s="301"/>
      <c r="X21" s="301"/>
      <c r="Y21" s="301"/>
      <c r="Z21" s="301"/>
      <c r="AA21" s="301"/>
      <c r="AB21" s="301"/>
      <c r="AC21" s="301"/>
      <c r="AD21" s="301"/>
      <c r="AE21" s="301"/>
      <c r="AF21" s="301"/>
      <c r="AG21" s="301"/>
      <c r="AH21" s="301"/>
      <c r="AI21" s="301"/>
      <c r="AJ21" s="301"/>
      <c r="AK21" s="301"/>
    </row>
    <row r="22" spans="1:37" s="302" customFormat="1" ht="50.1" customHeight="1" x14ac:dyDescent="0.3">
      <c r="A22" s="164" t="str">
        <f>IF(main!A28&gt;0,main!A28,"")</f>
        <v/>
      </c>
      <c r="B22" s="165" t="str">
        <f>IF(main!A28&gt;0,main!B28,"")</f>
        <v/>
      </c>
      <c r="C22" s="164" t="str">
        <f>IF(main!A28&gt;0,main!D28,"")</f>
        <v/>
      </c>
      <c r="D22" s="164" t="str">
        <f>IF(main!A28&gt;0,main!E28,"")</f>
        <v/>
      </c>
      <c r="E22" s="164" t="str">
        <f>IF(main!A28&gt;0,main!C28,"")</f>
        <v/>
      </c>
      <c r="F22" s="298" t="str">
        <f>IF(main!A28&gt;0,main!R28,"")</f>
        <v/>
      </c>
      <c r="G22" s="1045">
        <f>main!BG28</f>
        <v>0</v>
      </c>
      <c r="H22" s="164" t="s">
        <v>620</v>
      </c>
      <c r="I22" s="164">
        <f>main!BJ28</f>
        <v>0</v>
      </c>
      <c r="J22" s="164"/>
      <c r="K22" s="299"/>
      <c r="L22" s="300"/>
      <c r="M22" s="300"/>
      <c r="N22" s="300"/>
      <c r="O22" s="1045">
        <f>IFERROR(VLOOKUP(B22,Kupa!$D$6:'Kupa'!$O$54,5,FALSE),0)</f>
        <v>0</v>
      </c>
      <c r="P22" s="1045">
        <f>IFERROR(VLOOKUP(B22,Kupa!$D$6:'Kupa'!$O$54,6,FALSE),0)</f>
        <v>0</v>
      </c>
      <c r="Q22" s="1046">
        <f>IFERROR(VLOOKUP(B22,Kupa!$D$6:'Kupa'!$O$54,7,FALSE),0)</f>
        <v>0</v>
      </c>
      <c r="R22" s="1047">
        <f>IFERROR(VLOOKUP(B22,Kupa!$D$6:'Kupa'!$O$54,8,FALSE),0)</f>
        <v>0</v>
      </c>
      <c r="S22" s="1047">
        <f>IFERROR(VLOOKUP(B22,Kupa!$D$6:'Kupa'!$O$54,9,FALSE),0)</f>
        <v>0</v>
      </c>
      <c r="T22" s="1045">
        <f>IFERROR(VLOOKUP(B22,Kupa!$D$6:'Kupa'!$O$54,10,FALSE),0)</f>
        <v>0</v>
      </c>
      <c r="U22" s="1045">
        <f>IFERROR(VLOOKUP(B22,Kupa!$D$6:'Kupa'!$O$54,11,FALSE),0)</f>
        <v>0</v>
      </c>
      <c r="V22" s="1047">
        <f>IFERROR(VLOOKUP(B22,Kupa!$D$6:'Kupa'!$O$54,12,FALSE),0)</f>
        <v>0</v>
      </c>
      <c r="W22" s="301"/>
      <c r="X22" s="301"/>
      <c r="Y22" s="301"/>
      <c r="Z22" s="301"/>
      <c r="AA22" s="301"/>
      <c r="AB22" s="301"/>
      <c r="AC22" s="301"/>
      <c r="AD22" s="301"/>
      <c r="AE22" s="301"/>
      <c r="AF22" s="301"/>
      <c r="AG22" s="301"/>
      <c r="AH22" s="301"/>
      <c r="AI22" s="301"/>
      <c r="AJ22" s="301"/>
      <c r="AK22" s="301"/>
    </row>
    <row r="23" spans="1:37" s="302" customFormat="1" ht="50.1" customHeight="1" x14ac:dyDescent="0.3">
      <c r="A23" s="164" t="str">
        <f>IF(main!A29&gt;0,main!A29,"")</f>
        <v/>
      </c>
      <c r="B23" s="165" t="str">
        <f>IF(main!A29&gt;0,main!B29,"")</f>
        <v/>
      </c>
      <c r="C23" s="164" t="str">
        <f>IF(main!A29&gt;0,main!D29,"")</f>
        <v/>
      </c>
      <c r="D23" s="164" t="str">
        <f>IF(main!A29&gt;0,main!E29,"")</f>
        <v/>
      </c>
      <c r="E23" s="164" t="str">
        <f>IF(main!A29&gt;0,main!C29,"")</f>
        <v/>
      </c>
      <c r="F23" s="298" t="str">
        <f>IF(main!A29&gt;0,main!R29,"")</f>
        <v/>
      </c>
      <c r="G23" s="1045">
        <f>main!BG29</f>
        <v>0</v>
      </c>
      <c r="H23" s="164" t="s">
        <v>620</v>
      </c>
      <c r="I23" s="164">
        <f>main!BJ29</f>
        <v>0</v>
      </c>
      <c r="J23" s="164"/>
      <c r="K23" s="299"/>
      <c r="L23" s="300"/>
      <c r="M23" s="300"/>
      <c r="N23" s="300"/>
      <c r="O23" s="1045">
        <f>IFERROR(VLOOKUP(B23,Kupa!$D$6:'Kupa'!$O$54,5,FALSE),0)</f>
        <v>0</v>
      </c>
      <c r="P23" s="1045">
        <f>IFERROR(VLOOKUP(B23,Kupa!$D$6:'Kupa'!$O$54,6,FALSE),0)</f>
        <v>0</v>
      </c>
      <c r="Q23" s="1046">
        <f>IFERROR(VLOOKUP(B23,Kupa!$D$6:'Kupa'!$O$54,7,FALSE),0)</f>
        <v>0</v>
      </c>
      <c r="R23" s="1047">
        <f>IFERROR(VLOOKUP(B23,Kupa!$D$6:'Kupa'!$O$54,8,FALSE),0)</f>
        <v>0</v>
      </c>
      <c r="S23" s="1047">
        <f>IFERROR(VLOOKUP(B23,Kupa!$D$6:'Kupa'!$O$54,9,FALSE),0)</f>
        <v>0</v>
      </c>
      <c r="T23" s="1045">
        <f>IFERROR(VLOOKUP(B23,Kupa!$D$6:'Kupa'!$O$54,10,FALSE),0)</f>
        <v>0</v>
      </c>
      <c r="U23" s="1045">
        <f>IFERROR(VLOOKUP(B23,Kupa!$D$6:'Kupa'!$O$54,11,FALSE),0)</f>
        <v>0</v>
      </c>
      <c r="V23" s="1047">
        <f>IFERROR(VLOOKUP(B23,Kupa!$D$6:'Kupa'!$O$54,12,FALSE),0)</f>
        <v>0</v>
      </c>
      <c r="W23" s="301"/>
      <c r="X23" s="301"/>
      <c r="Y23" s="301"/>
      <c r="Z23" s="301"/>
      <c r="AA23" s="301"/>
      <c r="AB23" s="301"/>
      <c r="AC23" s="301"/>
      <c r="AD23" s="301"/>
      <c r="AE23" s="301"/>
      <c r="AF23" s="301"/>
      <c r="AG23" s="301"/>
      <c r="AH23" s="301"/>
      <c r="AI23" s="301"/>
      <c r="AJ23" s="301"/>
      <c r="AK23" s="301"/>
    </row>
    <row r="24" spans="1:37" s="302" customFormat="1" ht="50.1" customHeight="1" x14ac:dyDescent="0.3">
      <c r="A24" s="164" t="str">
        <f>IF(main!A30&gt;0,main!A30,"")</f>
        <v/>
      </c>
      <c r="B24" s="165" t="str">
        <f>IF(main!A30&gt;0,main!B30,"")</f>
        <v/>
      </c>
      <c r="C24" s="164" t="str">
        <f>IF(main!A30&gt;0,main!D30,"")</f>
        <v/>
      </c>
      <c r="D24" s="164" t="str">
        <f>IF(main!A30&gt;0,main!E30,"")</f>
        <v/>
      </c>
      <c r="E24" s="164" t="str">
        <f>IF(main!A30&gt;0,main!C30,"")</f>
        <v/>
      </c>
      <c r="F24" s="298" t="str">
        <f>IF(main!A30&gt;0,main!R30,"")</f>
        <v/>
      </c>
      <c r="G24" s="1045">
        <f>main!BG30</f>
        <v>0</v>
      </c>
      <c r="H24" s="164" t="s">
        <v>620</v>
      </c>
      <c r="I24" s="164">
        <f>main!BJ30</f>
        <v>0</v>
      </c>
      <c r="J24" s="164"/>
      <c r="K24" s="299"/>
      <c r="L24" s="300"/>
      <c r="M24" s="300"/>
      <c r="N24" s="300"/>
      <c r="O24" s="1045">
        <f>IFERROR(VLOOKUP(B24,Kupa!$D$6:'Kupa'!$O$54,5,FALSE),0)</f>
        <v>0</v>
      </c>
      <c r="P24" s="1045">
        <f>IFERROR(VLOOKUP(B24,Kupa!$D$6:'Kupa'!$O$54,6,FALSE),0)</f>
        <v>0</v>
      </c>
      <c r="Q24" s="1046">
        <f>IFERROR(VLOOKUP(B24,Kupa!$D$6:'Kupa'!$O$54,7,FALSE),0)</f>
        <v>0</v>
      </c>
      <c r="R24" s="1047">
        <f>IFERROR(VLOOKUP(B24,Kupa!$D$6:'Kupa'!$O$54,8,FALSE),0)</f>
        <v>0</v>
      </c>
      <c r="S24" s="1047">
        <f>IFERROR(VLOOKUP(B24,Kupa!$D$6:'Kupa'!$O$54,9,FALSE),0)</f>
        <v>0</v>
      </c>
      <c r="T24" s="1045">
        <f>IFERROR(VLOOKUP(B24,Kupa!$D$6:'Kupa'!$O$54,10,FALSE),0)</f>
        <v>0</v>
      </c>
      <c r="U24" s="1045">
        <f>IFERROR(VLOOKUP(B24,Kupa!$D$6:'Kupa'!$O$54,11,FALSE),0)</f>
        <v>0</v>
      </c>
      <c r="V24" s="1047">
        <f>IFERROR(VLOOKUP(B24,Kupa!$D$6:'Kupa'!$O$54,12,FALSE),0)</f>
        <v>0</v>
      </c>
      <c r="W24" s="301"/>
      <c r="X24" s="301"/>
      <c r="Y24" s="301"/>
      <c r="Z24" s="301"/>
      <c r="AA24" s="301"/>
      <c r="AB24" s="301"/>
      <c r="AC24" s="301"/>
      <c r="AD24" s="301"/>
      <c r="AE24" s="301"/>
      <c r="AF24" s="301"/>
      <c r="AG24" s="301"/>
      <c r="AH24" s="301"/>
      <c r="AI24" s="301"/>
      <c r="AJ24" s="301"/>
      <c r="AK24" s="301"/>
    </row>
    <row r="25" spans="1:37" s="302" customFormat="1" ht="50.1" customHeight="1" x14ac:dyDescent="0.3">
      <c r="A25" s="164" t="str">
        <f>IF(main!A31&gt;0,main!A31,"")</f>
        <v/>
      </c>
      <c r="B25" s="165" t="str">
        <f>IF(main!A31&gt;0,main!B31,"")</f>
        <v/>
      </c>
      <c r="C25" s="164" t="str">
        <f>IF(main!A31&gt;0,main!D31,"")</f>
        <v/>
      </c>
      <c r="D25" s="164" t="str">
        <f>IF(main!A31&gt;0,main!E31,"")</f>
        <v/>
      </c>
      <c r="E25" s="164" t="str">
        <f>IF(main!A31&gt;0,main!C31,"")</f>
        <v/>
      </c>
      <c r="F25" s="298" t="str">
        <f>IF(main!A31&gt;0,main!R31,"")</f>
        <v/>
      </c>
      <c r="G25" s="1045">
        <f>main!BG31</f>
        <v>0</v>
      </c>
      <c r="H25" s="164" t="s">
        <v>620</v>
      </c>
      <c r="I25" s="164">
        <f>main!BJ31</f>
        <v>0</v>
      </c>
      <c r="J25" s="164"/>
      <c r="K25" s="299"/>
      <c r="L25" s="300"/>
      <c r="M25" s="300"/>
      <c r="N25" s="300"/>
      <c r="O25" s="1045">
        <f>IFERROR(VLOOKUP(B25,Kupa!$D$6:'Kupa'!$O$54,5,FALSE),0)</f>
        <v>0</v>
      </c>
      <c r="P25" s="1045">
        <f>IFERROR(VLOOKUP(B25,Kupa!$D$6:'Kupa'!$O$54,6,FALSE),0)</f>
        <v>0</v>
      </c>
      <c r="Q25" s="1046">
        <f>IFERROR(VLOOKUP(B25,Kupa!$D$6:'Kupa'!$O$54,7,FALSE),0)</f>
        <v>0</v>
      </c>
      <c r="R25" s="1047">
        <f>IFERROR(VLOOKUP(B25,Kupa!$D$6:'Kupa'!$O$54,8,FALSE),0)</f>
        <v>0</v>
      </c>
      <c r="S25" s="1047">
        <f>IFERROR(VLOOKUP(B25,Kupa!$D$6:'Kupa'!$O$54,9,FALSE),0)</f>
        <v>0</v>
      </c>
      <c r="T25" s="1045">
        <f>IFERROR(VLOOKUP(B25,Kupa!$D$6:'Kupa'!$O$54,10,FALSE),0)</f>
        <v>0</v>
      </c>
      <c r="U25" s="1045">
        <f>IFERROR(VLOOKUP(B25,Kupa!$D$6:'Kupa'!$O$54,11,FALSE),0)</f>
        <v>0</v>
      </c>
      <c r="V25" s="1047">
        <f>IFERROR(VLOOKUP(B25,Kupa!$D$6:'Kupa'!$O$54,12,FALSE),0)</f>
        <v>0</v>
      </c>
      <c r="W25" s="301"/>
      <c r="X25" s="301"/>
      <c r="Y25" s="301"/>
      <c r="Z25" s="301"/>
      <c r="AA25" s="301"/>
      <c r="AB25" s="301"/>
      <c r="AC25" s="301"/>
      <c r="AD25" s="301"/>
      <c r="AE25" s="301"/>
      <c r="AF25" s="301"/>
      <c r="AG25" s="301"/>
      <c r="AH25" s="301"/>
      <c r="AI25" s="301"/>
      <c r="AJ25" s="301"/>
      <c r="AK25" s="301"/>
    </row>
    <row r="26" spans="1:37" s="302" customFormat="1" ht="50.1" customHeight="1" x14ac:dyDescent="0.3">
      <c r="A26" s="164" t="str">
        <f>IF(main!A32&gt;0,main!A32,"")</f>
        <v/>
      </c>
      <c r="B26" s="165" t="str">
        <f>IF(main!A32&gt;0,main!B32,"")</f>
        <v/>
      </c>
      <c r="C26" s="164" t="str">
        <f>IF(main!A32&gt;0,main!D32,"")</f>
        <v/>
      </c>
      <c r="D26" s="164" t="str">
        <f>IF(main!A32&gt;0,main!E32,"")</f>
        <v/>
      </c>
      <c r="E26" s="164" t="str">
        <f>IF(main!A32&gt;0,main!C32,"")</f>
        <v/>
      </c>
      <c r="F26" s="298" t="str">
        <f>IF(main!A32&gt;0,main!R32,"")</f>
        <v/>
      </c>
      <c r="G26" s="1045">
        <f>main!BG32</f>
        <v>0</v>
      </c>
      <c r="H26" s="164" t="s">
        <v>620</v>
      </c>
      <c r="I26" s="164">
        <f>main!BJ32</f>
        <v>0</v>
      </c>
      <c r="J26" s="164"/>
      <c r="K26" s="299"/>
      <c r="L26" s="300"/>
      <c r="M26" s="300"/>
      <c r="N26" s="300"/>
      <c r="O26" s="1045">
        <f>IFERROR(VLOOKUP(B26,Kupa!$D$6:'Kupa'!$O$54,5,FALSE),0)</f>
        <v>0</v>
      </c>
      <c r="P26" s="1045">
        <f>IFERROR(VLOOKUP(B26,Kupa!$D$6:'Kupa'!$O$54,6,FALSE),0)</f>
        <v>0</v>
      </c>
      <c r="Q26" s="1046">
        <f>IFERROR(VLOOKUP(B26,Kupa!$D$6:'Kupa'!$O$54,7,FALSE),0)</f>
        <v>0</v>
      </c>
      <c r="R26" s="1047">
        <f>IFERROR(VLOOKUP(B26,Kupa!$D$6:'Kupa'!$O$54,8,FALSE),0)</f>
        <v>0</v>
      </c>
      <c r="S26" s="1047">
        <f>IFERROR(VLOOKUP(B26,Kupa!$D$6:'Kupa'!$O$54,9,FALSE),0)</f>
        <v>0</v>
      </c>
      <c r="T26" s="1045">
        <f>IFERROR(VLOOKUP(B26,Kupa!$D$6:'Kupa'!$O$54,10,FALSE),0)</f>
        <v>0</v>
      </c>
      <c r="U26" s="1045">
        <f>IFERROR(VLOOKUP(B26,Kupa!$D$6:'Kupa'!$O$54,11,FALSE),0)</f>
        <v>0</v>
      </c>
      <c r="V26" s="1047">
        <f>IFERROR(VLOOKUP(B26,Kupa!$D$6:'Kupa'!$O$54,12,FALSE),0)</f>
        <v>0</v>
      </c>
      <c r="W26" s="301"/>
      <c r="X26" s="301"/>
      <c r="Y26" s="301"/>
      <c r="Z26" s="301"/>
      <c r="AA26" s="301"/>
      <c r="AB26" s="301"/>
      <c r="AC26" s="301"/>
      <c r="AD26" s="301"/>
      <c r="AE26" s="301"/>
      <c r="AF26" s="301"/>
      <c r="AG26" s="301"/>
      <c r="AH26" s="301"/>
      <c r="AI26" s="301"/>
      <c r="AJ26" s="301"/>
      <c r="AK26" s="301"/>
    </row>
    <row r="27" spans="1:37" s="302" customFormat="1" ht="50.1" customHeight="1" x14ac:dyDescent="0.3">
      <c r="A27" s="164" t="str">
        <f>IF(main!A33&gt;0,main!A33,"")</f>
        <v/>
      </c>
      <c r="B27" s="165" t="str">
        <f>IF(main!A33&gt;0,main!B33,"")</f>
        <v/>
      </c>
      <c r="C27" s="164" t="str">
        <f>IF(main!A33&gt;0,main!D33,"")</f>
        <v/>
      </c>
      <c r="D27" s="164" t="str">
        <f>IF(main!A33&gt;0,main!E33,"")</f>
        <v/>
      </c>
      <c r="E27" s="164" t="str">
        <f>IF(main!A33&gt;0,main!C33,"")</f>
        <v/>
      </c>
      <c r="F27" s="298" t="str">
        <f>IF(main!A33&gt;0,main!R33,"")</f>
        <v/>
      </c>
      <c r="G27" s="1045">
        <f>main!BG33</f>
        <v>0</v>
      </c>
      <c r="H27" s="164" t="s">
        <v>620</v>
      </c>
      <c r="I27" s="164">
        <f>main!BJ33</f>
        <v>0</v>
      </c>
      <c r="J27" s="164"/>
      <c r="K27" s="299"/>
      <c r="L27" s="300"/>
      <c r="M27" s="300"/>
      <c r="N27" s="300"/>
      <c r="O27" s="1045">
        <f>IFERROR(VLOOKUP(B27,Kupa!$D$6:'Kupa'!$O$54,5,FALSE),0)</f>
        <v>0</v>
      </c>
      <c r="P27" s="1045">
        <f>IFERROR(VLOOKUP(B27,Kupa!$D$6:'Kupa'!$O$54,6,FALSE),0)</f>
        <v>0</v>
      </c>
      <c r="Q27" s="1046">
        <f>IFERROR(VLOOKUP(B27,Kupa!$D$6:'Kupa'!$O$54,7,FALSE),0)</f>
        <v>0</v>
      </c>
      <c r="R27" s="1047">
        <f>IFERROR(VLOOKUP(B27,Kupa!$D$6:'Kupa'!$O$54,8,FALSE),0)</f>
        <v>0</v>
      </c>
      <c r="S27" s="1047">
        <f>IFERROR(VLOOKUP(B27,Kupa!$D$6:'Kupa'!$O$54,9,FALSE),0)</f>
        <v>0</v>
      </c>
      <c r="T27" s="1045">
        <f>IFERROR(VLOOKUP(B27,Kupa!$D$6:'Kupa'!$O$54,10,FALSE),0)</f>
        <v>0</v>
      </c>
      <c r="U27" s="1045">
        <f>IFERROR(VLOOKUP(B27,Kupa!$D$6:'Kupa'!$O$54,11,FALSE),0)</f>
        <v>0</v>
      </c>
      <c r="V27" s="1047">
        <f>IFERROR(VLOOKUP(B27,Kupa!$D$6:'Kupa'!$O$54,12,FALSE),0)</f>
        <v>0</v>
      </c>
      <c r="W27" s="301"/>
      <c r="X27" s="301"/>
      <c r="Y27" s="301"/>
      <c r="Z27" s="301"/>
      <c r="AA27" s="301"/>
      <c r="AB27" s="301"/>
      <c r="AC27" s="301"/>
      <c r="AD27" s="301"/>
      <c r="AE27" s="301"/>
      <c r="AF27" s="301"/>
      <c r="AG27" s="301"/>
      <c r="AH27" s="301"/>
      <c r="AI27" s="301"/>
      <c r="AJ27" s="301"/>
      <c r="AK27" s="301"/>
    </row>
    <row r="28" spans="1:37" s="302" customFormat="1" ht="50.1" customHeight="1" x14ac:dyDescent="0.3">
      <c r="A28" s="164" t="str">
        <f>IF(main!A34&gt;0,main!A34,"")</f>
        <v/>
      </c>
      <c r="B28" s="165" t="str">
        <f>IF(main!A34&gt;0,main!B34,"")</f>
        <v/>
      </c>
      <c r="C28" s="164" t="str">
        <f>IF(main!A34&gt;0,main!D34,"")</f>
        <v/>
      </c>
      <c r="D28" s="164" t="str">
        <f>IF(main!A34&gt;0,main!E34,"")</f>
        <v/>
      </c>
      <c r="E28" s="164" t="str">
        <f>IF(main!A34&gt;0,main!C34,"")</f>
        <v/>
      </c>
      <c r="F28" s="298" t="str">
        <f>IF(main!A34&gt;0,main!R34,"")</f>
        <v/>
      </c>
      <c r="G28" s="1045">
        <f>main!BG34</f>
        <v>0</v>
      </c>
      <c r="H28" s="164" t="s">
        <v>620</v>
      </c>
      <c r="I28" s="164">
        <f>main!BJ34</f>
        <v>0</v>
      </c>
      <c r="J28" s="164"/>
      <c r="K28" s="299"/>
      <c r="L28" s="300"/>
      <c r="M28" s="300"/>
      <c r="N28" s="300"/>
      <c r="O28" s="1045">
        <f>IFERROR(VLOOKUP(B28,Kupa!$D$6:'Kupa'!$O$54,5,FALSE),0)</f>
        <v>0</v>
      </c>
      <c r="P28" s="1045">
        <f>IFERROR(VLOOKUP(B28,Kupa!$D$6:'Kupa'!$O$54,6,FALSE),0)</f>
        <v>0</v>
      </c>
      <c r="Q28" s="1046">
        <f>IFERROR(VLOOKUP(B28,Kupa!$D$6:'Kupa'!$O$54,7,FALSE),0)</f>
        <v>0</v>
      </c>
      <c r="R28" s="1047">
        <f>IFERROR(VLOOKUP(B28,Kupa!$D$6:'Kupa'!$O$54,8,FALSE),0)</f>
        <v>0</v>
      </c>
      <c r="S28" s="1047">
        <f>IFERROR(VLOOKUP(B28,Kupa!$D$6:'Kupa'!$O$54,9,FALSE),0)</f>
        <v>0</v>
      </c>
      <c r="T28" s="1045">
        <f>IFERROR(VLOOKUP(B28,Kupa!$D$6:'Kupa'!$O$54,10,FALSE),0)</f>
        <v>0</v>
      </c>
      <c r="U28" s="1045">
        <f>IFERROR(VLOOKUP(B28,Kupa!$D$6:'Kupa'!$O$54,11,FALSE),0)</f>
        <v>0</v>
      </c>
      <c r="V28" s="1047">
        <f>IFERROR(VLOOKUP(B28,Kupa!$D$6:'Kupa'!$O$54,12,FALSE),0)</f>
        <v>0</v>
      </c>
      <c r="W28" s="301"/>
      <c r="X28" s="301"/>
      <c r="Y28" s="301"/>
      <c r="Z28" s="301"/>
      <c r="AA28" s="301"/>
      <c r="AB28" s="301"/>
      <c r="AC28" s="301"/>
      <c r="AD28" s="301"/>
      <c r="AE28" s="301"/>
      <c r="AF28" s="301"/>
      <c r="AG28" s="301"/>
      <c r="AH28" s="301"/>
      <c r="AI28" s="301"/>
      <c r="AJ28" s="301"/>
      <c r="AK28" s="301"/>
    </row>
    <row r="29" spans="1:37" s="302" customFormat="1" ht="50.1" customHeight="1" x14ac:dyDescent="0.3">
      <c r="A29" s="164" t="str">
        <f>IF(main!A35&gt;0,main!A35,"")</f>
        <v/>
      </c>
      <c r="B29" s="165" t="str">
        <f>IF(main!A35&gt;0,main!B35,"")</f>
        <v/>
      </c>
      <c r="C29" s="164" t="str">
        <f>IF(main!A35&gt;0,main!D35,"")</f>
        <v/>
      </c>
      <c r="D29" s="164" t="str">
        <f>IF(main!A35&gt;0,main!E35,"")</f>
        <v/>
      </c>
      <c r="E29" s="164" t="str">
        <f>IF(main!A35&gt;0,main!C35,"")</f>
        <v/>
      </c>
      <c r="F29" s="298" t="str">
        <f>IF(main!A35&gt;0,main!R35,"")</f>
        <v/>
      </c>
      <c r="G29" s="1045">
        <f>main!BG35</f>
        <v>0</v>
      </c>
      <c r="H29" s="164" t="s">
        <v>620</v>
      </c>
      <c r="I29" s="164">
        <f>main!BJ35</f>
        <v>0</v>
      </c>
      <c r="J29" s="164"/>
      <c r="K29" s="299"/>
      <c r="L29" s="300"/>
      <c r="M29" s="300"/>
      <c r="N29" s="300"/>
      <c r="O29" s="1045">
        <f>IFERROR(VLOOKUP(B29,Kupa!$D$6:'Kupa'!$O$54,5,FALSE),0)</f>
        <v>0</v>
      </c>
      <c r="P29" s="1045">
        <f>IFERROR(VLOOKUP(B29,Kupa!$D$6:'Kupa'!$O$54,6,FALSE),0)</f>
        <v>0</v>
      </c>
      <c r="Q29" s="1046">
        <f>IFERROR(VLOOKUP(B29,Kupa!$D$6:'Kupa'!$O$54,7,FALSE),0)</f>
        <v>0</v>
      </c>
      <c r="R29" s="1047">
        <f>IFERROR(VLOOKUP(B29,Kupa!$D$6:'Kupa'!$O$54,8,FALSE),0)</f>
        <v>0</v>
      </c>
      <c r="S29" s="1047">
        <f>IFERROR(VLOOKUP(B29,Kupa!$D$6:'Kupa'!$O$54,9,FALSE),0)</f>
        <v>0</v>
      </c>
      <c r="T29" s="1045">
        <f>IFERROR(VLOOKUP(B29,Kupa!$D$6:'Kupa'!$O$54,10,FALSE),0)</f>
        <v>0</v>
      </c>
      <c r="U29" s="1045">
        <f>IFERROR(VLOOKUP(B29,Kupa!$D$6:'Kupa'!$O$54,11,FALSE),0)</f>
        <v>0</v>
      </c>
      <c r="V29" s="1047">
        <f>IFERROR(VLOOKUP(B29,Kupa!$D$6:'Kupa'!$O$54,12,FALSE),0)</f>
        <v>0</v>
      </c>
      <c r="W29" s="301"/>
      <c r="X29" s="301"/>
      <c r="Y29" s="301"/>
      <c r="Z29" s="301"/>
      <c r="AA29" s="301"/>
      <c r="AB29" s="301"/>
      <c r="AC29" s="301"/>
      <c r="AD29" s="301"/>
      <c r="AE29" s="301"/>
      <c r="AF29" s="301"/>
      <c r="AG29" s="301"/>
      <c r="AH29" s="301"/>
      <c r="AI29" s="301"/>
      <c r="AJ29" s="301"/>
      <c r="AK29" s="301"/>
    </row>
    <row r="30" spans="1:37" s="305" customFormat="1" ht="50.1" customHeight="1" thickBot="1" x14ac:dyDescent="0.35">
      <c r="A30" s="164" t="str">
        <f>IF(main!A36&gt;0,main!A36,"")</f>
        <v/>
      </c>
      <c r="B30" s="165" t="str">
        <f>IF(main!A36&gt;0,main!B36,"")</f>
        <v/>
      </c>
      <c r="C30" s="164" t="str">
        <f>IF(main!A36&gt;0,main!D36,"")</f>
        <v/>
      </c>
      <c r="D30" s="164" t="str">
        <f>IF(main!A36&gt;0,main!E36,"")</f>
        <v/>
      </c>
      <c r="E30" s="164" t="str">
        <f>IF(main!A36&gt;0,main!C36,"")</f>
        <v/>
      </c>
      <c r="F30" s="298" t="str">
        <f>IF(main!A36&gt;0,main!R36,"")</f>
        <v/>
      </c>
      <c r="G30" s="1045">
        <f>main!BG36</f>
        <v>0</v>
      </c>
      <c r="H30" s="164" t="s">
        <v>620</v>
      </c>
      <c r="I30" s="164">
        <f>main!BJ36</f>
        <v>0</v>
      </c>
      <c r="J30" s="164"/>
      <c r="K30" s="299"/>
      <c r="L30" s="300"/>
      <c r="M30" s="300"/>
      <c r="N30" s="300"/>
      <c r="O30" s="1045">
        <f>IFERROR(VLOOKUP(B30,Kupa!$D$6:'Kupa'!$O$54,5,FALSE),0)</f>
        <v>0</v>
      </c>
      <c r="P30" s="1045">
        <f>IFERROR(VLOOKUP(B30,Kupa!$D$6:'Kupa'!$O$54,6,FALSE),0)</f>
        <v>0</v>
      </c>
      <c r="Q30" s="1046">
        <f>IFERROR(VLOOKUP(B30,Kupa!$D$6:'Kupa'!$O$54,7,FALSE),0)</f>
        <v>0</v>
      </c>
      <c r="R30" s="1047">
        <f>IFERROR(VLOOKUP(B30,Kupa!$D$6:'Kupa'!$O$54,8,FALSE),0)</f>
        <v>0</v>
      </c>
      <c r="S30" s="1047">
        <f>IFERROR(VLOOKUP(B30,Kupa!$D$6:'Kupa'!$O$54,9,FALSE),0)</f>
        <v>0</v>
      </c>
      <c r="T30" s="1045">
        <f>IFERROR(VLOOKUP(B30,Kupa!$D$6:'Kupa'!$O$54,10,FALSE),0)</f>
        <v>0</v>
      </c>
      <c r="U30" s="1045">
        <f>IFERROR(VLOOKUP(B30,Kupa!$D$6:'Kupa'!$O$54,11,FALSE),0)</f>
        <v>0</v>
      </c>
      <c r="V30" s="1047">
        <f>IFERROR(VLOOKUP(B30,Kupa!$D$6:'Kupa'!$O$54,12,FALSE),0)</f>
        <v>0</v>
      </c>
      <c r="W30" s="301"/>
      <c r="X30" s="301"/>
      <c r="Y30" s="301"/>
      <c r="Z30" s="301"/>
      <c r="AA30" s="301"/>
      <c r="AB30" s="301"/>
      <c r="AC30" s="301"/>
      <c r="AD30" s="301"/>
      <c r="AE30" s="301"/>
      <c r="AF30" s="301"/>
      <c r="AG30" s="301"/>
      <c r="AH30" s="301"/>
      <c r="AI30" s="301"/>
      <c r="AJ30" s="301"/>
      <c r="AK30" s="301"/>
    </row>
    <row r="31" spans="1:37" s="310" customFormat="1" ht="35.1" customHeight="1" thickTop="1" thickBot="1" x14ac:dyDescent="0.3">
      <c r="A31" s="219"/>
      <c r="B31" s="1087" t="s">
        <v>622</v>
      </c>
      <c r="C31" s="1088"/>
      <c r="D31" s="1088"/>
      <c r="E31" s="1089"/>
      <c r="F31" s="219"/>
      <c r="G31" s="1048">
        <f>SUMIF(I3:I30,"",G3:G30)</f>
        <v>0</v>
      </c>
      <c r="H31" s="219"/>
      <c r="I31" s="1049">
        <f>SUM(I3:I30)</f>
        <v>0</v>
      </c>
      <c r="J31" s="307">
        <f>SUM(J3:J30)</f>
        <v>0</v>
      </c>
      <c r="K31" s="308"/>
      <c r="L31" s="309"/>
      <c r="M31" s="309"/>
      <c r="N31" s="309"/>
      <c r="O31" s="197"/>
      <c r="P31" s="197"/>
      <c r="Q31" s="197"/>
      <c r="R31" s="197"/>
      <c r="S31" s="197"/>
      <c r="T31" s="197"/>
      <c r="U31" s="197"/>
      <c r="V31" s="197"/>
      <c r="W31" s="309"/>
      <c r="X31" s="309"/>
      <c r="Y31" s="309"/>
      <c r="Z31" s="309"/>
      <c r="AA31" s="309"/>
      <c r="AB31" s="309"/>
      <c r="AC31" s="309"/>
      <c r="AD31" s="309"/>
      <c r="AE31" s="309"/>
      <c r="AF31" s="309"/>
      <c r="AG31" s="309"/>
      <c r="AH31" s="309"/>
      <c r="AI31" s="309"/>
      <c r="AJ31" s="309"/>
      <c r="AK31" s="309"/>
    </row>
    <row r="32" spans="1:37" s="312" customFormat="1" ht="35.1" customHeight="1" thickTop="1" thickBot="1" x14ac:dyDescent="0.3">
      <c r="A32" s="219"/>
      <c r="B32" s="1087" t="s">
        <v>623</v>
      </c>
      <c r="C32" s="1088"/>
      <c r="D32" s="1088"/>
      <c r="E32" s="1089"/>
      <c r="F32" s="219"/>
      <c r="G32" s="1048">
        <f>SUM(G3:G30)</f>
        <v>29520221.329107102</v>
      </c>
      <c r="H32" s="219"/>
      <c r="I32" s="1049">
        <f>SUMIF(G3:G30,"",I3:I30)</f>
        <v>0</v>
      </c>
      <c r="J32" s="311"/>
      <c r="L32" s="313"/>
      <c r="M32" s="314"/>
      <c r="N32" s="314"/>
      <c r="O32" s="314"/>
      <c r="P32" s="314"/>
      <c r="Q32" s="314"/>
      <c r="R32" s="314"/>
      <c r="S32" s="314"/>
      <c r="T32" s="314"/>
      <c r="U32" s="314"/>
      <c r="V32" s="314"/>
      <c r="W32" s="314"/>
      <c r="X32" s="314"/>
      <c r="Y32" s="314"/>
      <c r="Z32" s="314"/>
      <c r="AA32" s="314"/>
      <c r="AB32" s="314"/>
      <c r="AC32" s="314"/>
      <c r="AD32" s="314"/>
      <c r="AE32" s="314"/>
      <c r="AF32" s="314"/>
      <c r="AG32" s="314"/>
      <c r="AH32" s="314"/>
      <c r="AI32" s="314"/>
      <c r="AJ32" s="314"/>
      <c r="AK32" s="314"/>
    </row>
    <row r="33" spans="1:37" s="315" customFormat="1" ht="34.5" customHeight="1" thickTop="1" thickBot="1" x14ac:dyDescent="0.3">
      <c r="A33" s="219"/>
      <c r="B33" s="1087" t="s">
        <v>624</v>
      </c>
      <c r="C33" s="1088"/>
      <c r="D33" s="1088"/>
      <c r="E33" s="1089"/>
      <c r="F33" s="219"/>
      <c r="G33" s="219"/>
      <c r="H33" s="219"/>
      <c r="I33" s="306">
        <f>'קצבה מזכה 2016'!D12</f>
        <v>0</v>
      </c>
      <c r="J33" s="311"/>
      <c r="K33" s="312"/>
      <c r="L33" s="290"/>
      <c r="M33" s="290"/>
      <c r="N33" s="290"/>
      <c r="O33" s="290"/>
      <c r="P33" s="290"/>
      <c r="Q33" s="290"/>
      <c r="R33" s="290"/>
      <c r="S33" s="290"/>
      <c r="T33" s="290"/>
      <c r="U33" s="290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  <c r="AH33" s="290"/>
      <c r="AI33" s="290"/>
      <c r="AJ33" s="290"/>
      <c r="AK33" s="290"/>
    </row>
    <row r="34" spans="1:37" s="290" customFormat="1" ht="15.75" thickTop="1" x14ac:dyDescent="0.25">
      <c r="A34" s="316"/>
      <c r="B34" s="316"/>
      <c r="D34" s="316"/>
      <c r="E34" s="316"/>
      <c r="F34" s="317"/>
      <c r="J34" s="318"/>
    </row>
    <row r="35" spans="1:37" s="290" customFormat="1" ht="15" x14ac:dyDescent="0.25">
      <c r="A35" s="316"/>
      <c r="B35" s="316"/>
      <c r="D35" s="316"/>
      <c r="E35" s="316"/>
      <c r="F35" s="317"/>
      <c r="J35" s="318"/>
    </row>
    <row r="36" spans="1:37" s="290" customFormat="1" ht="15" x14ac:dyDescent="0.25">
      <c r="A36" s="316"/>
      <c r="B36" s="316"/>
      <c r="D36" s="316"/>
      <c r="E36" s="316"/>
      <c r="F36" s="317"/>
      <c r="J36" s="318"/>
    </row>
    <row r="37" spans="1:37" s="290" customFormat="1" x14ac:dyDescent="0.2">
      <c r="J37" s="319"/>
    </row>
    <row r="38" spans="1:37" s="290" customFormat="1" ht="15" x14ac:dyDescent="0.25">
      <c r="A38" s="316"/>
      <c r="D38" s="316"/>
      <c r="E38" s="316"/>
      <c r="F38" s="317"/>
      <c r="J38" s="318"/>
    </row>
    <row r="39" spans="1:37" s="290" customFormat="1" ht="15" x14ac:dyDescent="0.25">
      <c r="A39" s="316"/>
      <c r="D39" s="316"/>
      <c r="E39" s="316"/>
      <c r="F39" s="317"/>
      <c r="J39" s="318"/>
    </row>
    <row r="40" spans="1:37" s="290" customFormat="1" ht="15" x14ac:dyDescent="0.25">
      <c r="A40" s="316"/>
      <c r="D40" s="316"/>
      <c r="E40" s="316"/>
      <c r="F40" s="317"/>
      <c r="J40" s="318"/>
    </row>
    <row r="41" spans="1:37" s="290" customFormat="1" ht="15" x14ac:dyDescent="0.25">
      <c r="A41" s="316"/>
      <c r="D41" s="316"/>
      <c r="E41" s="316"/>
      <c r="F41" s="317"/>
      <c r="J41" s="318"/>
    </row>
    <row r="42" spans="1:37" s="290" customFormat="1" ht="38.25" x14ac:dyDescent="0.25">
      <c r="A42" s="316"/>
      <c r="D42" s="316"/>
      <c r="E42" s="316"/>
      <c r="F42" s="317"/>
      <c r="J42" s="318"/>
      <c r="L42" s="186" t="s">
        <v>522</v>
      </c>
      <c r="M42" s="187" t="s">
        <v>502</v>
      </c>
    </row>
    <row r="43" spans="1:37" s="290" customFormat="1" ht="20.100000000000001" customHeight="1" x14ac:dyDescent="0.25">
      <c r="A43" s="316"/>
      <c r="D43" s="316"/>
      <c r="E43" s="316"/>
      <c r="F43" s="317"/>
      <c r="J43" s="318"/>
      <c r="L43" s="205"/>
      <c r="M43" s="206"/>
    </row>
    <row r="44" spans="1:37" s="290" customFormat="1" ht="20.100000000000001" customHeight="1" x14ac:dyDescent="0.25">
      <c r="A44" s="290" t="str">
        <f>IF(ISBLANK(A3),3:3=4:4,"")</f>
        <v/>
      </c>
      <c r="D44" s="316"/>
      <c r="E44" s="316"/>
      <c r="F44" s="317"/>
      <c r="J44" s="319"/>
      <c r="L44" s="205"/>
      <c r="M44" s="206"/>
    </row>
    <row r="45" spans="1:37" s="290" customFormat="1" ht="20.100000000000001" customHeight="1" x14ac:dyDescent="0.25">
      <c r="D45" s="316"/>
      <c r="E45" s="316"/>
      <c r="F45" s="317"/>
      <c r="J45" s="319"/>
      <c r="L45" s="205"/>
      <c r="M45" s="206"/>
    </row>
    <row r="46" spans="1:37" s="290" customFormat="1" ht="20.100000000000001" customHeight="1" x14ac:dyDescent="0.25">
      <c r="D46" s="316"/>
      <c r="E46" s="316"/>
      <c r="F46" s="317"/>
      <c r="J46" s="319"/>
      <c r="L46" s="205"/>
      <c r="M46" s="206"/>
    </row>
    <row r="47" spans="1:37" s="290" customFormat="1" ht="20.100000000000001" customHeight="1" x14ac:dyDescent="0.25">
      <c r="D47" s="316"/>
      <c r="E47" s="316"/>
      <c r="F47" s="317"/>
      <c r="J47" s="319"/>
      <c r="L47" s="205"/>
      <c r="M47" s="206"/>
    </row>
    <row r="48" spans="1:37" s="290" customFormat="1" ht="20.100000000000001" customHeight="1" x14ac:dyDescent="0.25">
      <c r="D48" s="316"/>
      <c r="E48" s="316"/>
      <c r="F48" s="317"/>
      <c r="J48" s="319"/>
      <c r="L48" s="205"/>
      <c r="M48" s="206"/>
    </row>
    <row r="49" spans="4:13" s="290" customFormat="1" ht="20.100000000000001" customHeight="1" x14ac:dyDescent="0.25">
      <c r="D49" s="316"/>
      <c r="E49" s="316"/>
      <c r="F49" s="317"/>
      <c r="J49" s="319"/>
      <c r="L49" s="205"/>
      <c r="M49" s="206"/>
    </row>
    <row r="50" spans="4:13" s="290" customFormat="1" ht="20.100000000000001" customHeight="1" x14ac:dyDescent="0.25">
      <c r="D50" s="316"/>
      <c r="E50" s="316"/>
      <c r="F50" s="317"/>
      <c r="J50" s="319"/>
      <c r="L50" s="205"/>
      <c r="M50" s="206"/>
    </row>
    <row r="51" spans="4:13" s="290" customFormat="1" ht="20.100000000000001" customHeight="1" x14ac:dyDescent="0.25">
      <c r="D51" s="316"/>
      <c r="E51" s="316"/>
      <c r="F51" s="317"/>
      <c r="J51" s="319"/>
      <c r="L51" s="205"/>
      <c r="M51" s="206"/>
    </row>
    <row r="52" spans="4:13" s="290" customFormat="1" ht="15" x14ac:dyDescent="0.25">
      <c r="D52" s="316"/>
      <c r="E52" s="316"/>
      <c r="F52" s="317"/>
      <c r="J52" s="319"/>
    </row>
    <row r="53" spans="4:13" s="290" customFormat="1" ht="15" x14ac:dyDescent="0.25">
      <c r="D53" s="316"/>
      <c r="E53" s="316"/>
      <c r="F53" s="317"/>
      <c r="J53" s="319"/>
    </row>
    <row r="54" spans="4:13" s="290" customFormat="1" ht="15" x14ac:dyDescent="0.25">
      <c r="D54" s="316"/>
      <c r="E54" s="316"/>
      <c r="F54" s="317"/>
      <c r="J54" s="319"/>
    </row>
    <row r="55" spans="4:13" s="290" customFormat="1" ht="15" x14ac:dyDescent="0.25">
      <c r="D55" s="316"/>
      <c r="E55" s="316"/>
      <c r="F55" s="317"/>
      <c r="J55" s="319"/>
    </row>
    <row r="56" spans="4:13" s="290" customFormat="1" ht="15" x14ac:dyDescent="0.25">
      <c r="D56" s="316"/>
      <c r="E56" s="316"/>
      <c r="F56" s="317"/>
      <c r="J56" s="319"/>
    </row>
    <row r="57" spans="4:13" s="290" customFormat="1" ht="15" x14ac:dyDescent="0.25">
      <c r="D57" s="316"/>
      <c r="E57" s="316"/>
      <c r="F57" s="317"/>
      <c r="J57" s="319"/>
    </row>
    <row r="58" spans="4:13" s="290" customFormat="1" ht="15" x14ac:dyDescent="0.25">
      <c r="D58" s="316"/>
      <c r="E58" s="316"/>
      <c r="F58" s="317"/>
      <c r="J58" s="319"/>
    </row>
    <row r="59" spans="4:13" s="290" customFormat="1" ht="15" x14ac:dyDescent="0.25">
      <c r="D59" s="316"/>
      <c r="E59" s="316"/>
      <c r="F59" s="317"/>
      <c r="J59" s="319"/>
    </row>
    <row r="60" spans="4:13" s="290" customFormat="1" ht="15" x14ac:dyDescent="0.25">
      <c r="D60" s="316"/>
      <c r="E60" s="316"/>
      <c r="F60" s="317"/>
      <c r="J60" s="319"/>
    </row>
    <row r="61" spans="4:13" s="290" customFormat="1" ht="15" x14ac:dyDescent="0.25">
      <c r="D61" s="316"/>
      <c r="E61" s="316"/>
      <c r="F61" s="317"/>
      <c r="J61" s="319"/>
    </row>
    <row r="62" spans="4:13" s="290" customFormat="1" ht="15" x14ac:dyDescent="0.25">
      <c r="D62" s="316"/>
      <c r="E62" s="316"/>
      <c r="F62" s="317"/>
      <c r="J62" s="319"/>
    </row>
    <row r="63" spans="4:13" s="290" customFormat="1" ht="15" x14ac:dyDescent="0.25">
      <c r="D63" s="316"/>
      <c r="E63" s="316"/>
      <c r="F63" s="317"/>
      <c r="J63" s="319"/>
    </row>
    <row r="64" spans="4:13" s="290" customFormat="1" ht="15" x14ac:dyDescent="0.25">
      <c r="D64" s="316"/>
      <c r="E64" s="316"/>
      <c r="F64" s="317"/>
      <c r="J64" s="319"/>
    </row>
    <row r="65" spans="4:10" s="290" customFormat="1" ht="15" x14ac:dyDescent="0.25">
      <c r="D65" s="316"/>
      <c r="E65" s="316"/>
      <c r="F65" s="317"/>
      <c r="J65" s="319"/>
    </row>
    <row r="66" spans="4:10" s="290" customFormat="1" ht="15" x14ac:dyDescent="0.25">
      <c r="D66" s="316"/>
      <c r="E66" s="316"/>
      <c r="F66" s="317"/>
      <c r="J66" s="319"/>
    </row>
    <row r="67" spans="4:10" s="290" customFormat="1" ht="15" x14ac:dyDescent="0.25">
      <c r="D67" s="316"/>
      <c r="E67" s="316"/>
      <c r="F67" s="317"/>
      <c r="J67" s="319"/>
    </row>
    <row r="68" spans="4:10" s="290" customFormat="1" ht="15" x14ac:dyDescent="0.25">
      <c r="D68" s="316"/>
      <c r="E68" s="316"/>
      <c r="F68" s="317"/>
      <c r="J68" s="319"/>
    </row>
    <row r="69" spans="4:10" s="290" customFormat="1" ht="15" x14ac:dyDescent="0.25">
      <c r="D69" s="316"/>
      <c r="E69" s="316"/>
      <c r="F69" s="317"/>
      <c r="J69" s="319"/>
    </row>
    <row r="70" spans="4:10" s="290" customFormat="1" ht="15" x14ac:dyDescent="0.25">
      <c r="D70" s="316"/>
      <c r="E70" s="316"/>
      <c r="F70" s="317"/>
      <c r="J70" s="319"/>
    </row>
    <row r="71" spans="4:10" s="290" customFormat="1" ht="15" x14ac:dyDescent="0.25">
      <c r="D71" s="316"/>
      <c r="E71" s="316"/>
      <c r="F71" s="317"/>
      <c r="J71" s="319"/>
    </row>
    <row r="72" spans="4:10" s="290" customFormat="1" ht="15" x14ac:dyDescent="0.25">
      <c r="D72" s="316"/>
      <c r="E72" s="316"/>
      <c r="F72" s="317"/>
      <c r="J72" s="319"/>
    </row>
    <row r="73" spans="4:10" s="290" customFormat="1" ht="15" x14ac:dyDescent="0.25">
      <c r="D73" s="316"/>
      <c r="E73" s="316"/>
      <c r="F73" s="317"/>
      <c r="J73" s="319"/>
    </row>
    <row r="74" spans="4:10" s="290" customFormat="1" ht="15" x14ac:dyDescent="0.25">
      <c r="D74" s="316"/>
      <c r="E74" s="316"/>
      <c r="F74" s="317"/>
      <c r="J74" s="319"/>
    </row>
    <row r="75" spans="4:10" s="290" customFormat="1" ht="15" x14ac:dyDescent="0.25">
      <c r="D75" s="316"/>
      <c r="E75" s="316"/>
      <c r="F75" s="317"/>
      <c r="J75" s="319"/>
    </row>
    <row r="76" spans="4:10" s="290" customFormat="1" ht="15" x14ac:dyDescent="0.25">
      <c r="D76" s="316"/>
      <c r="E76" s="316"/>
      <c r="F76" s="317"/>
      <c r="J76" s="319"/>
    </row>
    <row r="77" spans="4:10" s="290" customFormat="1" ht="15" x14ac:dyDescent="0.25">
      <c r="D77" s="316"/>
      <c r="E77" s="316"/>
      <c r="F77" s="317"/>
      <c r="J77" s="319"/>
    </row>
    <row r="78" spans="4:10" s="290" customFormat="1" ht="15" x14ac:dyDescent="0.25">
      <c r="D78" s="316"/>
      <c r="E78" s="316"/>
      <c r="F78" s="317"/>
      <c r="J78" s="319"/>
    </row>
    <row r="79" spans="4:10" s="290" customFormat="1" ht="15" x14ac:dyDescent="0.25">
      <c r="D79" s="316"/>
      <c r="E79" s="316"/>
      <c r="F79" s="317"/>
      <c r="J79" s="319"/>
    </row>
    <row r="80" spans="4:10" s="290" customFormat="1" ht="15" x14ac:dyDescent="0.25">
      <c r="D80" s="316"/>
      <c r="E80" s="316"/>
      <c r="F80" s="317"/>
      <c r="J80" s="319"/>
    </row>
    <row r="81" spans="6:10" s="290" customFormat="1" ht="15" x14ac:dyDescent="0.25">
      <c r="F81" s="317"/>
      <c r="J81" s="319"/>
    </row>
    <row r="82" spans="6:10" s="290" customFormat="1" ht="15" x14ac:dyDescent="0.25">
      <c r="F82" s="317"/>
      <c r="J82" s="319"/>
    </row>
    <row r="83" spans="6:10" s="290" customFormat="1" ht="15" x14ac:dyDescent="0.25">
      <c r="F83" s="317"/>
      <c r="J83" s="319"/>
    </row>
    <row r="84" spans="6:10" s="290" customFormat="1" ht="15" x14ac:dyDescent="0.25">
      <c r="F84" s="317"/>
      <c r="J84" s="319"/>
    </row>
    <row r="85" spans="6:10" s="290" customFormat="1" ht="15" x14ac:dyDescent="0.25">
      <c r="F85" s="317"/>
      <c r="J85" s="319"/>
    </row>
    <row r="86" spans="6:10" s="290" customFormat="1" ht="15" x14ac:dyDescent="0.25">
      <c r="F86" s="317"/>
      <c r="J86" s="319"/>
    </row>
    <row r="87" spans="6:10" s="290" customFormat="1" ht="15" x14ac:dyDescent="0.25">
      <c r="F87" s="317"/>
      <c r="J87" s="319"/>
    </row>
    <row r="88" spans="6:10" s="290" customFormat="1" ht="15" x14ac:dyDescent="0.25">
      <c r="F88" s="317"/>
      <c r="J88" s="319"/>
    </row>
    <row r="89" spans="6:10" s="290" customFormat="1" ht="15" x14ac:dyDescent="0.25">
      <c r="F89" s="317"/>
      <c r="J89" s="319"/>
    </row>
    <row r="90" spans="6:10" s="290" customFormat="1" x14ac:dyDescent="0.2">
      <c r="J90" s="319"/>
    </row>
    <row r="91" spans="6:10" s="290" customFormat="1" x14ac:dyDescent="0.2">
      <c r="J91" s="319"/>
    </row>
    <row r="92" spans="6:10" s="290" customFormat="1" x14ac:dyDescent="0.2">
      <c r="J92" s="319"/>
    </row>
    <row r="93" spans="6:10" s="290" customFormat="1" x14ac:dyDescent="0.2">
      <c r="J93" s="319"/>
    </row>
    <row r="94" spans="6:10" s="290" customFormat="1" x14ac:dyDescent="0.2">
      <c r="J94" s="319"/>
    </row>
    <row r="95" spans="6:10" s="290" customFormat="1" x14ac:dyDescent="0.2">
      <c r="J95" s="319"/>
    </row>
    <row r="96" spans="6:10" s="290" customFormat="1" x14ac:dyDescent="0.2">
      <c r="J96" s="319"/>
    </row>
    <row r="97" spans="10:10" s="290" customFormat="1" x14ac:dyDescent="0.2">
      <c r="J97" s="319"/>
    </row>
    <row r="98" spans="10:10" s="290" customFormat="1" x14ac:dyDescent="0.2">
      <c r="J98" s="319"/>
    </row>
    <row r="99" spans="10:10" s="290" customFormat="1" x14ac:dyDescent="0.2">
      <c r="J99" s="319"/>
    </row>
    <row r="100" spans="10:10" s="290" customFormat="1" x14ac:dyDescent="0.2">
      <c r="J100" s="319"/>
    </row>
    <row r="101" spans="10:10" s="290" customFormat="1" x14ac:dyDescent="0.2">
      <c r="J101" s="319"/>
    </row>
    <row r="102" spans="10:10" s="290" customFormat="1" x14ac:dyDescent="0.2">
      <c r="J102" s="319"/>
    </row>
    <row r="103" spans="10:10" s="290" customFormat="1" x14ac:dyDescent="0.2">
      <c r="J103" s="319"/>
    </row>
    <row r="104" spans="10:10" s="290" customFormat="1" x14ac:dyDescent="0.2">
      <c r="J104" s="319"/>
    </row>
    <row r="105" spans="10:10" s="290" customFormat="1" x14ac:dyDescent="0.2">
      <c r="J105" s="319"/>
    </row>
    <row r="106" spans="10:10" s="290" customFormat="1" x14ac:dyDescent="0.2">
      <c r="J106" s="319"/>
    </row>
    <row r="107" spans="10:10" s="290" customFormat="1" x14ac:dyDescent="0.2">
      <c r="J107" s="319"/>
    </row>
    <row r="108" spans="10:10" s="290" customFormat="1" x14ac:dyDescent="0.2">
      <c r="J108" s="319"/>
    </row>
    <row r="109" spans="10:10" s="290" customFormat="1" x14ac:dyDescent="0.2">
      <c r="J109" s="319"/>
    </row>
    <row r="110" spans="10:10" s="290" customFormat="1" x14ac:dyDescent="0.2">
      <c r="J110" s="319"/>
    </row>
    <row r="111" spans="10:10" s="290" customFormat="1" x14ac:dyDescent="0.2">
      <c r="J111" s="319"/>
    </row>
    <row r="112" spans="10:10" s="290" customFormat="1" x14ac:dyDescent="0.2">
      <c r="J112" s="319"/>
    </row>
    <row r="113" spans="10:10" s="290" customFormat="1" x14ac:dyDescent="0.2">
      <c r="J113" s="319"/>
    </row>
    <row r="114" spans="10:10" s="290" customFormat="1" x14ac:dyDescent="0.2">
      <c r="J114" s="319"/>
    </row>
    <row r="115" spans="10:10" s="290" customFormat="1" x14ac:dyDescent="0.2">
      <c r="J115" s="319"/>
    </row>
    <row r="116" spans="10:10" s="290" customFormat="1" x14ac:dyDescent="0.2">
      <c r="J116" s="319"/>
    </row>
    <row r="117" spans="10:10" s="290" customFormat="1" x14ac:dyDescent="0.2">
      <c r="J117" s="319"/>
    </row>
    <row r="118" spans="10:10" s="290" customFormat="1" x14ac:dyDescent="0.2">
      <c r="J118" s="319"/>
    </row>
    <row r="119" spans="10:10" s="290" customFormat="1" x14ac:dyDescent="0.2">
      <c r="J119" s="319"/>
    </row>
    <row r="120" spans="10:10" s="290" customFormat="1" x14ac:dyDescent="0.2">
      <c r="J120" s="319"/>
    </row>
    <row r="121" spans="10:10" s="290" customFormat="1" x14ac:dyDescent="0.2">
      <c r="J121" s="319"/>
    </row>
    <row r="122" spans="10:10" s="290" customFormat="1" x14ac:dyDescent="0.2">
      <c r="J122" s="319"/>
    </row>
    <row r="123" spans="10:10" s="290" customFormat="1" x14ac:dyDescent="0.2">
      <c r="J123" s="319"/>
    </row>
    <row r="124" spans="10:10" s="290" customFormat="1" x14ac:dyDescent="0.2">
      <c r="J124" s="319"/>
    </row>
    <row r="125" spans="10:10" s="290" customFormat="1" x14ac:dyDescent="0.2">
      <c r="J125" s="319"/>
    </row>
    <row r="126" spans="10:10" s="290" customFormat="1" x14ac:dyDescent="0.2">
      <c r="J126" s="319"/>
    </row>
    <row r="127" spans="10:10" s="290" customFormat="1" x14ac:dyDescent="0.2">
      <c r="J127" s="319"/>
    </row>
    <row r="128" spans="10:10" s="290" customFormat="1" x14ac:dyDescent="0.2">
      <c r="J128" s="319"/>
    </row>
    <row r="129" spans="10:10" s="290" customFormat="1" x14ac:dyDescent="0.2">
      <c r="J129" s="319"/>
    </row>
    <row r="130" spans="10:10" s="290" customFormat="1" x14ac:dyDescent="0.2">
      <c r="J130" s="319"/>
    </row>
    <row r="131" spans="10:10" s="290" customFormat="1" x14ac:dyDescent="0.2">
      <c r="J131" s="319"/>
    </row>
    <row r="132" spans="10:10" s="290" customFormat="1" x14ac:dyDescent="0.2">
      <c r="J132" s="319"/>
    </row>
    <row r="133" spans="10:10" s="290" customFormat="1" x14ac:dyDescent="0.2">
      <c r="J133" s="319"/>
    </row>
    <row r="134" spans="10:10" s="290" customFormat="1" x14ac:dyDescent="0.2">
      <c r="J134" s="319"/>
    </row>
    <row r="135" spans="10:10" s="290" customFormat="1" x14ac:dyDescent="0.2">
      <c r="J135" s="319"/>
    </row>
    <row r="136" spans="10:10" s="290" customFormat="1" x14ac:dyDescent="0.2">
      <c r="J136" s="319"/>
    </row>
    <row r="137" spans="10:10" s="290" customFormat="1" x14ac:dyDescent="0.2">
      <c r="J137" s="319"/>
    </row>
    <row r="138" spans="10:10" s="290" customFormat="1" x14ac:dyDescent="0.2">
      <c r="J138" s="319"/>
    </row>
    <row r="139" spans="10:10" s="290" customFormat="1" x14ac:dyDescent="0.2">
      <c r="J139" s="319"/>
    </row>
    <row r="140" spans="10:10" s="290" customFormat="1" x14ac:dyDescent="0.2">
      <c r="J140" s="319"/>
    </row>
    <row r="141" spans="10:10" s="290" customFormat="1" x14ac:dyDescent="0.2">
      <c r="J141" s="319"/>
    </row>
    <row r="142" spans="10:10" s="290" customFormat="1" x14ac:dyDescent="0.2">
      <c r="J142" s="319"/>
    </row>
    <row r="143" spans="10:10" s="290" customFormat="1" x14ac:dyDescent="0.2">
      <c r="J143" s="319"/>
    </row>
    <row r="144" spans="10:10" s="290" customFormat="1" x14ac:dyDescent="0.2">
      <c r="J144" s="319"/>
    </row>
    <row r="145" spans="10:10" s="290" customFormat="1" x14ac:dyDescent="0.2">
      <c r="J145" s="319"/>
    </row>
    <row r="146" spans="10:10" s="290" customFormat="1" x14ac:dyDescent="0.2">
      <c r="J146" s="319"/>
    </row>
    <row r="147" spans="10:10" s="290" customFormat="1" x14ac:dyDescent="0.2">
      <c r="J147" s="319"/>
    </row>
    <row r="148" spans="10:10" s="290" customFormat="1" x14ac:dyDescent="0.2">
      <c r="J148" s="319"/>
    </row>
    <row r="149" spans="10:10" s="290" customFormat="1" x14ac:dyDescent="0.2">
      <c r="J149" s="319"/>
    </row>
    <row r="150" spans="10:10" s="290" customFormat="1" x14ac:dyDescent="0.2">
      <c r="J150" s="319"/>
    </row>
    <row r="151" spans="10:10" s="290" customFormat="1" x14ac:dyDescent="0.2">
      <c r="J151" s="319"/>
    </row>
    <row r="152" spans="10:10" s="290" customFormat="1" x14ac:dyDescent="0.2">
      <c r="J152" s="319"/>
    </row>
    <row r="153" spans="10:10" s="290" customFormat="1" x14ac:dyDescent="0.2">
      <c r="J153" s="319"/>
    </row>
    <row r="154" spans="10:10" s="290" customFormat="1" x14ac:dyDescent="0.2">
      <c r="J154" s="319"/>
    </row>
    <row r="155" spans="10:10" s="290" customFormat="1" x14ac:dyDescent="0.2">
      <c r="J155" s="319"/>
    </row>
    <row r="156" spans="10:10" s="290" customFormat="1" x14ac:dyDescent="0.2">
      <c r="J156" s="319"/>
    </row>
    <row r="157" spans="10:10" s="290" customFormat="1" x14ac:dyDescent="0.2">
      <c r="J157" s="319"/>
    </row>
    <row r="158" spans="10:10" s="290" customFormat="1" x14ac:dyDescent="0.2">
      <c r="J158" s="319"/>
    </row>
    <row r="159" spans="10:10" s="290" customFormat="1" x14ac:dyDescent="0.2">
      <c r="J159" s="319"/>
    </row>
    <row r="160" spans="10:10" s="290" customFormat="1" x14ac:dyDescent="0.2">
      <c r="J160" s="319"/>
    </row>
    <row r="161" spans="10:10" s="290" customFormat="1" x14ac:dyDescent="0.2">
      <c r="J161" s="319"/>
    </row>
    <row r="162" spans="10:10" s="290" customFormat="1" x14ac:dyDescent="0.2">
      <c r="J162" s="319"/>
    </row>
    <row r="163" spans="10:10" s="290" customFormat="1" x14ac:dyDescent="0.2">
      <c r="J163" s="319"/>
    </row>
    <row r="164" spans="10:10" s="290" customFormat="1" x14ac:dyDescent="0.2">
      <c r="J164" s="319"/>
    </row>
    <row r="165" spans="10:10" s="290" customFormat="1" x14ac:dyDescent="0.2">
      <c r="J165" s="319"/>
    </row>
    <row r="166" spans="10:10" s="290" customFormat="1" x14ac:dyDescent="0.2">
      <c r="J166" s="319"/>
    </row>
    <row r="167" spans="10:10" s="290" customFormat="1" x14ac:dyDescent="0.2">
      <c r="J167" s="319"/>
    </row>
    <row r="168" spans="10:10" s="290" customFormat="1" x14ac:dyDescent="0.2">
      <c r="J168" s="319"/>
    </row>
    <row r="169" spans="10:10" s="290" customFormat="1" x14ac:dyDescent="0.2">
      <c r="J169" s="319"/>
    </row>
    <row r="170" spans="10:10" s="290" customFormat="1" x14ac:dyDescent="0.2">
      <c r="J170" s="319"/>
    </row>
    <row r="171" spans="10:10" s="290" customFormat="1" x14ac:dyDescent="0.2">
      <c r="J171" s="319"/>
    </row>
    <row r="172" spans="10:10" s="290" customFormat="1" x14ac:dyDescent="0.2">
      <c r="J172" s="319"/>
    </row>
    <row r="173" spans="10:10" s="290" customFormat="1" x14ac:dyDescent="0.2">
      <c r="J173" s="319"/>
    </row>
    <row r="174" spans="10:10" s="290" customFormat="1" x14ac:dyDescent="0.2">
      <c r="J174" s="319"/>
    </row>
    <row r="175" spans="10:10" s="290" customFormat="1" x14ac:dyDescent="0.2">
      <c r="J175" s="319"/>
    </row>
    <row r="176" spans="10:10" s="290" customFormat="1" x14ac:dyDescent="0.2">
      <c r="J176" s="319"/>
    </row>
    <row r="177" spans="10:10" s="290" customFormat="1" x14ac:dyDescent="0.2">
      <c r="J177" s="319"/>
    </row>
    <row r="178" spans="10:10" s="290" customFormat="1" x14ac:dyDescent="0.2">
      <c r="J178" s="319"/>
    </row>
    <row r="179" spans="10:10" s="290" customFormat="1" x14ac:dyDescent="0.2">
      <c r="J179" s="319"/>
    </row>
    <row r="180" spans="10:10" s="290" customFormat="1" x14ac:dyDescent="0.2">
      <c r="J180" s="319"/>
    </row>
    <row r="181" spans="10:10" s="290" customFormat="1" x14ac:dyDescent="0.2">
      <c r="J181" s="319"/>
    </row>
    <row r="182" spans="10:10" s="290" customFormat="1" x14ac:dyDescent="0.2">
      <c r="J182" s="319"/>
    </row>
    <row r="183" spans="10:10" s="290" customFormat="1" x14ac:dyDescent="0.2">
      <c r="J183" s="319"/>
    </row>
    <row r="184" spans="10:10" s="290" customFormat="1" x14ac:dyDescent="0.2">
      <c r="J184" s="319"/>
    </row>
    <row r="185" spans="10:10" s="290" customFormat="1" x14ac:dyDescent="0.2">
      <c r="J185" s="319"/>
    </row>
    <row r="186" spans="10:10" s="290" customFormat="1" x14ac:dyDescent="0.2">
      <c r="J186" s="319"/>
    </row>
    <row r="187" spans="10:10" s="290" customFormat="1" x14ac:dyDescent="0.2">
      <c r="J187" s="319"/>
    </row>
    <row r="188" spans="10:10" s="290" customFormat="1" x14ac:dyDescent="0.2">
      <c r="J188" s="319"/>
    </row>
    <row r="189" spans="10:10" s="290" customFormat="1" x14ac:dyDescent="0.2">
      <c r="J189" s="319"/>
    </row>
    <row r="190" spans="10:10" s="290" customFormat="1" x14ac:dyDescent="0.2">
      <c r="J190" s="319"/>
    </row>
    <row r="191" spans="10:10" s="290" customFormat="1" x14ac:dyDescent="0.2">
      <c r="J191" s="319"/>
    </row>
    <row r="192" spans="10:10" s="290" customFormat="1" x14ac:dyDescent="0.2">
      <c r="J192" s="319"/>
    </row>
    <row r="193" spans="10:10" s="290" customFormat="1" x14ac:dyDescent="0.2">
      <c r="J193" s="319"/>
    </row>
    <row r="194" spans="10:10" s="290" customFormat="1" x14ac:dyDescent="0.2">
      <c r="J194" s="319"/>
    </row>
    <row r="195" spans="10:10" s="290" customFormat="1" x14ac:dyDescent="0.2">
      <c r="J195" s="319"/>
    </row>
    <row r="196" spans="10:10" s="290" customFormat="1" x14ac:dyDescent="0.2">
      <c r="J196" s="319"/>
    </row>
    <row r="197" spans="10:10" s="290" customFormat="1" x14ac:dyDescent="0.2">
      <c r="J197" s="319"/>
    </row>
    <row r="198" spans="10:10" s="290" customFormat="1" x14ac:dyDescent="0.2">
      <c r="J198" s="319"/>
    </row>
    <row r="199" spans="10:10" s="290" customFormat="1" x14ac:dyDescent="0.2">
      <c r="J199" s="319"/>
    </row>
    <row r="200" spans="10:10" s="290" customFormat="1" x14ac:dyDescent="0.2">
      <c r="J200" s="319"/>
    </row>
    <row r="201" spans="10:10" s="290" customFormat="1" x14ac:dyDescent="0.2">
      <c r="J201" s="319"/>
    </row>
    <row r="202" spans="10:10" s="290" customFormat="1" x14ac:dyDescent="0.2">
      <c r="J202" s="319"/>
    </row>
    <row r="203" spans="10:10" s="290" customFormat="1" x14ac:dyDescent="0.2">
      <c r="J203" s="319"/>
    </row>
    <row r="204" spans="10:10" s="290" customFormat="1" x14ac:dyDescent="0.2">
      <c r="J204" s="319"/>
    </row>
    <row r="205" spans="10:10" s="290" customFormat="1" x14ac:dyDescent="0.2">
      <c r="J205" s="319"/>
    </row>
    <row r="206" spans="10:10" s="290" customFormat="1" x14ac:dyDescent="0.2">
      <c r="J206" s="319"/>
    </row>
    <row r="207" spans="10:10" s="290" customFormat="1" x14ac:dyDescent="0.2">
      <c r="J207" s="319"/>
    </row>
    <row r="208" spans="10:10" s="290" customFormat="1" x14ac:dyDescent="0.2">
      <c r="J208" s="319"/>
    </row>
    <row r="209" spans="10:10" s="290" customFormat="1" x14ac:dyDescent="0.2">
      <c r="J209" s="319"/>
    </row>
    <row r="210" spans="10:10" s="290" customFormat="1" x14ac:dyDescent="0.2">
      <c r="J210" s="319"/>
    </row>
    <row r="211" spans="10:10" s="290" customFormat="1" x14ac:dyDescent="0.2">
      <c r="J211" s="319"/>
    </row>
    <row r="212" spans="10:10" s="290" customFormat="1" x14ac:dyDescent="0.2">
      <c r="J212" s="319"/>
    </row>
    <row r="213" spans="10:10" s="290" customFormat="1" x14ac:dyDescent="0.2">
      <c r="J213" s="319"/>
    </row>
    <row r="214" spans="10:10" s="290" customFormat="1" x14ac:dyDescent="0.2">
      <c r="J214" s="319"/>
    </row>
    <row r="215" spans="10:10" s="290" customFormat="1" x14ac:dyDescent="0.2">
      <c r="J215" s="319"/>
    </row>
    <row r="216" spans="10:10" s="290" customFormat="1" x14ac:dyDescent="0.2">
      <c r="J216" s="319"/>
    </row>
    <row r="217" spans="10:10" s="290" customFormat="1" x14ac:dyDescent="0.2">
      <c r="J217" s="319"/>
    </row>
    <row r="218" spans="10:10" s="290" customFormat="1" x14ac:dyDescent="0.2">
      <c r="J218" s="319"/>
    </row>
    <row r="219" spans="10:10" s="290" customFormat="1" x14ac:dyDescent="0.2">
      <c r="J219" s="319"/>
    </row>
    <row r="220" spans="10:10" s="290" customFormat="1" x14ac:dyDescent="0.2">
      <c r="J220" s="319"/>
    </row>
    <row r="221" spans="10:10" s="290" customFormat="1" x14ac:dyDescent="0.2">
      <c r="J221" s="319"/>
    </row>
    <row r="222" spans="10:10" s="290" customFormat="1" x14ac:dyDescent="0.2">
      <c r="J222" s="319"/>
    </row>
    <row r="223" spans="10:10" s="290" customFormat="1" x14ac:dyDescent="0.2">
      <c r="J223" s="319"/>
    </row>
    <row r="224" spans="10:10" s="290" customFormat="1" x14ac:dyDescent="0.2">
      <c r="J224" s="319"/>
    </row>
    <row r="225" spans="10:10" s="290" customFormat="1" x14ac:dyDescent="0.2">
      <c r="J225" s="319"/>
    </row>
    <row r="226" spans="10:10" s="290" customFormat="1" x14ac:dyDescent="0.2">
      <c r="J226" s="319"/>
    </row>
    <row r="227" spans="10:10" s="290" customFormat="1" x14ac:dyDescent="0.2">
      <c r="J227" s="319"/>
    </row>
    <row r="228" spans="10:10" s="290" customFormat="1" x14ac:dyDescent="0.2">
      <c r="J228" s="319"/>
    </row>
    <row r="229" spans="10:10" s="290" customFormat="1" x14ac:dyDescent="0.2">
      <c r="J229" s="319"/>
    </row>
    <row r="230" spans="10:10" s="290" customFormat="1" x14ac:dyDescent="0.2">
      <c r="J230" s="319"/>
    </row>
    <row r="231" spans="10:10" s="290" customFormat="1" x14ac:dyDescent="0.2">
      <c r="J231" s="319"/>
    </row>
    <row r="232" spans="10:10" s="290" customFormat="1" x14ac:dyDescent="0.2">
      <c r="J232" s="319"/>
    </row>
    <row r="233" spans="10:10" s="290" customFormat="1" x14ac:dyDescent="0.2">
      <c r="J233" s="319"/>
    </row>
    <row r="234" spans="10:10" s="290" customFormat="1" x14ac:dyDescent="0.2">
      <c r="J234" s="319"/>
    </row>
    <row r="235" spans="10:10" s="290" customFormat="1" x14ac:dyDescent="0.2">
      <c r="J235" s="319"/>
    </row>
    <row r="236" spans="10:10" s="290" customFormat="1" x14ac:dyDescent="0.2">
      <c r="J236" s="319"/>
    </row>
    <row r="237" spans="10:10" s="290" customFormat="1" x14ac:dyDescent="0.2">
      <c r="J237" s="319"/>
    </row>
    <row r="238" spans="10:10" s="290" customFormat="1" x14ac:dyDescent="0.2">
      <c r="J238" s="319"/>
    </row>
    <row r="239" spans="10:10" s="290" customFormat="1" x14ac:dyDescent="0.2">
      <c r="J239" s="319"/>
    </row>
    <row r="240" spans="10:10" s="290" customFormat="1" x14ac:dyDescent="0.2">
      <c r="J240" s="319"/>
    </row>
    <row r="241" spans="10:10" s="290" customFormat="1" x14ac:dyDescent="0.2">
      <c r="J241" s="319"/>
    </row>
    <row r="242" spans="10:10" s="290" customFormat="1" x14ac:dyDescent="0.2">
      <c r="J242" s="319"/>
    </row>
    <row r="243" spans="10:10" s="290" customFormat="1" x14ac:dyDescent="0.2">
      <c r="J243" s="319"/>
    </row>
    <row r="244" spans="10:10" s="290" customFormat="1" x14ac:dyDescent="0.2">
      <c r="J244" s="319"/>
    </row>
    <row r="245" spans="10:10" s="290" customFormat="1" x14ac:dyDescent="0.2">
      <c r="J245" s="319"/>
    </row>
    <row r="246" spans="10:10" s="290" customFormat="1" x14ac:dyDescent="0.2">
      <c r="J246" s="319"/>
    </row>
    <row r="247" spans="10:10" s="290" customFormat="1" x14ac:dyDescent="0.2">
      <c r="J247" s="319"/>
    </row>
    <row r="248" spans="10:10" s="290" customFormat="1" x14ac:dyDescent="0.2">
      <c r="J248" s="319"/>
    </row>
    <row r="249" spans="10:10" s="290" customFormat="1" x14ac:dyDescent="0.2">
      <c r="J249" s="319"/>
    </row>
    <row r="250" spans="10:10" s="290" customFormat="1" x14ac:dyDescent="0.2">
      <c r="J250" s="319"/>
    </row>
    <row r="251" spans="10:10" s="290" customFormat="1" x14ac:dyDescent="0.2">
      <c r="J251" s="319"/>
    </row>
    <row r="252" spans="10:10" s="290" customFormat="1" x14ac:dyDescent="0.2">
      <c r="J252" s="319"/>
    </row>
    <row r="253" spans="10:10" s="290" customFormat="1" x14ac:dyDescent="0.2">
      <c r="J253" s="319"/>
    </row>
    <row r="254" spans="10:10" s="290" customFormat="1" x14ac:dyDescent="0.2">
      <c r="J254" s="319"/>
    </row>
    <row r="255" spans="10:10" s="290" customFormat="1" x14ac:dyDescent="0.2">
      <c r="J255" s="319"/>
    </row>
    <row r="256" spans="10:10" s="290" customFormat="1" x14ac:dyDescent="0.2">
      <c r="J256" s="319"/>
    </row>
    <row r="257" spans="10:10" s="290" customFormat="1" x14ac:dyDescent="0.2">
      <c r="J257" s="319"/>
    </row>
    <row r="258" spans="10:10" s="290" customFormat="1" x14ac:dyDescent="0.2">
      <c r="J258" s="319"/>
    </row>
    <row r="259" spans="10:10" s="290" customFormat="1" x14ac:dyDescent="0.2">
      <c r="J259" s="319"/>
    </row>
    <row r="260" spans="10:10" s="290" customFormat="1" x14ac:dyDescent="0.2">
      <c r="J260" s="319"/>
    </row>
    <row r="261" spans="10:10" s="290" customFormat="1" x14ac:dyDescent="0.2">
      <c r="J261" s="319"/>
    </row>
    <row r="262" spans="10:10" s="290" customFormat="1" x14ac:dyDescent="0.2">
      <c r="J262" s="319"/>
    </row>
    <row r="263" spans="10:10" s="290" customFormat="1" x14ac:dyDescent="0.2">
      <c r="J263" s="319"/>
    </row>
    <row r="264" spans="10:10" s="290" customFormat="1" x14ac:dyDescent="0.2">
      <c r="J264" s="319"/>
    </row>
    <row r="265" spans="10:10" s="290" customFormat="1" x14ac:dyDescent="0.2">
      <c r="J265" s="319"/>
    </row>
    <row r="266" spans="10:10" s="290" customFormat="1" x14ac:dyDescent="0.2">
      <c r="J266" s="319"/>
    </row>
    <row r="267" spans="10:10" s="290" customFormat="1" x14ac:dyDescent="0.2">
      <c r="J267" s="319"/>
    </row>
    <row r="268" spans="10:10" s="290" customFormat="1" x14ac:dyDescent="0.2">
      <c r="J268" s="319"/>
    </row>
    <row r="269" spans="10:10" s="290" customFormat="1" x14ac:dyDescent="0.2">
      <c r="J269" s="319"/>
    </row>
    <row r="270" spans="10:10" s="290" customFormat="1" x14ac:dyDescent="0.2">
      <c r="J270" s="319"/>
    </row>
    <row r="271" spans="10:10" s="290" customFormat="1" x14ac:dyDescent="0.2">
      <c r="J271" s="319"/>
    </row>
    <row r="272" spans="10:10" s="290" customFormat="1" x14ac:dyDescent="0.2">
      <c r="J272" s="319"/>
    </row>
    <row r="273" spans="10:10" s="290" customFormat="1" x14ac:dyDescent="0.2">
      <c r="J273" s="319"/>
    </row>
    <row r="274" spans="10:10" s="290" customFormat="1" x14ac:dyDescent="0.2">
      <c r="J274" s="319"/>
    </row>
    <row r="275" spans="10:10" s="290" customFormat="1" x14ac:dyDescent="0.2">
      <c r="J275" s="319"/>
    </row>
    <row r="276" spans="10:10" s="290" customFormat="1" x14ac:dyDescent="0.2">
      <c r="J276" s="319"/>
    </row>
    <row r="277" spans="10:10" s="290" customFormat="1" x14ac:dyDescent="0.2">
      <c r="J277" s="319"/>
    </row>
    <row r="278" spans="10:10" s="290" customFormat="1" x14ac:dyDescent="0.2">
      <c r="J278" s="319"/>
    </row>
    <row r="279" spans="10:10" s="290" customFormat="1" x14ac:dyDescent="0.2">
      <c r="J279" s="319"/>
    </row>
    <row r="280" spans="10:10" s="290" customFormat="1" x14ac:dyDescent="0.2">
      <c r="J280" s="319"/>
    </row>
    <row r="281" spans="10:10" s="290" customFormat="1" x14ac:dyDescent="0.2">
      <c r="J281" s="319"/>
    </row>
    <row r="282" spans="10:10" s="290" customFormat="1" x14ac:dyDescent="0.2">
      <c r="J282" s="319"/>
    </row>
    <row r="283" spans="10:10" s="290" customFormat="1" x14ac:dyDescent="0.2">
      <c r="J283" s="319"/>
    </row>
    <row r="284" spans="10:10" s="290" customFormat="1" x14ac:dyDescent="0.2">
      <c r="J284" s="319"/>
    </row>
    <row r="285" spans="10:10" s="290" customFormat="1" x14ac:dyDescent="0.2">
      <c r="J285" s="319"/>
    </row>
    <row r="286" spans="10:10" s="290" customFormat="1" x14ac:dyDescent="0.2">
      <c r="J286" s="319"/>
    </row>
    <row r="287" spans="10:10" s="290" customFormat="1" x14ac:dyDescent="0.2">
      <c r="J287" s="319"/>
    </row>
    <row r="288" spans="10:10" s="290" customFormat="1" x14ac:dyDescent="0.2">
      <c r="J288" s="319"/>
    </row>
    <row r="289" spans="10:10" s="290" customFormat="1" x14ac:dyDescent="0.2">
      <c r="J289" s="319"/>
    </row>
    <row r="290" spans="10:10" s="290" customFormat="1" x14ac:dyDescent="0.2">
      <c r="J290" s="319"/>
    </row>
    <row r="291" spans="10:10" s="290" customFormat="1" x14ac:dyDescent="0.2">
      <c r="J291" s="319"/>
    </row>
    <row r="292" spans="10:10" s="290" customFormat="1" x14ac:dyDescent="0.2">
      <c r="J292" s="319"/>
    </row>
    <row r="293" spans="10:10" s="290" customFormat="1" x14ac:dyDescent="0.2">
      <c r="J293" s="319"/>
    </row>
    <row r="294" spans="10:10" s="290" customFormat="1" x14ac:dyDescent="0.2">
      <c r="J294" s="319"/>
    </row>
    <row r="295" spans="10:10" s="290" customFormat="1" x14ac:dyDescent="0.2">
      <c r="J295" s="319"/>
    </row>
    <row r="296" spans="10:10" s="290" customFormat="1" x14ac:dyDescent="0.2">
      <c r="J296" s="319"/>
    </row>
    <row r="297" spans="10:10" s="290" customFormat="1" x14ac:dyDescent="0.2">
      <c r="J297" s="319"/>
    </row>
    <row r="298" spans="10:10" s="290" customFormat="1" x14ac:dyDescent="0.2">
      <c r="J298" s="319"/>
    </row>
    <row r="299" spans="10:10" s="290" customFormat="1" x14ac:dyDescent="0.2">
      <c r="J299" s="319"/>
    </row>
    <row r="300" spans="10:10" s="290" customFormat="1" x14ac:dyDescent="0.2">
      <c r="J300" s="319"/>
    </row>
    <row r="301" spans="10:10" s="290" customFormat="1" x14ac:dyDescent="0.2">
      <c r="J301" s="319"/>
    </row>
    <row r="302" spans="10:10" s="290" customFormat="1" x14ac:dyDescent="0.2">
      <c r="J302" s="319"/>
    </row>
    <row r="303" spans="10:10" s="290" customFormat="1" x14ac:dyDescent="0.2">
      <c r="J303" s="319"/>
    </row>
    <row r="304" spans="10:10" s="290" customFormat="1" x14ac:dyDescent="0.2">
      <c r="J304" s="319"/>
    </row>
    <row r="305" spans="10:10" s="290" customFormat="1" x14ac:dyDescent="0.2">
      <c r="J305" s="319"/>
    </row>
    <row r="306" spans="10:10" s="290" customFormat="1" x14ac:dyDescent="0.2">
      <c r="J306" s="319"/>
    </row>
    <row r="307" spans="10:10" s="290" customFormat="1" x14ac:dyDescent="0.2">
      <c r="J307" s="319"/>
    </row>
    <row r="308" spans="10:10" s="290" customFormat="1" x14ac:dyDescent="0.2">
      <c r="J308" s="319"/>
    </row>
    <row r="309" spans="10:10" s="290" customFormat="1" x14ac:dyDescent="0.2">
      <c r="J309" s="319"/>
    </row>
    <row r="310" spans="10:10" s="290" customFormat="1" x14ac:dyDescent="0.2">
      <c r="J310" s="319"/>
    </row>
    <row r="311" spans="10:10" s="290" customFormat="1" x14ac:dyDescent="0.2">
      <c r="J311" s="319"/>
    </row>
    <row r="312" spans="10:10" s="290" customFormat="1" x14ac:dyDescent="0.2">
      <c r="J312" s="319"/>
    </row>
    <row r="313" spans="10:10" s="290" customFormat="1" x14ac:dyDescent="0.2">
      <c r="J313" s="319"/>
    </row>
    <row r="314" spans="10:10" s="290" customFormat="1" x14ac:dyDescent="0.2">
      <c r="J314" s="319"/>
    </row>
    <row r="315" spans="10:10" s="290" customFormat="1" x14ac:dyDescent="0.2">
      <c r="J315" s="319"/>
    </row>
    <row r="316" spans="10:10" s="290" customFormat="1" x14ac:dyDescent="0.2">
      <c r="J316" s="319"/>
    </row>
    <row r="317" spans="10:10" s="290" customFormat="1" x14ac:dyDescent="0.2">
      <c r="J317" s="319"/>
    </row>
    <row r="318" spans="10:10" s="290" customFormat="1" x14ac:dyDescent="0.2">
      <c r="J318" s="319"/>
    </row>
    <row r="319" spans="10:10" s="290" customFormat="1" x14ac:dyDescent="0.2">
      <c r="J319" s="319"/>
    </row>
    <row r="320" spans="10:10" s="290" customFormat="1" x14ac:dyDescent="0.2">
      <c r="J320" s="319"/>
    </row>
    <row r="321" spans="10:10" s="290" customFormat="1" x14ac:dyDescent="0.2">
      <c r="J321" s="319"/>
    </row>
    <row r="322" spans="10:10" s="290" customFormat="1" x14ac:dyDescent="0.2">
      <c r="J322" s="319"/>
    </row>
    <row r="323" spans="10:10" s="290" customFormat="1" x14ac:dyDescent="0.2">
      <c r="J323" s="319"/>
    </row>
    <row r="324" spans="10:10" s="290" customFormat="1" x14ac:dyDescent="0.2">
      <c r="J324" s="319"/>
    </row>
    <row r="325" spans="10:10" s="290" customFormat="1" x14ac:dyDescent="0.2">
      <c r="J325" s="319"/>
    </row>
    <row r="326" spans="10:10" s="290" customFormat="1" x14ac:dyDescent="0.2">
      <c r="J326" s="319"/>
    </row>
    <row r="327" spans="10:10" s="290" customFormat="1" x14ac:dyDescent="0.2">
      <c r="J327" s="319"/>
    </row>
    <row r="328" spans="10:10" s="290" customFormat="1" x14ac:dyDescent="0.2">
      <c r="J328" s="319"/>
    </row>
    <row r="329" spans="10:10" s="290" customFormat="1" x14ac:dyDescent="0.2">
      <c r="J329" s="319"/>
    </row>
    <row r="330" spans="10:10" s="290" customFormat="1" x14ac:dyDescent="0.2">
      <c r="J330" s="319"/>
    </row>
    <row r="331" spans="10:10" s="290" customFormat="1" x14ac:dyDescent="0.2">
      <c r="J331" s="319"/>
    </row>
    <row r="332" spans="10:10" s="290" customFormat="1" x14ac:dyDescent="0.2">
      <c r="J332" s="319"/>
    </row>
    <row r="333" spans="10:10" s="290" customFormat="1" x14ac:dyDescent="0.2">
      <c r="J333" s="319"/>
    </row>
    <row r="334" spans="10:10" s="290" customFormat="1" x14ac:dyDescent="0.2">
      <c r="J334" s="319"/>
    </row>
    <row r="335" spans="10:10" s="290" customFormat="1" x14ac:dyDescent="0.2">
      <c r="J335" s="319"/>
    </row>
    <row r="336" spans="10:10" s="290" customFormat="1" x14ac:dyDescent="0.2">
      <c r="J336" s="319"/>
    </row>
    <row r="337" spans="10:10" s="290" customFormat="1" x14ac:dyDescent="0.2">
      <c r="J337" s="319"/>
    </row>
    <row r="338" spans="10:10" s="290" customFormat="1" x14ac:dyDescent="0.2">
      <c r="J338" s="319"/>
    </row>
    <row r="339" spans="10:10" s="290" customFormat="1" x14ac:dyDescent="0.2">
      <c r="J339" s="319"/>
    </row>
    <row r="340" spans="10:10" s="290" customFormat="1" x14ac:dyDescent="0.2">
      <c r="J340" s="319"/>
    </row>
    <row r="341" spans="10:10" s="290" customFormat="1" x14ac:dyDescent="0.2">
      <c r="J341" s="319"/>
    </row>
    <row r="342" spans="10:10" s="290" customFormat="1" x14ac:dyDescent="0.2">
      <c r="J342" s="319"/>
    </row>
    <row r="343" spans="10:10" s="290" customFormat="1" x14ac:dyDescent="0.2">
      <c r="J343" s="319"/>
    </row>
    <row r="344" spans="10:10" s="290" customFormat="1" x14ac:dyDescent="0.2">
      <c r="J344" s="319"/>
    </row>
    <row r="345" spans="10:10" s="290" customFormat="1" x14ac:dyDescent="0.2">
      <c r="J345" s="319"/>
    </row>
    <row r="346" spans="10:10" s="290" customFormat="1" x14ac:dyDescent="0.2">
      <c r="J346" s="319"/>
    </row>
    <row r="347" spans="10:10" s="290" customFormat="1" x14ac:dyDescent="0.2">
      <c r="J347" s="319"/>
    </row>
    <row r="348" spans="10:10" s="290" customFormat="1" x14ac:dyDescent="0.2">
      <c r="J348" s="319"/>
    </row>
    <row r="349" spans="10:10" s="290" customFormat="1" x14ac:dyDescent="0.2">
      <c r="J349" s="319"/>
    </row>
    <row r="350" spans="10:10" s="290" customFormat="1" x14ac:dyDescent="0.2">
      <c r="J350" s="319"/>
    </row>
    <row r="351" spans="10:10" s="290" customFormat="1" x14ac:dyDescent="0.2">
      <c r="J351" s="319"/>
    </row>
    <row r="352" spans="10:10" s="290" customFormat="1" x14ac:dyDescent="0.2">
      <c r="J352" s="319"/>
    </row>
    <row r="353" spans="10:10" s="290" customFormat="1" x14ac:dyDescent="0.2">
      <c r="J353" s="319"/>
    </row>
    <row r="354" spans="10:10" s="290" customFormat="1" x14ac:dyDescent="0.2">
      <c r="J354" s="319"/>
    </row>
    <row r="355" spans="10:10" s="290" customFormat="1" x14ac:dyDescent="0.2">
      <c r="J355" s="319"/>
    </row>
    <row r="356" spans="10:10" s="290" customFormat="1" x14ac:dyDescent="0.2">
      <c r="J356" s="319"/>
    </row>
    <row r="357" spans="10:10" s="290" customFormat="1" x14ac:dyDescent="0.2">
      <c r="J357" s="319"/>
    </row>
    <row r="358" spans="10:10" s="290" customFormat="1" x14ac:dyDescent="0.2">
      <c r="J358" s="319"/>
    </row>
    <row r="359" spans="10:10" s="290" customFormat="1" x14ac:dyDescent="0.2">
      <c r="J359" s="319"/>
    </row>
    <row r="360" spans="10:10" s="290" customFormat="1" x14ac:dyDescent="0.2">
      <c r="J360" s="319"/>
    </row>
    <row r="361" spans="10:10" s="290" customFormat="1" x14ac:dyDescent="0.2">
      <c r="J361" s="319"/>
    </row>
    <row r="362" spans="10:10" s="290" customFormat="1" x14ac:dyDescent="0.2">
      <c r="J362" s="319"/>
    </row>
    <row r="363" spans="10:10" s="290" customFormat="1" x14ac:dyDescent="0.2">
      <c r="J363" s="319"/>
    </row>
    <row r="364" spans="10:10" s="290" customFormat="1" x14ac:dyDescent="0.2">
      <c r="J364" s="319"/>
    </row>
    <row r="365" spans="10:10" s="290" customFormat="1" x14ac:dyDescent="0.2">
      <c r="J365" s="319"/>
    </row>
    <row r="366" spans="10:10" s="290" customFormat="1" x14ac:dyDescent="0.2">
      <c r="J366" s="319"/>
    </row>
    <row r="367" spans="10:10" s="290" customFormat="1" x14ac:dyDescent="0.2">
      <c r="J367" s="319"/>
    </row>
    <row r="368" spans="10:10" s="290" customFormat="1" x14ac:dyDescent="0.2">
      <c r="J368" s="319"/>
    </row>
    <row r="369" spans="10:10" s="290" customFormat="1" x14ac:dyDescent="0.2">
      <c r="J369" s="319"/>
    </row>
    <row r="370" spans="10:10" s="290" customFormat="1" x14ac:dyDescent="0.2">
      <c r="J370" s="319"/>
    </row>
    <row r="371" spans="10:10" s="290" customFormat="1" x14ac:dyDescent="0.2">
      <c r="J371" s="319"/>
    </row>
    <row r="372" spans="10:10" s="290" customFormat="1" x14ac:dyDescent="0.2">
      <c r="J372" s="319"/>
    </row>
    <row r="373" spans="10:10" s="290" customFormat="1" x14ac:dyDescent="0.2">
      <c r="J373" s="319"/>
    </row>
    <row r="374" spans="10:10" s="290" customFormat="1" x14ac:dyDescent="0.2">
      <c r="J374" s="319"/>
    </row>
    <row r="375" spans="10:10" s="290" customFormat="1" x14ac:dyDescent="0.2">
      <c r="J375" s="319"/>
    </row>
    <row r="376" spans="10:10" s="290" customFormat="1" x14ac:dyDescent="0.2">
      <c r="J376" s="319"/>
    </row>
    <row r="377" spans="10:10" s="290" customFormat="1" x14ac:dyDescent="0.2">
      <c r="J377" s="319"/>
    </row>
    <row r="378" spans="10:10" s="290" customFormat="1" x14ac:dyDescent="0.2">
      <c r="J378" s="319"/>
    </row>
    <row r="379" spans="10:10" s="290" customFormat="1" x14ac:dyDescent="0.2">
      <c r="J379" s="319"/>
    </row>
    <row r="380" spans="10:10" s="290" customFormat="1" x14ac:dyDescent="0.2">
      <c r="J380" s="319"/>
    </row>
    <row r="381" spans="10:10" s="290" customFormat="1" x14ac:dyDescent="0.2">
      <c r="J381" s="319"/>
    </row>
    <row r="382" spans="10:10" s="290" customFormat="1" x14ac:dyDescent="0.2">
      <c r="J382" s="319"/>
    </row>
    <row r="383" spans="10:10" s="290" customFormat="1" x14ac:dyDescent="0.2">
      <c r="J383" s="319"/>
    </row>
    <row r="384" spans="10:10" s="290" customFormat="1" x14ac:dyDescent="0.2">
      <c r="J384" s="319"/>
    </row>
    <row r="385" spans="10:10" s="290" customFormat="1" x14ac:dyDescent="0.2">
      <c r="J385" s="319"/>
    </row>
    <row r="386" spans="10:10" s="290" customFormat="1" x14ac:dyDescent="0.2">
      <c r="J386" s="319"/>
    </row>
    <row r="387" spans="10:10" s="290" customFormat="1" x14ac:dyDescent="0.2">
      <c r="J387" s="319"/>
    </row>
    <row r="388" spans="10:10" s="290" customFormat="1" x14ac:dyDescent="0.2">
      <c r="J388" s="319"/>
    </row>
    <row r="389" spans="10:10" s="290" customFormat="1" x14ac:dyDescent="0.2">
      <c r="J389" s="319"/>
    </row>
    <row r="390" spans="10:10" s="290" customFormat="1" x14ac:dyDescent="0.2">
      <c r="J390" s="319"/>
    </row>
    <row r="391" spans="10:10" s="290" customFormat="1" x14ac:dyDescent="0.2">
      <c r="J391" s="319"/>
    </row>
    <row r="392" spans="10:10" s="290" customFormat="1" x14ac:dyDescent="0.2">
      <c r="J392" s="319"/>
    </row>
    <row r="393" spans="10:10" s="290" customFormat="1" x14ac:dyDescent="0.2">
      <c r="J393" s="319"/>
    </row>
    <row r="394" spans="10:10" s="290" customFormat="1" x14ac:dyDescent="0.2">
      <c r="J394" s="319"/>
    </row>
    <row r="395" spans="10:10" s="290" customFormat="1" x14ac:dyDescent="0.2">
      <c r="J395" s="319"/>
    </row>
    <row r="396" spans="10:10" s="290" customFormat="1" x14ac:dyDescent="0.2">
      <c r="J396" s="319"/>
    </row>
    <row r="397" spans="10:10" s="290" customFormat="1" x14ac:dyDescent="0.2">
      <c r="J397" s="319"/>
    </row>
    <row r="398" spans="10:10" s="290" customFormat="1" x14ac:dyDescent="0.2">
      <c r="J398" s="319"/>
    </row>
    <row r="399" spans="10:10" s="290" customFormat="1" x14ac:dyDescent="0.2">
      <c r="J399" s="319"/>
    </row>
    <row r="400" spans="10:10" s="290" customFormat="1" x14ac:dyDescent="0.2">
      <c r="J400" s="319"/>
    </row>
    <row r="401" spans="10:10" s="290" customFormat="1" x14ac:dyDescent="0.2">
      <c r="J401" s="319"/>
    </row>
    <row r="402" spans="10:10" s="290" customFormat="1" x14ac:dyDescent="0.2">
      <c r="J402" s="319"/>
    </row>
    <row r="403" spans="10:10" s="290" customFormat="1" x14ac:dyDescent="0.2">
      <c r="J403" s="319"/>
    </row>
    <row r="404" spans="10:10" s="290" customFormat="1" x14ac:dyDescent="0.2">
      <c r="J404" s="319"/>
    </row>
    <row r="405" spans="10:10" s="290" customFormat="1" x14ac:dyDescent="0.2">
      <c r="J405" s="319"/>
    </row>
    <row r="406" spans="10:10" s="290" customFormat="1" x14ac:dyDescent="0.2">
      <c r="J406" s="319"/>
    </row>
    <row r="407" spans="10:10" s="290" customFormat="1" x14ac:dyDescent="0.2">
      <c r="J407" s="319"/>
    </row>
    <row r="408" spans="10:10" s="290" customFormat="1" x14ac:dyDescent="0.2">
      <c r="J408" s="319"/>
    </row>
    <row r="409" spans="10:10" s="290" customFormat="1" x14ac:dyDescent="0.2">
      <c r="J409" s="319"/>
    </row>
    <row r="410" spans="10:10" s="290" customFormat="1" x14ac:dyDescent="0.2">
      <c r="J410" s="319"/>
    </row>
    <row r="411" spans="10:10" s="290" customFormat="1" x14ac:dyDescent="0.2">
      <c r="J411" s="319"/>
    </row>
    <row r="412" spans="10:10" s="290" customFormat="1" x14ac:dyDescent="0.2">
      <c r="J412" s="319"/>
    </row>
    <row r="413" spans="10:10" s="290" customFormat="1" x14ac:dyDescent="0.2">
      <c r="J413" s="319"/>
    </row>
    <row r="414" spans="10:10" s="290" customFormat="1" x14ac:dyDescent="0.2">
      <c r="J414" s="319"/>
    </row>
    <row r="415" spans="10:10" s="290" customFormat="1" x14ac:dyDescent="0.2">
      <c r="J415" s="319"/>
    </row>
    <row r="416" spans="10:10" s="290" customFormat="1" x14ac:dyDescent="0.2">
      <c r="J416" s="319"/>
    </row>
    <row r="417" spans="10:37" s="290" customFormat="1" x14ac:dyDescent="0.2">
      <c r="J417" s="319"/>
    </row>
    <row r="418" spans="10:37" s="290" customFormat="1" x14ac:dyDescent="0.2">
      <c r="J418" s="319"/>
    </row>
    <row r="419" spans="10:37" s="290" customFormat="1" x14ac:dyDescent="0.2">
      <c r="J419" s="319"/>
    </row>
    <row r="420" spans="10:37" s="290" customFormat="1" x14ac:dyDescent="0.2">
      <c r="J420" s="319"/>
    </row>
    <row r="421" spans="10:37" s="290" customFormat="1" x14ac:dyDescent="0.2">
      <c r="J421" s="319"/>
    </row>
    <row r="422" spans="10:37" s="290" customFormat="1" x14ac:dyDescent="0.2">
      <c r="J422" s="319"/>
    </row>
    <row r="423" spans="10:37" s="320" customFormat="1" x14ac:dyDescent="0.2">
      <c r="K423" s="290"/>
      <c r="L423" s="290"/>
      <c r="M423" s="290"/>
      <c r="N423" s="290"/>
      <c r="O423" s="290"/>
      <c r="P423" s="290"/>
      <c r="Q423" s="290"/>
      <c r="R423" s="290"/>
      <c r="S423" s="290"/>
      <c r="T423" s="290"/>
      <c r="U423" s="290"/>
      <c r="V423" s="290"/>
      <c r="W423" s="290"/>
      <c r="X423" s="290"/>
      <c r="Y423" s="290"/>
      <c r="Z423" s="290"/>
      <c r="AA423" s="290"/>
      <c r="AB423" s="290"/>
      <c r="AC423" s="290"/>
      <c r="AD423" s="290"/>
      <c r="AE423" s="290"/>
      <c r="AF423" s="290"/>
      <c r="AG423" s="290"/>
      <c r="AH423" s="290"/>
      <c r="AI423" s="290"/>
      <c r="AJ423" s="290"/>
      <c r="AK423" s="290"/>
    </row>
    <row r="424" spans="10:37" x14ac:dyDescent="0.2">
      <c r="K424" s="290"/>
      <c r="L424" s="290"/>
      <c r="M424" s="290"/>
      <c r="N424" s="290"/>
      <c r="O424" s="290"/>
      <c r="P424" s="290"/>
      <c r="Q424" s="290"/>
      <c r="R424" s="290"/>
      <c r="S424" s="290"/>
      <c r="T424" s="290"/>
      <c r="U424" s="290"/>
      <c r="V424" s="290"/>
      <c r="W424" s="290"/>
      <c r="X424" s="290"/>
      <c r="Y424" s="290"/>
      <c r="Z424" s="290"/>
      <c r="AA424" s="290"/>
      <c r="AB424" s="290"/>
      <c r="AC424" s="290"/>
      <c r="AD424" s="290"/>
      <c r="AE424" s="290"/>
      <c r="AF424" s="290"/>
      <c r="AG424" s="290"/>
      <c r="AH424" s="290"/>
      <c r="AI424" s="290"/>
      <c r="AJ424" s="290"/>
      <c r="AK424" s="290"/>
    </row>
    <row r="425" spans="10:37" x14ac:dyDescent="0.2">
      <c r="K425" s="290"/>
      <c r="L425" s="290"/>
      <c r="M425" s="290"/>
      <c r="N425" s="290"/>
      <c r="O425" s="290"/>
      <c r="P425" s="290"/>
      <c r="Q425" s="290"/>
      <c r="R425" s="290"/>
      <c r="S425" s="290"/>
      <c r="T425" s="290"/>
      <c r="U425" s="290"/>
      <c r="V425" s="290"/>
      <c r="W425" s="290"/>
      <c r="X425" s="290"/>
      <c r="Y425" s="290"/>
      <c r="Z425" s="290"/>
      <c r="AA425" s="290"/>
      <c r="AB425" s="290"/>
      <c r="AC425" s="290"/>
      <c r="AD425" s="290"/>
      <c r="AE425" s="290"/>
      <c r="AF425" s="290"/>
      <c r="AG425" s="290"/>
      <c r="AH425" s="290"/>
      <c r="AI425" s="290"/>
      <c r="AJ425" s="290"/>
      <c r="AK425" s="290"/>
    </row>
    <row r="426" spans="10:37" x14ac:dyDescent="0.2">
      <c r="K426" s="290"/>
      <c r="L426" s="290"/>
      <c r="M426" s="290"/>
      <c r="N426" s="290"/>
      <c r="O426" s="290"/>
      <c r="P426" s="290"/>
      <c r="Q426" s="290"/>
      <c r="R426" s="290"/>
      <c r="S426" s="290"/>
      <c r="T426" s="290"/>
      <c r="U426" s="290"/>
      <c r="V426" s="290"/>
      <c r="W426" s="290"/>
      <c r="X426" s="290"/>
      <c r="Y426" s="290"/>
      <c r="Z426" s="290"/>
      <c r="AA426" s="290"/>
      <c r="AB426" s="290"/>
      <c r="AC426" s="290"/>
      <c r="AD426" s="290"/>
      <c r="AE426" s="290"/>
      <c r="AF426" s="290"/>
      <c r="AG426" s="290"/>
      <c r="AH426" s="290"/>
      <c r="AI426" s="290"/>
      <c r="AJ426" s="290"/>
      <c r="AK426" s="290"/>
    </row>
    <row r="427" spans="10:37" x14ac:dyDescent="0.2">
      <c r="K427" s="290"/>
      <c r="L427" s="290"/>
      <c r="M427" s="290"/>
      <c r="N427" s="290"/>
      <c r="O427" s="290"/>
      <c r="P427" s="290"/>
      <c r="Q427" s="290"/>
      <c r="R427" s="290"/>
      <c r="S427" s="290"/>
      <c r="T427" s="290"/>
      <c r="U427" s="290"/>
      <c r="V427" s="290"/>
      <c r="W427" s="290"/>
      <c r="X427" s="290"/>
      <c r="Y427" s="290"/>
      <c r="Z427" s="290"/>
      <c r="AA427" s="290"/>
      <c r="AB427" s="290"/>
      <c r="AC427" s="290"/>
      <c r="AD427" s="290"/>
      <c r="AE427" s="290"/>
      <c r="AF427" s="290"/>
      <c r="AG427" s="290"/>
      <c r="AH427" s="290"/>
      <c r="AI427" s="290"/>
      <c r="AJ427" s="290"/>
      <c r="AK427" s="290"/>
    </row>
    <row r="428" spans="10:37" x14ac:dyDescent="0.2">
      <c r="K428" s="290"/>
      <c r="L428" s="290"/>
      <c r="M428" s="290"/>
      <c r="N428" s="290"/>
      <c r="O428" s="290"/>
      <c r="P428" s="290"/>
      <c r="Q428" s="290"/>
      <c r="R428" s="290"/>
      <c r="S428" s="290"/>
      <c r="T428" s="290"/>
      <c r="U428" s="290"/>
      <c r="V428" s="290"/>
      <c r="W428" s="290"/>
      <c r="X428" s="290"/>
      <c r="Y428" s="290"/>
      <c r="Z428" s="290"/>
      <c r="AA428" s="290"/>
      <c r="AB428" s="290"/>
      <c r="AC428" s="290"/>
      <c r="AD428" s="290"/>
      <c r="AE428" s="290"/>
      <c r="AF428" s="290"/>
      <c r="AG428" s="290"/>
      <c r="AH428" s="290"/>
      <c r="AI428" s="290"/>
      <c r="AJ428" s="290"/>
      <c r="AK428" s="290"/>
    </row>
    <row r="429" spans="10:37" x14ac:dyDescent="0.2">
      <c r="K429" s="290"/>
      <c r="L429" s="290"/>
      <c r="M429" s="290"/>
      <c r="N429" s="290"/>
      <c r="O429" s="290"/>
      <c r="P429" s="290"/>
      <c r="Q429" s="290"/>
      <c r="R429" s="290"/>
      <c r="S429" s="290"/>
      <c r="T429" s="290"/>
      <c r="U429" s="290"/>
      <c r="V429" s="290"/>
      <c r="W429" s="290"/>
      <c r="X429" s="290"/>
      <c r="Y429" s="290"/>
      <c r="Z429" s="290"/>
      <c r="AA429" s="290"/>
      <c r="AB429" s="290"/>
      <c r="AC429" s="290"/>
      <c r="AD429" s="290"/>
      <c r="AE429" s="290"/>
      <c r="AF429" s="290"/>
      <c r="AG429" s="290"/>
      <c r="AH429" s="290"/>
      <c r="AI429" s="290"/>
      <c r="AJ429" s="290"/>
      <c r="AK429" s="290"/>
    </row>
    <row r="430" spans="10:37" x14ac:dyDescent="0.2">
      <c r="K430" s="290"/>
      <c r="L430" s="290"/>
      <c r="M430" s="290"/>
      <c r="N430" s="290"/>
      <c r="O430" s="290"/>
      <c r="P430" s="290"/>
      <c r="Q430" s="290"/>
      <c r="R430" s="290"/>
      <c r="S430" s="290"/>
      <c r="T430" s="290"/>
      <c r="U430" s="290"/>
      <c r="V430" s="290"/>
      <c r="W430" s="290"/>
      <c r="X430" s="290"/>
      <c r="Y430" s="290"/>
      <c r="Z430" s="290"/>
      <c r="AA430" s="290"/>
      <c r="AB430" s="290"/>
      <c r="AC430" s="290"/>
      <c r="AD430" s="290"/>
      <c r="AE430" s="290"/>
      <c r="AF430" s="290"/>
      <c r="AG430" s="290"/>
      <c r="AH430" s="290"/>
      <c r="AI430" s="290"/>
      <c r="AJ430" s="290"/>
      <c r="AK430" s="290"/>
    </row>
    <row r="431" spans="10:37" x14ac:dyDescent="0.2">
      <c r="K431" s="290"/>
      <c r="L431" s="290"/>
      <c r="M431" s="290"/>
      <c r="N431" s="290"/>
      <c r="O431" s="290"/>
      <c r="P431" s="290"/>
      <c r="Q431" s="290"/>
      <c r="R431" s="290"/>
      <c r="S431" s="290"/>
      <c r="T431" s="290"/>
      <c r="U431" s="290"/>
      <c r="V431" s="290"/>
      <c r="W431" s="290"/>
      <c r="X431" s="290"/>
      <c r="Y431" s="290"/>
      <c r="Z431" s="290"/>
      <c r="AA431" s="290"/>
      <c r="AB431" s="290"/>
      <c r="AC431" s="290"/>
      <c r="AD431" s="290"/>
      <c r="AE431" s="290"/>
      <c r="AF431" s="290"/>
      <c r="AG431" s="290"/>
      <c r="AH431" s="290"/>
      <c r="AI431" s="290"/>
      <c r="AJ431" s="290"/>
      <c r="AK431" s="290"/>
    </row>
    <row r="432" spans="10:37" x14ac:dyDescent="0.2">
      <c r="K432" s="290"/>
      <c r="L432" s="290"/>
      <c r="M432" s="290"/>
      <c r="N432" s="290"/>
      <c r="O432" s="290"/>
      <c r="P432" s="290"/>
      <c r="Q432" s="290"/>
      <c r="R432" s="290"/>
      <c r="S432" s="290"/>
      <c r="T432" s="290"/>
      <c r="U432" s="290"/>
      <c r="V432" s="290"/>
      <c r="W432" s="290"/>
      <c r="X432" s="290"/>
      <c r="Y432" s="290"/>
      <c r="Z432" s="290"/>
      <c r="AA432" s="290"/>
      <c r="AB432" s="290"/>
      <c r="AC432" s="290"/>
      <c r="AD432" s="290"/>
      <c r="AE432" s="290"/>
      <c r="AF432" s="290"/>
      <c r="AG432" s="290"/>
      <c r="AH432" s="290"/>
      <c r="AI432" s="290"/>
      <c r="AJ432" s="290"/>
      <c r="AK432" s="290"/>
    </row>
    <row r="433" spans="11:37" x14ac:dyDescent="0.2">
      <c r="K433" s="290"/>
      <c r="L433" s="290"/>
      <c r="M433" s="290"/>
      <c r="N433" s="290"/>
      <c r="O433" s="290"/>
      <c r="P433" s="290"/>
      <c r="Q433" s="290"/>
      <c r="R433" s="290"/>
      <c r="S433" s="290"/>
      <c r="T433" s="290"/>
      <c r="U433" s="290"/>
      <c r="V433" s="290"/>
      <c r="W433" s="290"/>
      <c r="X433" s="290"/>
      <c r="Y433" s="290"/>
      <c r="Z433" s="290"/>
      <c r="AA433" s="290"/>
      <c r="AB433" s="290"/>
      <c r="AC433" s="290"/>
      <c r="AD433" s="290"/>
      <c r="AE433" s="290"/>
      <c r="AF433" s="290"/>
      <c r="AG433" s="290"/>
      <c r="AH433" s="290"/>
      <c r="AI433" s="290"/>
      <c r="AJ433" s="290"/>
      <c r="AK433" s="290"/>
    </row>
    <row r="434" spans="11:37" x14ac:dyDescent="0.2">
      <c r="K434" s="290"/>
      <c r="L434" s="290"/>
      <c r="M434" s="290"/>
      <c r="N434" s="290"/>
      <c r="O434" s="290"/>
      <c r="P434" s="290"/>
      <c r="Q434" s="290"/>
      <c r="R434" s="290"/>
      <c r="S434" s="290"/>
      <c r="T434" s="290"/>
      <c r="U434" s="290"/>
      <c r="V434" s="290"/>
      <c r="W434" s="290"/>
      <c r="X434" s="290"/>
      <c r="Y434" s="290"/>
      <c r="Z434" s="290"/>
      <c r="AA434" s="290"/>
      <c r="AB434" s="290"/>
      <c r="AC434" s="290"/>
      <c r="AD434" s="290"/>
      <c r="AE434" s="290"/>
      <c r="AF434" s="290"/>
      <c r="AG434" s="290"/>
      <c r="AH434" s="290"/>
      <c r="AI434" s="290"/>
      <c r="AJ434" s="290"/>
      <c r="AK434" s="290"/>
    </row>
    <row r="435" spans="11:37" x14ac:dyDescent="0.2">
      <c r="K435" s="290"/>
      <c r="L435" s="290"/>
      <c r="M435" s="290"/>
      <c r="N435" s="290"/>
      <c r="O435" s="290"/>
      <c r="P435" s="290"/>
      <c r="Q435" s="290"/>
      <c r="R435" s="290"/>
      <c r="S435" s="290"/>
      <c r="T435" s="290"/>
      <c r="U435" s="290"/>
      <c r="V435" s="290"/>
      <c r="W435" s="290"/>
      <c r="X435" s="290"/>
      <c r="Y435" s="290"/>
      <c r="Z435" s="290"/>
      <c r="AA435" s="290"/>
      <c r="AB435" s="290"/>
      <c r="AC435" s="290"/>
      <c r="AD435" s="290"/>
      <c r="AE435" s="290"/>
      <c r="AF435" s="290"/>
      <c r="AG435" s="290"/>
      <c r="AH435" s="290"/>
      <c r="AI435" s="290"/>
      <c r="AJ435" s="290"/>
      <c r="AK435" s="290"/>
    </row>
    <row r="436" spans="11:37" x14ac:dyDescent="0.2">
      <c r="K436" s="290"/>
      <c r="L436" s="290"/>
      <c r="M436" s="290"/>
      <c r="N436" s="290"/>
      <c r="O436" s="290"/>
      <c r="P436" s="290"/>
      <c r="Q436" s="290"/>
      <c r="R436" s="290"/>
      <c r="S436" s="290"/>
      <c r="T436" s="290"/>
      <c r="U436" s="290"/>
      <c r="V436" s="290"/>
      <c r="W436" s="290"/>
      <c r="X436" s="290"/>
      <c r="Y436" s="290"/>
      <c r="Z436" s="290"/>
      <c r="AA436" s="290"/>
      <c r="AB436" s="290"/>
      <c r="AC436" s="290"/>
      <c r="AD436" s="290"/>
      <c r="AE436" s="290"/>
      <c r="AF436" s="290"/>
      <c r="AG436" s="290"/>
      <c r="AH436" s="290"/>
      <c r="AI436" s="290"/>
      <c r="AJ436" s="290"/>
      <c r="AK436" s="290"/>
    </row>
    <row r="437" spans="11:37" x14ac:dyDescent="0.2">
      <c r="K437" s="290"/>
      <c r="L437" s="290"/>
      <c r="M437" s="290"/>
      <c r="N437" s="290"/>
      <c r="O437" s="290"/>
      <c r="P437" s="290"/>
      <c r="Q437" s="290"/>
      <c r="R437" s="290"/>
      <c r="S437" s="290"/>
      <c r="T437" s="290"/>
      <c r="U437" s="290"/>
      <c r="V437" s="290"/>
      <c r="W437" s="290"/>
      <c r="X437" s="290"/>
      <c r="Y437" s="290"/>
      <c r="Z437" s="290"/>
      <c r="AA437" s="290"/>
      <c r="AB437" s="290"/>
      <c r="AC437" s="290"/>
      <c r="AD437" s="290"/>
      <c r="AE437" s="290"/>
      <c r="AF437" s="290"/>
      <c r="AG437" s="290"/>
      <c r="AH437" s="290"/>
      <c r="AI437" s="290"/>
      <c r="AJ437" s="290"/>
      <c r="AK437" s="290"/>
    </row>
    <row r="438" spans="11:37" x14ac:dyDescent="0.2">
      <c r="K438" s="290"/>
      <c r="L438" s="290"/>
      <c r="M438" s="290"/>
      <c r="N438" s="290"/>
      <c r="O438" s="290"/>
      <c r="P438" s="290"/>
      <c r="Q438" s="290"/>
      <c r="R438" s="290"/>
      <c r="S438" s="290"/>
      <c r="T438" s="290"/>
      <c r="U438" s="290"/>
      <c r="V438" s="290"/>
      <c r="W438" s="290"/>
      <c r="X438" s="290"/>
      <c r="Y438" s="290"/>
      <c r="Z438" s="290"/>
      <c r="AA438" s="290"/>
      <c r="AB438" s="290"/>
      <c r="AC438" s="290"/>
      <c r="AD438" s="290"/>
      <c r="AE438" s="290"/>
      <c r="AF438" s="290"/>
      <c r="AG438" s="290"/>
      <c r="AH438" s="290"/>
      <c r="AI438" s="290"/>
      <c r="AJ438" s="290"/>
      <c r="AK438" s="290"/>
    </row>
    <row r="439" spans="11:37" x14ac:dyDescent="0.2">
      <c r="K439" s="290"/>
      <c r="L439" s="290"/>
      <c r="M439" s="290"/>
      <c r="N439" s="290"/>
      <c r="O439" s="290"/>
      <c r="P439" s="290"/>
      <c r="Q439" s="290"/>
      <c r="R439" s="290"/>
      <c r="S439" s="290"/>
      <c r="T439" s="290"/>
      <c r="U439" s="290"/>
      <c r="V439" s="290"/>
      <c r="W439" s="290"/>
      <c r="X439" s="290"/>
      <c r="Y439" s="290"/>
      <c r="Z439" s="290"/>
      <c r="AA439" s="290"/>
      <c r="AB439" s="290"/>
      <c r="AC439" s="290"/>
      <c r="AD439" s="290"/>
      <c r="AE439" s="290"/>
      <c r="AF439" s="290"/>
      <c r="AG439" s="290"/>
      <c r="AH439" s="290"/>
      <c r="AI439" s="290"/>
      <c r="AJ439" s="290"/>
      <c r="AK439" s="290"/>
    </row>
    <row r="440" spans="11:37" x14ac:dyDescent="0.2">
      <c r="K440" s="290"/>
      <c r="L440" s="290"/>
      <c r="M440" s="290"/>
      <c r="N440" s="290"/>
      <c r="O440" s="290"/>
      <c r="P440" s="290"/>
      <c r="Q440" s="290"/>
      <c r="R440" s="290"/>
      <c r="S440" s="290"/>
      <c r="T440" s="290"/>
      <c r="U440" s="290"/>
      <c r="V440" s="290"/>
      <c r="W440" s="290"/>
      <c r="X440" s="290"/>
      <c r="Y440" s="290"/>
      <c r="Z440" s="290"/>
      <c r="AA440" s="290"/>
      <c r="AB440" s="290"/>
      <c r="AC440" s="290"/>
      <c r="AD440" s="290"/>
      <c r="AE440" s="290"/>
      <c r="AF440" s="290"/>
      <c r="AG440" s="290"/>
      <c r="AH440" s="290"/>
      <c r="AI440" s="290"/>
      <c r="AJ440" s="290"/>
      <c r="AK440" s="290"/>
    </row>
    <row r="441" spans="11:37" x14ac:dyDescent="0.2">
      <c r="K441" s="290"/>
      <c r="L441" s="290"/>
      <c r="M441" s="290"/>
      <c r="N441" s="290"/>
      <c r="O441" s="290"/>
      <c r="P441" s="290"/>
      <c r="Q441" s="290"/>
      <c r="R441" s="290"/>
      <c r="S441" s="290"/>
      <c r="T441" s="290"/>
      <c r="U441" s="290"/>
      <c r="V441" s="290"/>
      <c r="W441" s="290"/>
      <c r="X441" s="290"/>
      <c r="Y441" s="290"/>
      <c r="Z441" s="290"/>
      <c r="AA441" s="290"/>
      <c r="AB441" s="290"/>
      <c r="AC441" s="290"/>
      <c r="AD441" s="290"/>
      <c r="AE441" s="290"/>
      <c r="AF441" s="290"/>
      <c r="AG441" s="290"/>
      <c r="AH441" s="290"/>
      <c r="AI441" s="290"/>
      <c r="AJ441" s="290"/>
      <c r="AK441" s="290"/>
    </row>
    <row r="442" spans="11:37" x14ac:dyDescent="0.2">
      <c r="K442" s="290"/>
      <c r="L442" s="290"/>
      <c r="M442" s="290"/>
      <c r="N442" s="290"/>
      <c r="O442" s="290"/>
      <c r="P442" s="290"/>
      <c r="Q442" s="290"/>
      <c r="R442" s="290"/>
      <c r="S442" s="290"/>
      <c r="T442" s="290"/>
      <c r="U442" s="290"/>
      <c r="V442" s="290"/>
      <c r="W442" s="290"/>
      <c r="X442" s="290"/>
      <c r="Y442" s="290"/>
      <c r="Z442" s="290"/>
      <c r="AA442" s="290"/>
      <c r="AB442" s="290"/>
      <c r="AC442" s="290"/>
      <c r="AD442" s="290"/>
      <c r="AE442" s="290"/>
      <c r="AF442" s="290"/>
      <c r="AG442" s="290"/>
      <c r="AH442" s="290"/>
      <c r="AI442" s="290"/>
      <c r="AJ442" s="290"/>
      <c r="AK442" s="290"/>
    </row>
    <row r="443" spans="11:37" x14ac:dyDescent="0.2">
      <c r="K443" s="290"/>
      <c r="L443" s="290"/>
      <c r="M443" s="290"/>
      <c r="N443" s="290"/>
      <c r="O443" s="290"/>
      <c r="P443" s="290"/>
      <c r="Q443" s="290"/>
      <c r="R443" s="290"/>
      <c r="S443" s="290"/>
      <c r="T443" s="290"/>
      <c r="U443" s="290"/>
      <c r="V443" s="290"/>
      <c r="W443" s="290"/>
      <c r="X443" s="290"/>
      <c r="Y443" s="290"/>
      <c r="Z443" s="290"/>
      <c r="AA443" s="290"/>
      <c r="AB443" s="290"/>
      <c r="AC443" s="290"/>
      <c r="AD443" s="290"/>
      <c r="AE443" s="290"/>
      <c r="AF443" s="290"/>
      <c r="AG443" s="290"/>
      <c r="AH443" s="290"/>
      <c r="AI443" s="290"/>
      <c r="AJ443" s="290"/>
      <c r="AK443" s="290"/>
    </row>
    <row r="444" spans="11:37" x14ac:dyDescent="0.2">
      <c r="K444" s="290"/>
      <c r="L444" s="290"/>
      <c r="M444" s="290"/>
      <c r="N444" s="290"/>
      <c r="O444" s="290"/>
      <c r="P444" s="290"/>
      <c r="Q444" s="290"/>
      <c r="R444" s="290"/>
      <c r="S444" s="290"/>
      <c r="T444" s="290"/>
      <c r="U444" s="290"/>
      <c r="V444" s="290"/>
      <c r="W444" s="290"/>
      <c r="X444" s="290"/>
      <c r="Y444" s="290"/>
      <c r="Z444" s="290"/>
      <c r="AA444" s="290"/>
      <c r="AB444" s="290"/>
      <c r="AC444" s="290"/>
      <c r="AD444" s="290"/>
      <c r="AE444" s="290"/>
      <c r="AF444" s="290"/>
      <c r="AG444" s="290"/>
      <c r="AH444" s="290"/>
      <c r="AI444" s="290"/>
      <c r="AJ444" s="290"/>
      <c r="AK444" s="290"/>
    </row>
    <row r="445" spans="11:37" x14ac:dyDescent="0.2">
      <c r="K445" s="290"/>
      <c r="L445" s="290"/>
      <c r="M445" s="290"/>
      <c r="N445" s="290"/>
      <c r="O445" s="290"/>
      <c r="P445" s="290"/>
      <c r="Q445" s="290"/>
      <c r="R445" s="290"/>
      <c r="S445" s="290"/>
      <c r="T445" s="290"/>
      <c r="U445" s="290"/>
      <c r="V445" s="290"/>
      <c r="W445" s="290"/>
      <c r="X445" s="290"/>
      <c r="Y445" s="290"/>
      <c r="Z445" s="290"/>
      <c r="AA445" s="290"/>
      <c r="AB445" s="290"/>
      <c r="AC445" s="290"/>
      <c r="AD445" s="290"/>
      <c r="AE445" s="290"/>
      <c r="AF445" s="290"/>
      <c r="AG445" s="290"/>
      <c r="AH445" s="290"/>
      <c r="AI445" s="290"/>
      <c r="AJ445" s="290"/>
      <c r="AK445" s="290"/>
    </row>
    <row r="446" spans="11:37" x14ac:dyDescent="0.2">
      <c r="K446" s="290"/>
      <c r="L446" s="290"/>
      <c r="M446" s="290"/>
      <c r="N446" s="290"/>
      <c r="O446" s="290"/>
      <c r="P446" s="290"/>
      <c r="Q446" s="290"/>
      <c r="R446" s="290"/>
      <c r="S446" s="290"/>
      <c r="T446" s="290"/>
      <c r="U446" s="290"/>
      <c r="V446" s="290"/>
      <c r="W446" s="290"/>
      <c r="X446" s="290"/>
      <c r="Y446" s="290"/>
      <c r="Z446" s="290"/>
      <c r="AA446" s="290"/>
      <c r="AB446" s="290"/>
      <c r="AC446" s="290"/>
      <c r="AD446" s="290"/>
      <c r="AE446" s="290"/>
      <c r="AF446" s="290"/>
      <c r="AG446" s="290"/>
      <c r="AH446" s="290"/>
      <c r="AI446" s="290"/>
      <c r="AJ446" s="290"/>
      <c r="AK446" s="290"/>
    </row>
    <row r="447" spans="11:37" x14ac:dyDescent="0.2">
      <c r="K447" s="290"/>
      <c r="L447" s="290"/>
      <c r="M447" s="290"/>
      <c r="N447" s="290"/>
      <c r="O447" s="290"/>
      <c r="P447" s="290"/>
      <c r="Q447" s="290"/>
      <c r="R447" s="290"/>
      <c r="S447" s="290"/>
      <c r="T447" s="290"/>
      <c r="U447" s="290"/>
      <c r="V447" s="290"/>
      <c r="W447" s="290"/>
      <c r="X447" s="290"/>
      <c r="Y447" s="290"/>
      <c r="Z447" s="290"/>
      <c r="AA447" s="290"/>
      <c r="AB447" s="290"/>
      <c r="AC447" s="290"/>
      <c r="AD447" s="290"/>
      <c r="AE447" s="290"/>
      <c r="AF447" s="290"/>
      <c r="AG447" s="290"/>
      <c r="AH447" s="290"/>
      <c r="AI447" s="290"/>
      <c r="AJ447" s="290"/>
      <c r="AK447" s="290"/>
    </row>
    <row r="448" spans="11:37" x14ac:dyDescent="0.2">
      <c r="K448" s="290"/>
      <c r="L448" s="290"/>
      <c r="M448" s="290"/>
      <c r="N448" s="290"/>
      <c r="O448" s="290"/>
      <c r="P448" s="290"/>
      <c r="Q448" s="290"/>
      <c r="R448" s="290"/>
      <c r="S448" s="290"/>
      <c r="T448" s="290"/>
      <c r="U448" s="290"/>
      <c r="V448" s="290"/>
      <c r="W448" s="290"/>
      <c r="X448" s="290"/>
      <c r="Y448" s="290"/>
      <c r="Z448" s="290"/>
      <c r="AA448" s="290"/>
      <c r="AB448" s="290"/>
      <c r="AC448" s="290"/>
      <c r="AD448" s="290"/>
      <c r="AE448" s="290"/>
      <c r="AF448" s="290"/>
      <c r="AG448" s="290"/>
      <c r="AH448" s="290"/>
      <c r="AI448" s="290"/>
      <c r="AJ448" s="290"/>
      <c r="AK448" s="290"/>
    </row>
    <row r="449" spans="11:37" x14ac:dyDescent="0.2">
      <c r="K449" s="290"/>
      <c r="L449" s="290"/>
      <c r="M449" s="290"/>
      <c r="N449" s="290"/>
      <c r="O449" s="290"/>
      <c r="P449" s="290"/>
      <c r="Q449" s="290"/>
      <c r="R449" s="290"/>
      <c r="S449" s="290"/>
      <c r="T449" s="290"/>
      <c r="U449" s="290"/>
      <c r="V449" s="290"/>
      <c r="W449" s="290"/>
      <c r="X449" s="290"/>
      <c r="Y449" s="290"/>
      <c r="Z449" s="290"/>
      <c r="AA449" s="290"/>
      <c r="AB449" s="290"/>
      <c r="AC449" s="290"/>
      <c r="AD449" s="290"/>
      <c r="AE449" s="290"/>
      <c r="AF449" s="290"/>
      <c r="AG449" s="290"/>
      <c r="AH449" s="290"/>
      <c r="AI449" s="290"/>
      <c r="AJ449" s="290"/>
      <c r="AK449" s="290"/>
    </row>
    <row r="450" spans="11:37" x14ac:dyDescent="0.2">
      <c r="K450" s="290"/>
      <c r="L450" s="290"/>
      <c r="M450" s="290"/>
      <c r="N450" s="290"/>
      <c r="O450" s="290"/>
      <c r="P450" s="290"/>
      <c r="Q450" s="290"/>
      <c r="R450" s="290"/>
      <c r="S450" s="290"/>
      <c r="T450" s="290"/>
      <c r="U450" s="290"/>
      <c r="V450" s="290"/>
      <c r="W450" s="290"/>
      <c r="X450" s="290"/>
      <c r="Y450" s="290"/>
      <c r="Z450" s="290"/>
      <c r="AA450" s="290"/>
      <c r="AB450" s="290"/>
      <c r="AC450" s="290"/>
      <c r="AD450" s="290"/>
      <c r="AE450" s="290"/>
      <c r="AF450" s="290"/>
      <c r="AG450" s="290"/>
      <c r="AH450" s="290"/>
      <c r="AI450" s="290"/>
      <c r="AJ450" s="290"/>
      <c r="AK450" s="290"/>
    </row>
    <row r="451" spans="11:37" x14ac:dyDescent="0.2">
      <c r="K451" s="290"/>
      <c r="L451" s="290"/>
      <c r="M451" s="290"/>
      <c r="N451" s="290"/>
      <c r="O451" s="290"/>
      <c r="P451" s="290"/>
      <c r="Q451" s="290"/>
      <c r="R451" s="290"/>
      <c r="S451" s="290"/>
      <c r="T451" s="290"/>
      <c r="U451" s="290"/>
      <c r="V451" s="290"/>
      <c r="W451" s="290"/>
      <c r="X451" s="290"/>
      <c r="Y451" s="290"/>
      <c r="Z451" s="290"/>
      <c r="AA451" s="290"/>
      <c r="AB451" s="290"/>
      <c r="AC451" s="290"/>
      <c r="AD451" s="290"/>
      <c r="AE451" s="290"/>
      <c r="AF451" s="290"/>
      <c r="AG451" s="290"/>
      <c r="AH451" s="290"/>
      <c r="AI451" s="290"/>
      <c r="AJ451" s="290"/>
      <c r="AK451" s="290"/>
    </row>
    <row r="452" spans="11:37" x14ac:dyDescent="0.2">
      <c r="K452" s="290"/>
      <c r="L452" s="290"/>
      <c r="M452" s="290"/>
      <c r="N452" s="290"/>
      <c r="O452" s="290"/>
      <c r="P452" s="290"/>
      <c r="Q452" s="290"/>
      <c r="R452" s="290"/>
      <c r="S452" s="290"/>
      <c r="T452" s="290"/>
      <c r="U452" s="290"/>
      <c r="V452" s="290"/>
      <c r="W452" s="290"/>
      <c r="X452" s="290"/>
      <c r="Y452" s="290"/>
      <c r="Z452" s="290"/>
      <c r="AA452" s="290"/>
      <c r="AB452" s="290"/>
      <c r="AC452" s="290"/>
      <c r="AD452" s="290"/>
      <c r="AE452" s="290"/>
      <c r="AF452" s="290"/>
      <c r="AG452" s="290"/>
      <c r="AH452" s="290"/>
      <c r="AI452" s="290"/>
      <c r="AJ452" s="290"/>
      <c r="AK452" s="290"/>
    </row>
    <row r="453" spans="11:37" x14ac:dyDescent="0.2">
      <c r="K453" s="290"/>
      <c r="L453" s="290"/>
      <c r="M453" s="290"/>
      <c r="N453" s="290"/>
      <c r="O453" s="290"/>
      <c r="P453" s="290"/>
      <c r="Q453" s="290"/>
      <c r="R453" s="290"/>
      <c r="S453" s="290"/>
      <c r="T453" s="290"/>
      <c r="U453" s="290"/>
      <c r="V453" s="290"/>
      <c r="W453" s="290"/>
      <c r="X453" s="290"/>
      <c r="Y453" s="290"/>
      <c r="Z453" s="290"/>
      <c r="AA453" s="290"/>
      <c r="AB453" s="290"/>
      <c r="AC453" s="290"/>
      <c r="AD453" s="290"/>
      <c r="AE453" s="290"/>
      <c r="AF453" s="290"/>
      <c r="AG453" s="290"/>
      <c r="AH453" s="290"/>
      <c r="AI453" s="290"/>
      <c r="AJ453" s="290"/>
      <c r="AK453" s="290"/>
    </row>
    <row r="454" spans="11:37" x14ac:dyDescent="0.2">
      <c r="K454" s="290"/>
      <c r="L454" s="290"/>
      <c r="M454" s="290"/>
      <c r="N454" s="290"/>
      <c r="O454" s="290"/>
      <c r="P454" s="290"/>
      <c r="Q454" s="290"/>
      <c r="R454" s="290"/>
      <c r="S454" s="290"/>
      <c r="T454" s="290"/>
      <c r="U454" s="290"/>
      <c r="V454" s="290"/>
      <c r="W454" s="290"/>
      <c r="X454" s="290"/>
      <c r="Y454" s="290"/>
      <c r="Z454" s="290"/>
      <c r="AA454" s="290"/>
      <c r="AB454" s="290"/>
      <c r="AC454" s="290"/>
      <c r="AD454" s="290"/>
      <c r="AE454" s="290"/>
      <c r="AF454" s="290"/>
      <c r="AG454" s="290"/>
      <c r="AH454" s="290"/>
      <c r="AI454" s="290"/>
      <c r="AJ454" s="290"/>
      <c r="AK454" s="290"/>
    </row>
    <row r="455" spans="11:37" x14ac:dyDescent="0.2">
      <c r="K455" s="290"/>
      <c r="L455" s="290"/>
      <c r="M455" s="290"/>
      <c r="N455" s="290"/>
      <c r="O455" s="290"/>
      <c r="P455" s="290"/>
      <c r="Q455" s="290"/>
      <c r="R455" s="290"/>
      <c r="S455" s="290"/>
      <c r="T455" s="290"/>
      <c r="U455" s="290"/>
      <c r="V455" s="290"/>
      <c r="W455" s="290"/>
      <c r="X455" s="290"/>
      <c r="Y455" s="290"/>
      <c r="Z455" s="290"/>
      <c r="AA455" s="290"/>
      <c r="AB455" s="290"/>
      <c r="AC455" s="290"/>
      <c r="AD455" s="290"/>
      <c r="AE455" s="290"/>
      <c r="AF455" s="290"/>
      <c r="AG455" s="290"/>
      <c r="AH455" s="290"/>
      <c r="AI455" s="290"/>
      <c r="AJ455" s="290"/>
      <c r="AK455" s="290"/>
    </row>
    <row r="456" spans="11:37" x14ac:dyDescent="0.2">
      <c r="K456" s="290"/>
      <c r="L456" s="290"/>
      <c r="M456" s="290"/>
      <c r="N456" s="290"/>
      <c r="O456" s="290"/>
      <c r="P456" s="290"/>
      <c r="Q456" s="290"/>
      <c r="R456" s="290"/>
      <c r="S456" s="290"/>
      <c r="T456" s="290"/>
      <c r="U456" s="290"/>
      <c r="V456" s="290"/>
      <c r="W456" s="290"/>
      <c r="X456" s="290"/>
      <c r="Y456" s="290"/>
      <c r="Z456" s="290"/>
      <c r="AA456" s="290"/>
      <c r="AB456" s="290"/>
      <c r="AC456" s="290"/>
      <c r="AD456" s="290"/>
      <c r="AE456" s="290"/>
      <c r="AF456" s="290"/>
      <c r="AG456" s="290"/>
      <c r="AH456" s="290"/>
      <c r="AI456" s="290"/>
      <c r="AJ456" s="290"/>
      <c r="AK456" s="290"/>
    </row>
    <row r="457" spans="11:37" x14ac:dyDescent="0.2">
      <c r="K457" s="290"/>
      <c r="L457" s="290"/>
      <c r="M457" s="290"/>
      <c r="N457" s="290"/>
      <c r="O457" s="290"/>
      <c r="P457" s="290"/>
      <c r="Q457" s="290"/>
      <c r="R457" s="290"/>
      <c r="S457" s="290"/>
      <c r="T457" s="290"/>
      <c r="U457" s="290"/>
      <c r="V457" s="290"/>
      <c r="W457" s="290"/>
      <c r="X457" s="290"/>
      <c r="Y457" s="290"/>
      <c r="Z457" s="290"/>
      <c r="AA457" s="290"/>
      <c r="AB457" s="290"/>
      <c r="AC457" s="290"/>
      <c r="AD457" s="290"/>
      <c r="AE457" s="290"/>
      <c r="AF457" s="290"/>
      <c r="AG457" s="290"/>
      <c r="AH457" s="290"/>
      <c r="AI457" s="290"/>
      <c r="AJ457" s="290"/>
      <c r="AK457" s="290"/>
    </row>
    <row r="458" spans="11:37" x14ac:dyDescent="0.2">
      <c r="K458" s="290"/>
      <c r="L458" s="290"/>
      <c r="M458" s="290"/>
      <c r="N458" s="290"/>
      <c r="O458" s="290"/>
      <c r="P458" s="290"/>
      <c r="Q458" s="290"/>
      <c r="R458" s="290"/>
      <c r="S458" s="290"/>
      <c r="T458" s="290"/>
      <c r="U458" s="290"/>
      <c r="V458" s="290"/>
      <c r="W458" s="290"/>
      <c r="X458" s="290"/>
      <c r="Y458" s="290"/>
      <c r="Z458" s="290"/>
      <c r="AA458" s="290"/>
      <c r="AB458" s="290"/>
      <c r="AC458" s="290"/>
      <c r="AD458" s="290"/>
      <c r="AE458" s="290"/>
      <c r="AF458" s="290"/>
      <c r="AG458" s="290"/>
      <c r="AH458" s="290"/>
      <c r="AI458" s="290"/>
      <c r="AJ458" s="290"/>
      <c r="AK458" s="290"/>
    </row>
    <row r="459" spans="11:37" x14ac:dyDescent="0.2">
      <c r="K459" s="290"/>
      <c r="L459" s="290"/>
      <c r="M459" s="290"/>
      <c r="N459" s="290"/>
      <c r="O459" s="290"/>
      <c r="P459" s="290"/>
      <c r="Q459" s="290"/>
      <c r="R459" s="290"/>
      <c r="S459" s="290"/>
      <c r="T459" s="290"/>
      <c r="U459" s="290"/>
      <c r="V459" s="290"/>
      <c r="W459" s="290"/>
      <c r="X459" s="290"/>
      <c r="Y459" s="290"/>
      <c r="Z459" s="290"/>
      <c r="AA459" s="290"/>
      <c r="AB459" s="290"/>
      <c r="AC459" s="290"/>
      <c r="AD459" s="290"/>
      <c r="AE459" s="290"/>
      <c r="AF459" s="290"/>
      <c r="AG459" s="290"/>
      <c r="AH459" s="290"/>
      <c r="AI459" s="290"/>
      <c r="AJ459" s="290"/>
      <c r="AK459" s="290"/>
    </row>
    <row r="460" spans="11:37" x14ac:dyDescent="0.2">
      <c r="K460" s="290"/>
      <c r="L460" s="290"/>
      <c r="M460" s="290"/>
      <c r="N460" s="290"/>
      <c r="O460" s="290"/>
      <c r="P460" s="290"/>
      <c r="Q460" s="290"/>
      <c r="R460" s="290"/>
      <c r="S460" s="290"/>
      <c r="T460" s="290"/>
      <c r="U460" s="290"/>
      <c r="V460" s="290"/>
      <c r="W460" s="290"/>
      <c r="X460" s="290"/>
      <c r="Y460" s="290"/>
      <c r="Z460" s="290"/>
      <c r="AA460" s="290"/>
      <c r="AB460" s="290"/>
      <c r="AC460" s="290"/>
      <c r="AD460" s="290"/>
      <c r="AE460" s="290"/>
      <c r="AF460" s="290"/>
      <c r="AG460" s="290"/>
      <c r="AH460" s="290"/>
      <c r="AI460" s="290"/>
      <c r="AJ460" s="290"/>
      <c r="AK460" s="290"/>
    </row>
    <row r="461" spans="11:37" x14ac:dyDescent="0.2">
      <c r="K461" s="290"/>
      <c r="L461" s="290"/>
      <c r="M461" s="290"/>
      <c r="N461" s="290"/>
      <c r="O461" s="290"/>
      <c r="P461" s="290"/>
      <c r="Q461" s="290"/>
      <c r="R461" s="290"/>
      <c r="S461" s="290"/>
      <c r="T461" s="290"/>
      <c r="U461" s="290"/>
      <c r="V461" s="290"/>
      <c r="W461" s="290"/>
      <c r="X461" s="290"/>
      <c r="Y461" s="290"/>
      <c r="Z461" s="290"/>
      <c r="AA461" s="290"/>
      <c r="AB461" s="290"/>
      <c r="AC461" s="290"/>
      <c r="AD461" s="290"/>
      <c r="AE461" s="290"/>
      <c r="AF461" s="290"/>
      <c r="AG461" s="290"/>
      <c r="AH461" s="290"/>
      <c r="AI461" s="290"/>
      <c r="AJ461" s="290"/>
      <c r="AK461" s="290"/>
    </row>
    <row r="462" spans="11:37" x14ac:dyDescent="0.2">
      <c r="K462" s="290"/>
      <c r="L462" s="290"/>
      <c r="M462" s="290"/>
      <c r="N462" s="290"/>
      <c r="O462" s="290"/>
      <c r="P462" s="290"/>
      <c r="Q462" s="290"/>
      <c r="R462" s="290"/>
      <c r="S462" s="290"/>
      <c r="T462" s="290"/>
      <c r="U462" s="290"/>
      <c r="V462" s="290"/>
      <c r="W462" s="290"/>
      <c r="X462" s="290"/>
      <c r="Y462" s="290"/>
      <c r="Z462" s="290"/>
      <c r="AA462" s="290"/>
      <c r="AB462" s="290"/>
      <c r="AC462" s="290"/>
      <c r="AD462" s="290"/>
      <c r="AE462" s="290"/>
      <c r="AF462" s="290"/>
      <c r="AG462" s="290"/>
      <c r="AH462" s="290"/>
      <c r="AI462" s="290"/>
      <c r="AJ462" s="290"/>
      <c r="AK462" s="290"/>
    </row>
    <row r="463" spans="11:37" x14ac:dyDescent="0.2">
      <c r="K463" s="290"/>
      <c r="L463" s="290"/>
      <c r="M463" s="290"/>
      <c r="N463" s="290"/>
      <c r="O463" s="290"/>
      <c r="P463" s="290"/>
      <c r="Q463" s="290"/>
      <c r="R463" s="290"/>
      <c r="S463" s="290"/>
      <c r="T463" s="290"/>
      <c r="U463" s="290"/>
      <c r="V463" s="290"/>
      <c r="W463" s="290"/>
      <c r="X463" s="290"/>
      <c r="Y463" s="290"/>
      <c r="Z463" s="290"/>
      <c r="AA463" s="290"/>
      <c r="AB463" s="290"/>
      <c r="AC463" s="290"/>
      <c r="AD463" s="290"/>
      <c r="AE463" s="290"/>
      <c r="AF463" s="290"/>
      <c r="AG463" s="290"/>
      <c r="AH463" s="290"/>
      <c r="AI463" s="290"/>
      <c r="AJ463" s="290"/>
      <c r="AK463" s="290"/>
    </row>
    <row r="464" spans="11:37" x14ac:dyDescent="0.2">
      <c r="K464" s="290"/>
      <c r="L464" s="290"/>
      <c r="M464" s="290"/>
      <c r="N464" s="290"/>
      <c r="O464" s="290"/>
      <c r="P464" s="290"/>
      <c r="Q464" s="290"/>
      <c r="R464" s="290"/>
      <c r="S464" s="290"/>
      <c r="T464" s="290"/>
      <c r="U464" s="290"/>
      <c r="V464" s="290"/>
      <c r="W464" s="290"/>
      <c r="X464" s="290"/>
      <c r="Y464" s="290"/>
      <c r="Z464" s="290"/>
      <c r="AA464" s="290"/>
      <c r="AB464" s="290"/>
      <c r="AC464" s="290"/>
      <c r="AD464" s="290"/>
      <c r="AE464" s="290"/>
      <c r="AF464" s="290"/>
      <c r="AG464" s="290"/>
      <c r="AH464" s="290"/>
      <c r="AI464" s="290"/>
      <c r="AJ464" s="290"/>
      <c r="AK464" s="290"/>
    </row>
    <row r="465" spans="11:37" x14ac:dyDescent="0.2">
      <c r="K465" s="290"/>
      <c r="L465" s="290"/>
      <c r="M465" s="290"/>
      <c r="N465" s="290"/>
      <c r="O465" s="290"/>
      <c r="P465" s="290"/>
      <c r="Q465" s="290"/>
      <c r="R465" s="290"/>
      <c r="S465" s="290"/>
      <c r="T465" s="290"/>
      <c r="U465" s="290"/>
      <c r="V465" s="290"/>
      <c r="W465" s="290"/>
      <c r="X465" s="290"/>
      <c r="Y465" s="290"/>
      <c r="Z465" s="290"/>
      <c r="AA465" s="290"/>
      <c r="AB465" s="290"/>
      <c r="AC465" s="290"/>
      <c r="AD465" s="290"/>
      <c r="AE465" s="290"/>
      <c r="AF465" s="290"/>
      <c r="AG465" s="290"/>
      <c r="AH465" s="290"/>
      <c r="AI465" s="290"/>
      <c r="AJ465" s="290"/>
      <c r="AK465" s="290"/>
    </row>
    <row r="466" spans="11:37" x14ac:dyDescent="0.2">
      <c r="K466" s="290"/>
      <c r="L466" s="290"/>
      <c r="M466" s="290"/>
      <c r="N466" s="290"/>
      <c r="O466" s="290"/>
      <c r="P466" s="290"/>
      <c r="Q466" s="290"/>
      <c r="R466" s="290"/>
      <c r="S466" s="290"/>
      <c r="T466" s="290"/>
      <c r="U466" s="290"/>
      <c r="V466" s="290"/>
      <c r="W466" s="290"/>
      <c r="X466" s="290"/>
      <c r="Y466" s="290"/>
      <c r="Z466" s="290"/>
      <c r="AA466" s="290"/>
      <c r="AB466" s="290"/>
      <c r="AC466" s="290"/>
      <c r="AD466" s="290"/>
      <c r="AE466" s="290"/>
      <c r="AF466" s="290"/>
      <c r="AG466" s="290"/>
      <c r="AH466" s="290"/>
      <c r="AI466" s="290"/>
      <c r="AJ466" s="290"/>
      <c r="AK466" s="290"/>
    </row>
    <row r="467" spans="11:37" x14ac:dyDescent="0.2">
      <c r="K467" s="290"/>
      <c r="L467" s="290"/>
      <c r="M467" s="290"/>
      <c r="N467" s="290"/>
      <c r="O467" s="290"/>
      <c r="P467" s="290"/>
      <c r="Q467" s="290"/>
      <c r="R467" s="290"/>
      <c r="S467" s="290"/>
      <c r="T467" s="290"/>
      <c r="U467" s="290"/>
      <c r="V467" s="290"/>
      <c r="W467" s="290"/>
      <c r="X467" s="290"/>
      <c r="Y467" s="290"/>
      <c r="Z467" s="290"/>
      <c r="AA467" s="290"/>
      <c r="AB467" s="290"/>
      <c r="AC467" s="290"/>
      <c r="AD467" s="290"/>
      <c r="AE467" s="290"/>
      <c r="AF467" s="290"/>
      <c r="AG467" s="290"/>
      <c r="AH467" s="290"/>
      <c r="AI467" s="290"/>
      <c r="AJ467" s="290"/>
      <c r="AK467" s="290"/>
    </row>
    <row r="468" spans="11:37" x14ac:dyDescent="0.2">
      <c r="K468" s="290"/>
      <c r="L468" s="290"/>
      <c r="M468" s="290"/>
      <c r="N468" s="290"/>
      <c r="O468" s="290"/>
      <c r="P468" s="290"/>
      <c r="Q468" s="290"/>
      <c r="R468" s="290"/>
      <c r="S468" s="290"/>
      <c r="T468" s="290"/>
      <c r="U468" s="290"/>
      <c r="V468" s="290"/>
      <c r="W468" s="290"/>
      <c r="X468" s="290"/>
      <c r="Y468" s="290"/>
      <c r="Z468" s="290"/>
      <c r="AA468" s="290"/>
      <c r="AB468" s="290"/>
      <c r="AC468" s="290"/>
      <c r="AD468" s="290"/>
      <c r="AE468" s="290"/>
      <c r="AF468" s="290"/>
      <c r="AG468" s="290"/>
      <c r="AH468" s="290"/>
      <c r="AI468" s="290"/>
      <c r="AJ468" s="290"/>
      <c r="AK468" s="290"/>
    </row>
    <row r="469" spans="11:37" x14ac:dyDescent="0.2">
      <c r="K469" s="290"/>
      <c r="L469" s="290"/>
      <c r="M469" s="290"/>
      <c r="N469" s="290"/>
      <c r="O469" s="290"/>
      <c r="P469" s="290"/>
      <c r="Q469" s="290"/>
      <c r="R469" s="290"/>
      <c r="S469" s="290"/>
      <c r="T469" s="290"/>
      <c r="U469" s="290"/>
      <c r="V469" s="290"/>
      <c r="W469" s="290"/>
      <c r="X469" s="290"/>
      <c r="Y469" s="290"/>
      <c r="Z469" s="290"/>
      <c r="AA469" s="290"/>
      <c r="AB469" s="290"/>
      <c r="AC469" s="290"/>
      <c r="AD469" s="290"/>
      <c r="AE469" s="290"/>
      <c r="AF469" s="290"/>
      <c r="AG469" s="290"/>
      <c r="AH469" s="290"/>
      <c r="AI469" s="290"/>
      <c r="AJ469" s="290"/>
      <c r="AK469" s="290"/>
    </row>
    <row r="470" spans="11:37" x14ac:dyDescent="0.2">
      <c r="K470" s="290"/>
      <c r="L470" s="290"/>
      <c r="M470" s="290"/>
      <c r="N470" s="290"/>
      <c r="O470" s="290"/>
      <c r="P470" s="290"/>
      <c r="Q470" s="290"/>
      <c r="R470" s="290"/>
      <c r="S470" s="290"/>
      <c r="T470" s="290"/>
      <c r="U470" s="290"/>
      <c r="V470" s="290"/>
      <c r="W470" s="290"/>
      <c r="X470" s="290"/>
      <c r="Y470" s="290"/>
      <c r="Z470" s="290"/>
      <c r="AA470" s="290"/>
      <c r="AB470" s="290"/>
      <c r="AC470" s="290"/>
      <c r="AD470" s="290"/>
      <c r="AE470" s="290"/>
      <c r="AF470" s="290"/>
      <c r="AG470" s="290"/>
      <c r="AH470" s="290"/>
      <c r="AI470" s="290"/>
      <c r="AJ470" s="290"/>
      <c r="AK470" s="290"/>
    </row>
    <row r="471" spans="11:37" x14ac:dyDescent="0.2">
      <c r="K471" s="290"/>
      <c r="L471" s="290"/>
      <c r="M471" s="290"/>
      <c r="N471" s="290"/>
      <c r="O471" s="290"/>
      <c r="P471" s="290"/>
      <c r="Q471" s="290"/>
      <c r="R471" s="290"/>
      <c r="S471" s="290"/>
      <c r="T471" s="290"/>
      <c r="U471" s="290"/>
      <c r="V471" s="290"/>
      <c r="W471" s="290"/>
      <c r="X471" s="290"/>
      <c r="Y471" s="290"/>
      <c r="Z471" s="290"/>
      <c r="AA471" s="290"/>
      <c r="AB471" s="290"/>
      <c r="AC471" s="290"/>
      <c r="AD471" s="290"/>
      <c r="AE471" s="290"/>
      <c r="AF471" s="290"/>
      <c r="AG471" s="290"/>
      <c r="AH471" s="290"/>
      <c r="AI471" s="290"/>
      <c r="AJ471" s="290"/>
      <c r="AK471" s="290"/>
    </row>
    <row r="472" spans="11:37" x14ac:dyDescent="0.2">
      <c r="K472" s="290"/>
      <c r="L472" s="290"/>
      <c r="M472" s="290"/>
      <c r="N472" s="290"/>
      <c r="O472" s="290"/>
      <c r="P472" s="290"/>
      <c r="Q472" s="290"/>
      <c r="R472" s="290"/>
      <c r="S472" s="290"/>
      <c r="T472" s="290"/>
      <c r="U472" s="290"/>
      <c r="V472" s="290"/>
      <c r="W472" s="290"/>
      <c r="X472" s="290"/>
      <c r="Y472" s="290"/>
      <c r="Z472" s="290"/>
      <c r="AA472" s="290"/>
      <c r="AB472" s="290"/>
      <c r="AC472" s="290"/>
      <c r="AD472" s="290"/>
      <c r="AE472" s="290"/>
      <c r="AF472" s="290"/>
      <c r="AG472" s="290"/>
      <c r="AH472" s="290"/>
      <c r="AI472" s="290"/>
      <c r="AJ472" s="290"/>
      <c r="AK472" s="290"/>
    </row>
    <row r="473" spans="11:37" x14ac:dyDescent="0.2">
      <c r="K473" s="290"/>
      <c r="L473" s="290"/>
      <c r="M473" s="290"/>
      <c r="N473" s="290"/>
      <c r="O473" s="290"/>
      <c r="P473" s="290"/>
      <c r="Q473" s="290"/>
      <c r="R473" s="290"/>
      <c r="S473" s="290"/>
      <c r="T473" s="290"/>
      <c r="U473" s="290"/>
      <c r="V473" s="290"/>
      <c r="W473" s="290"/>
      <c r="X473" s="290"/>
      <c r="Y473" s="290"/>
      <c r="Z473" s="290"/>
      <c r="AA473" s="290"/>
      <c r="AB473" s="290"/>
      <c r="AC473" s="290"/>
      <c r="AD473" s="290"/>
      <c r="AE473" s="290"/>
      <c r="AF473" s="290"/>
      <c r="AG473" s="290"/>
      <c r="AH473" s="290"/>
      <c r="AI473" s="290"/>
      <c r="AJ473" s="290"/>
      <c r="AK473" s="290"/>
    </row>
    <row r="474" spans="11:37" x14ac:dyDescent="0.2">
      <c r="K474" s="290"/>
      <c r="L474" s="290"/>
      <c r="M474" s="290"/>
      <c r="N474" s="290"/>
      <c r="O474" s="290"/>
      <c r="P474" s="290"/>
      <c r="Q474" s="290"/>
      <c r="R474" s="290"/>
      <c r="S474" s="290"/>
      <c r="T474" s="290"/>
      <c r="U474" s="290"/>
      <c r="V474" s="290"/>
      <c r="W474" s="290"/>
      <c r="X474" s="290"/>
      <c r="Y474" s="290"/>
      <c r="Z474" s="290"/>
      <c r="AA474" s="290"/>
      <c r="AB474" s="290"/>
      <c r="AC474" s="290"/>
      <c r="AD474" s="290"/>
      <c r="AE474" s="290"/>
      <c r="AF474" s="290"/>
      <c r="AG474" s="290"/>
      <c r="AH474" s="290"/>
      <c r="AI474" s="290"/>
      <c r="AJ474" s="290"/>
      <c r="AK474" s="290"/>
    </row>
    <row r="475" spans="11:37" x14ac:dyDescent="0.2">
      <c r="K475" s="290"/>
      <c r="L475" s="290"/>
      <c r="M475" s="290"/>
      <c r="N475" s="290"/>
      <c r="O475" s="290"/>
      <c r="P475" s="290"/>
      <c r="Q475" s="290"/>
      <c r="R475" s="290"/>
      <c r="S475" s="290"/>
      <c r="T475" s="290"/>
      <c r="U475" s="290"/>
      <c r="V475" s="290"/>
      <c r="W475" s="290"/>
      <c r="X475" s="290"/>
      <c r="Y475" s="290"/>
      <c r="Z475" s="290"/>
      <c r="AA475" s="290"/>
      <c r="AB475" s="290"/>
      <c r="AC475" s="290"/>
      <c r="AD475" s="290"/>
      <c r="AE475" s="290"/>
      <c r="AF475" s="290"/>
      <c r="AG475" s="290"/>
      <c r="AH475" s="290"/>
      <c r="AI475" s="290"/>
      <c r="AJ475" s="290"/>
      <c r="AK475" s="290"/>
    </row>
    <row r="476" spans="11:37" x14ac:dyDescent="0.2">
      <c r="K476" s="290"/>
      <c r="L476" s="290"/>
      <c r="M476" s="290"/>
      <c r="N476" s="290"/>
      <c r="O476" s="290"/>
      <c r="P476" s="290"/>
      <c r="Q476" s="290"/>
      <c r="R476" s="290"/>
      <c r="S476" s="290"/>
      <c r="T476" s="290"/>
      <c r="U476" s="290"/>
      <c r="V476" s="290"/>
      <c r="W476" s="290"/>
      <c r="X476" s="290"/>
      <c r="Y476" s="290"/>
      <c r="Z476" s="290"/>
      <c r="AA476" s="290"/>
      <c r="AB476" s="290"/>
      <c r="AC476" s="290"/>
      <c r="AD476" s="290"/>
      <c r="AE476" s="290"/>
      <c r="AF476" s="290"/>
      <c r="AG476" s="290"/>
      <c r="AH476" s="290"/>
      <c r="AI476" s="290"/>
      <c r="AJ476" s="290"/>
      <c r="AK476" s="290"/>
    </row>
    <row r="477" spans="11:37" x14ac:dyDescent="0.2">
      <c r="K477" s="290"/>
      <c r="L477" s="290"/>
      <c r="M477" s="290"/>
      <c r="N477" s="290"/>
      <c r="O477" s="290"/>
      <c r="P477" s="290"/>
      <c r="Q477" s="290"/>
      <c r="R477" s="290"/>
      <c r="S477" s="290"/>
      <c r="T477" s="290"/>
      <c r="U477" s="290"/>
      <c r="V477" s="290"/>
      <c r="W477" s="290"/>
      <c r="X477" s="290"/>
      <c r="Y477" s="290"/>
      <c r="Z477" s="290"/>
      <c r="AA477" s="290"/>
      <c r="AB477" s="290"/>
      <c r="AC477" s="290"/>
      <c r="AD477" s="290"/>
      <c r="AE477" s="290"/>
      <c r="AF477" s="290"/>
      <c r="AG477" s="290"/>
      <c r="AH477" s="290"/>
      <c r="AI477" s="290"/>
      <c r="AJ477" s="290"/>
      <c r="AK477" s="290"/>
    </row>
    <row r="478" spans="11:37" x14ac:dyDescent="0.2">
      <c r="K478" s="290"/>
      <c r="L478" s="290"/>
      <c r="M478" s="290"/>
      <c r="N478" s="290"/>
      <c r="O478" s="290"/>
      <c r="P478" s="290"/>
      <c r="Q478" s="290"/>
      <c r="R478" s="290"/>
      <c r="S478" s="290"/>
      <c r="T478" s="290"/>
      <c r="U478" s="290"/>
      <c r="V478" s="290"/>
      <c r="W478" s="290"/>
      <c r="X478" s="290"/>
      <c r="Y478" s="290"/>
      <c r="Z478" s="290"/>
      <c r="AA478" s="290"/>
      <c r="AB478" s="290"/>
      <c r="AC478" s="290"/>
      <c r="AD478" s="290"/>
      <c r="AE478" s="290"/>
      <c r="AF478" s="290"/>
      <c r="AG478" s="290"/>
      <c r="AH478" s="290"/>
      <c r="AI478" s="290"/>
      <c r="AJ478" s="290"/>
      <c r="AK478" s="290"/>
    </row>
    <row r="479" spans="11:37" x14ac:dyDescent="0.2">
      <c r="K479" s="290"/>
      <c r="L479" s="290"/>
      <c r="M479" s="290"/>
      <c r="N479" s="290"/>
      <c r="O479" s="290"/>
      <c r="P479" s="290"/>
      <c r="Q479" s="290"/>
      <c r="R479" s="290"/>
      <c r="S479" s="290"/>
      <c r="T479" s="290"/>
      <c r="U479" s="290"/>
      <c r="V479" s="290"/>
      <c r="W479" s="290"/>
      <c r="X479" s="290"/>
      <c r="Y479" s="290"/>
      <c r="Z479" s="290"/>
      <c r="AA479" s="290"/>
      <c r="AB479" s="290"/>
      <c r="AC479" s="290"/>
      <c r="AD479" s="290"/>
      <c r="AE479" s="290"/>
      <c r="AF479" s="290"/>
      <c r="AG479" s="290"/>
      <c r="AH479" s="290"/>
      <c r="AI479" s="290"/>
      <c r="AJ479" s="290"/>
      <c r="AK479" s="290"/>
    </row>
    <row r="480" spans="11:37" x14ac:dyDescent="0.2">
      <c r="K480" s="290"/>
      <c r="L480" s="290"/>
      <c r="M480" s="290"/>
      <c r="N480" s="290"/>
      <c r="O480" s="290"/>
      <c r="P480" s="290"/>
      <c r="Q480" s="290"/>
      <c r="R480" s="290"/>
      <c r="S480" s="290"/>
      <c r="T480" s="290"/>
      <c r="U480" s="290"/>
      <c r="V480" s="290"/>
      <c r="W480" s="290"/>
      <c r="X480" s="290"/>
      <c r="Y480" s="290"/>
      <c r="Z480" s="290"/>
      <c r="AA480" s="290"/>
      <c r="AB480" s="290"/>
      <c r="AC480" s="290"/>
      <c r="AD480" s="290"/>
      <c r="AE480" s="290"/>
      <c r="AF480" s="290"/>
      <c r="AG480" s="290"/>
      <c r="AH480" s="290"/>
      <c r="AI480" s="290"/>
      <c r="AJ480" s="290"/>
      <c r="AK480" s="290"/>
    </row>
    <row r="481" spans="11:37" x14ac:dyDescent="0.2">
      <c r="K481" s="290"/>
      <c r="L481" s="290"/>
      <c r="M481" s="290"/>
      <c r="N481" s="290"/>
      <c r="O481" s="290"/>
      <c r="P481" s="290"/>
      <c r="Q481" s="290"/>
      <c r="R481" s="290"/>
      <c r="S481" s="290"/>
      <c r="T481" s="290"/>
      <c r="U481" s="290"/>
      <c r="V481" s="290"/>
      <c r="W481" s="290"/>
      <c r="X481" s="290"/>
      <c r="Y481" s="290"/>
      <c r="Z481" s="290"/>
      <c r="AA481" s="290"/>
      <c r="AB481" s="290"/>
      <c r="AC481" s="290"/>
      <c r="AD481" s="290"/>
      <c r="AE481" s="290"/>
      <c r="AF481" s="290"/>
      <c r="AG481" s="290"/>
      <c r="AH481" s="290"/>
      <c r="AI481" s="290"/>
      <c r="AJ481" s="290"/>
      <c r="AK481" s="290"/>
    </row>
    <row r="482" spans="11:37" x14ac:dyDescent="0.2">
      <c r="K482" s="290"/>
      <c r="L482" s="290"/>
      <c r="M482" s="290"/>
      <c r="N482" s="290"/>
      <c r="O482" s="290"/>
      <c r="P482" s="290"/>
      <c r="Q482" s="290"/>
      <c r="R482" s="290"/>
      <c r="S482" s="290"/>
      <c r="T482" s="290"/>
      <c r="U482" s="290"/>
      <c r="V482" s="290"/>
      <c r="W482" s="290"/>
      <c r="X482" s="290"/>
      <c r="Y482" s="290"/>
      <c r="Z482" s="290"/>
      <c r="AA482" s="290"/>
      <c r="AB482" s="290"/>
      <c r="AC482" s="290"/>
      <c r="AD482" s="290"/>
      <c r="AE482" s="290"/>
      <c r="AF482" s="290"/>
      <c r="AG482" s="290"/>
      <c r="AH482" s="290"/>
      <c r="AI482" s="290"/>
      <c r="AJ482" s="290"/>
      <c r="AK482" s="290"/>
    </row>
    <row r="483" spans="11:37" x14ac:dyDescent="0.2">
      <c r="K483" s="290"/>
      <c r="L483" s="290"/>
      <c r="M483" s="290"/>
      <c r="N483" s="290"/>
      <c r="O483" s="290"/>
      <c r="P483" s="290"/>
      <c r="Q483" s="290"/>
      <c r="R483" s="290"/>
      <c r="S483" s="290"/>
      <c r="T483" s="290"/>
      <c r="U483" s="290"/>
      <c r="V483" s="290"/>
      <c r="W483" s="290"/>
      <c r="X483" s="290"/>
      <c r="Y483" s="290"/>
      <c r="Z483" s="290"/>
      <c r="AA483" s="290"/>
      <c r="AB483" s="290"/>
      <c r="AC483" s="290"/>
      <c r="AD483" s="290"/>
      <c r="AE483" s="290"/>
      <c r="AF483" s="290"/>
      <c r="AG483" s="290"/>
      <c r="AH483" s="290"/>
      <c r="AI483" s="290"/>
      <c r="AJ483" s="290"/>
      <c r="AK483" s="290"/>
    </row>
    <row r="484" spans="11:37" x14ac:dyDescent="0.2">
      <c r="K484" s="290"/>
      <c r="L484" s="290"/>
      <c r="M484" s="290"/>
      <c r="N484" s="290"/>
      <c r="O484" s="290"/>
      <c r="P484" s="290"/>
      <c r="Q484" s="290"/>
      <c r="R484" s="290"/>
      <c r="S484" s="290"/>
      <c r="T484" s="290"/>
      <c r="U484" s="290"/>
      <c r="V484" s="290"/>
      <c r="W484" s="290"/>
      <c r="X484" s="290"/>
      <c r="Y484" s="290"/>
      <c r="Z484" s="290"/>
      <c r="AA484" s="290"/>
      <c r="AB484" s="290"/>
      <c r="AC484" s="290"/>
      <c r="AD484" s="290"/>
      <c r="AE484" s="290"/>
      <c r="AF484" s="290"/>
      <c r="AG484" s="290"/>
      <c r="AH484" s="290"/>
      <c r="AI484" s="290"/>
      <c r="AJ484" s="290"/>
      <c r="AK484" s="290"/>
    </row>
    <row r="485" spans="11:37" x14ac:dyDescent="0.2">
      <c r="K485" s="290"/>
      <c r="L485" s="290"/>
      <c r="M485" s="290"/>
      <c r="N485" s="290"/>
      <c r="O485" s="290"/>
      <c r="P485" s="290"/>
      <c r="Q485" s="290"/>
      <c r="R485" s="290"/>
      <c r="S485" s="290"/>
      <c r="T485" s="290"/>
      <c r="U485" s="290"/>
      <c r="V485" s="290"/>
      <c r="W485" s="290"/>
      <c r="X485" s="290"/>
      <c r="Y485" s="290"/>
      <c r="Z485" s="290"/>
      <c r="AA485" s="290"/>
      <c r="AB485" s="290"/>
      <c r="AC485" s="290"/>
      <c r="AD485" s="290"/>
      <c r="AE485" s="290"/>
      <c r="AF485" s="290"/>
      <c r="AG485" s="290"/>
      <c r="AH485" s="290"/>
      <c r="AI485" s="290"/>
      <c r="AJ485" s="290"/>
      <c r="AK485" s="290"/>
    </row>
    <row r="486" spans="11:37" x14ac:dyDescent="0.2">
      <c r="K486" s="290"/>
      <c r="L486" s="290"/>
      <c r="M486" s="290"/>
      <c r="N486" s="290"/>
      <c r="O486" s="290"/>
      <c r="P486" s="290"/>
      <c r="Q486" s="290"/>
      <c r="R486" s="290"/>
      <c r="S486" s="290"/>
      <c r="T486" s="290"/>
      <c r="U486" s="290"/>
      <c r="V486" s="290"/>
      <c r="W486" s="290"/>
      <c r="X486" s="290"/>
      <c r="Y486" s="290"/>
      <c r="Z486" s="290"/>
      <c r="AA486" s="290"/>
      <c r="AB486" s="290"/>
      <c r="AC486" s="290"/>
      <c r="AD486" s="290"/>
      <c r="AE486" s="290"/>
      <c r="AF486" s="290"/>
      <c r="AG486" s="290"/>
      <c r="AH486" s="290"/>
      <c r="AI486" s="290"/>
      <c r="AJ486" s="290"/>
      <c r="AK486" s="290"/>
    </row>
    <row r="487" spans="11:37" x14ac:dyDescent="0.2">
      <c r="K487" s="290"/>
      <c r="L487" s="290"/>
      <c r="M487" s="290"/>
      <c r="N487" s="290"/>
      <c r="O487" s="290"/>
      <c r="P487" s="290"/>
      <c r="Q487" s="290"/>
      <c r="R487" s="290"/>
      <c r="S487" s="290"/>
      <c r="T487" s="290"/>
      <c r="U487" s="290"/>
      <c r="V487" s="290"/>
      <c r="W487" s="290"/>
      <c r="X487" s="290"/>
      <c r="Y487" s="290"/>
      <c r="Z487" s="290"/>
      <c r="AA487" s="290"/>
      <c r="AB487" s="290"/>
      <c r="AC487" s="290"/>
      <c r="AD487" s="290"/>
      <c r="AE487" s="290"/>
      <c r="AF487" s="290"/>
      <c r="AG487" s="290"/>
      <c r="AH487" s="290"/>
      <c r="AI487" s="290"/>
      <c r="AJ487" s="290"/>
      <c r="AK487" s="290"/>
    </row>
    <row r="488" spans="11:37" x14ac:dyDescent="0.2">
      <c r="K488" s="290"/>
      <c r="L488" s="290"/>
      <c r="M488" s="290"/>
      <c r="N488" s="290"/>
      <c r="O488" s="290"/>
      <c r="P488" s="290"/>
      <c r="Q488" s="290"/>
      <c r="R488" s="290"/>
      <c r="S488" s="290"/>
      <c r="T488" s="290"/>
      <c r="U488" s="290"/>
      <c r="V488" s="290"/>
      <c r="W488" s="290"/>
      <c r="X488" s="290"/>
      <c r="Y488" s="290"/>
      <c r="Z488" s="290"/>
      <c r="AA488" s="290"/>
      <c r="AB488" s="290"/>
      <c r="AC488" s="290"/>
      <c r="AD488" s="290"/>
      <c r="AE488" s="290"/>
      <c r="AF488" s="290"/>
      <c r="AG488" s="290"/>
      <c r="AH488" s="290"/>
      <c r="AI488" s="290"/>
      <c r="AJ488" s="290"/>
      <c r="AK488" s="290"/>
    </row>
    <row r="489" spans="11:37" x14ac:dyDescent="0.2">
      <c r="K489" s="290"/>
      <c r="L489" s="290"/>
      <c r="M489" s="290"/>
      <c r="N489" s="290"/>
      <c r="O489" s="290"/>
      <c r="P489" s="290"/>
      <c r="Q489" s="290"/>
      <c r="R489" s="290"/>
      <c r="S489" s="290"/>
      <c r="T489" s="290"/>
      <c r="U489" s="290"/>
      <c r="V489" s="290"/>
      <c r="W489" s="290"/>
      <c r="X489" s="290"/>
      <c r="Y489" s="290"/>
      <c r="Z489" s="290"/>
      <c r="AA489" s="290"/>
      <c r="AB489" s="290"/>
      <c r="AC489" s="290"/>
      <c r="AD489" s="290"/>
      <c r="AE489" s="290"/>
      <c r="AF489" s="290"/>
      <c r="AG489" s="290"/>
      <c r="AH489" s="290"/>
      <c r="AI489" s="290"/>
      <c r="AJ489" s="290"/>
      <c r="AK489" s="290"/>
    </row>
    <row r="490" spans="11:37" x14ac:dyDescent="0.2">
      <c r="K490" s="290"/>
      <c r="L490" s="290"/>
      <c r="M490" s="290"/>
      <c r="N490" s="290"/>
      <c r="O490" s="290"/>
      <c r="P490" s="290"/>
      <c r="Q490" s="290"/>
      <c r="R490" s="290"/>
      <c r="S490" s="290"/>
      <c r="T490" s="290"/>
      <c r="U490" s="290"/>
      <c r="V490" s="290"/>
      <c r="W490" s="290"/>
      <c r="X490" s="290"/>
      <c r="Y490" s="290"/>
      <c r="Z490" s="290"/>
      <c r="AA490" s="290"/>
      <c r="AB490" s="290"/>
      <c r="AC490" s="290"/>
      <c r="AD490" s="290"/>
      <c r="AE490" s="290"/>
      <c r="AF490" s="290"/>
      <c r="AG490" s="290"/>
      <c r="AH490" s="290"/>
      <c r="AI490" s="290"/>
      <c r="AJ490" s="290"/>
      <c r="AK490" s="290"/>
    </row>
    <row r="491" spans="11:37" x14ac:dyDescent="0.2">
      <c r="K491" s="290"/>
      <c r="L491" s="290"/>
      <c r="M491" s="290"/>
      <c r="N491" s="290"/>
      <c r="O491" s="290"/>
      <c r="P491" s="290"/>
      <c r="Q491" s="290"/>
      <c r="R491" s="290"/>
      <c r="S491" s="290"/>
      <c r="T491" s="290"/>
      <c r="U491" s="290"/>
      <c r="V491" s="290"/>
      <c r="W491" s="290"/>
      <c r="X491" s="290"/>
      <c r="Y491" s="290"/>
      <c r="Z491" s="290"/>
      <c r="AA491" s="290"/>
      <c r="AB491" s="290"/>
      <c r="AC491" s="290"/>
      <c r="AD491" s="290"/>
      <c r="AE491" s="290"/>
      <c r="AF491" s="290"/>
      <c r="AG491" s="290"/>
      <c r="AH491" s="290"/>
      <c r="AI491" s="290"/>
      <c r="AJ491" s="290"/>
      <c r="AK491" s="290"/>
    </row>
    <row r="492" spans="11:37" x14ac:dyDescent="0.2">
      <c r="K492" s="290"/>
      <c r="L492" s="290"/>
      <c r="M492" s="290"/>
      <c r="N492" s="290"/>
      <c r="O492" s="290"/>
      <c r="P492" s="290"/>
      <c r="Q492" s="290"/>
      <c r="R492" s="290"/>
      <c r="S492" s="290"/>
      <c r="T492" s="290"/>
      <c r="U492" s="290"/>
      <c r="V492" s="290"/>
      <c r="W492" s="290"/>
      <c r="X492" s="290"/>
      <c r="Y492" s="290"/>
      <c r="Z492" s="290"/>
      <c r="AA492" s="290"/>
      <c r="AB492" s="290"/>
      <c r="AC492" s="290"/>
      <c r="AD492" s="290"/>
      <c r="AE492" s="290"/>
      <c r="AF492" s="290"/>
      <c r="AG492" s="290"/>
      <c r="AH492" s="290"/>
      <c r="AI492" s="290"/>
      <c r="AJ492" s="290"/>
      <c r="AK492" s="290"/>
    </row>
    <row r="493" spans="11:37" x14ac:dyDescent="0.2">
      <c r="K493" s="290"/>
      <c r="L493" s="290"/>
      <c r="M493" s="290"/>
      <c r="N493" s="290"/>
      <c r="O493" s="290"/>
      <c r="P493" s="290"/>
      <c r="Q493" s="290"/>
      <c r="R493" s="290"/>
      <c r="S493" s="290"/>
      <c r="T493" s="290"/>
      <c r="U493" s="290"/>
      <c r="V493" s="290"/>
      <c r="W493" s="290"/>
      <c r="X493" s="290"/>
      <c r="Y493" s="290"/>
      <c r="Z493" s="290"/>
      <c r="AA493" s="290"/>
      <c r="AB493" s="290"/>
      <c r="AC493" s="290"/>
      <c r="AD493" s="290"/>
      <c r="AE493" s="290"/>
      <c r="AF493" s="290"/>
      <c r="AG493" s="290"/>
      <c r="AH493" s="290"/>
      <c r="AI493" s="290"/>
      <c r="AJ493" s="290"/>
      <c r="AK493" s="290"/>
    </row>
    <row r="494" spans="11:37" x14ac:dyDescent="0.2">
      <c r="K494" s="290"/>
      <c r="L494" s="290"/>
      <c r="M494" s="290"/>
      <c r="N494" s="290"/>
      <c r="O494" s="290"/>
      <c r="P494" s="290"/>
      <c r="Q494" s="290"/>
      <c r="R494" s="290"/>
      <c r="S494" s="290"/>
      <c r="T494" s="290"/>
      <c r="U494" s="290"/>
      <c r="V494" s="290"/>
      <c r="W494" s="290"/>
      <c r="X494" s="290"/>
      <c r="Y494" s="290"/>
      <c r="Z494" s="290"/>
      <c r="AA494" s="290"/>
      <c r="AB494" s="290"/>
      <c r="AC494" s="290"/>
      <c r="AD494" s="290"/>
      <c r="AE494" s="290"/>
      <c r="AF494" s="290"/>
      <c r="AG494" s="290"/>
      <c r="AH494" s="290"/>
      <c r="AI494" s="290"/>
      <c r="AJ494" s="290"/>
      <c r="AK494" s="290"/>
    </row>
    <row r="495" spans="11:37" x14ac:dyDescent="0.2">
      <c r="K495" s="290"/>
      <c r="L495" s="290"/>
      <c r="M495" s="290"/>
      <c r="N495" s="290"/>
      <c r="O495" s="290"/>
      <c r="P495" s="290"/>
      <c r="Q495" s="290"/>
      <c r="R495" s="290"/>
      <c r="S495" s="290"/>
      <c r="T495" s="290"/>
      <c r="U495" s="290"/>
      <c r="V495" s="290"/>
      <c r="W495" s="290"/>
      <c r="X495" s="290"/>
      <c r="Y495" s="290"/>
      <c r="Z495" s="290"/>
      <c r="AA495" s="290"/>
      <c r="AB495" s="290"/>
      <c r="AC495" s="290"/>
      <c r="AD495" s="290"/>
      <c r="AE495" s="290"/>
      <c r="AF495" s="290"/>
      <c r="AG495" s="290"/>
      <c r="AH495" s="290"/>
      <c r="AI495" s="290"/>
      <c r="AJ495" s="290"/>
      <c r="AK495" s="290"/>
    </row>
    <row r="496" spans="11:37" x14ac:dyDescent="0.2">
      <c r="K496" s="290"/>
      <c r="L496" s="290"/>
      <c r="M496" s="290"/>
      <c r="N496" s="290"/>
      <c r="O496" s="290"/>
      <c r="P496" s="290"/>
      <c r="Q496" s="290"/>
      <c r="R496" s="290"/>
      <c r="S496" s="290"/>
      <c r="T496" s="290"/>
      <c r="U496" s="290"/>
      <c r="V496" s="290"/>
      <c r="W496" s="290"/>
      <c r="X496" s="290"/>
      <c r="Y496" s="290"/>
      <c r="Z496" s="290"/>
      <c r="AA496" s="290"/>
      <c r="AB496" s="290"/>
      <c r="AC496" s="290"/>
      <c r="AD496" s="290"/>
      <c r="AE496" s="290"/>
      <c r="AF496" s="290"/>
      <c r="AG496" s="290"/>
      <c r="AH496" s="290"/>
      <c r="AI496" s="290"/>
      <c r="AJ496" s="290"/>
      <c r="AK496" s="290"/>
    </row>
    <row r="497" spans="11:37" x14ac:dyDescent="0.2">
      <c r="K497" s="290"/>
      <c r="L497" s="290"/>
      <c r="M497" s="290"/>
      <c r="N497" s="290"/>
      <c r="O497" s="290"/>
      <c r="P497" s="290"/>
      <c r="Q497" s="290"/>
      <c r="R497" s="290"/>
      <c r="S497" s="290"/>
      <c r="T497" s="290"/>
      <c r="U497" s="290"/>
      <c r="V497" s="290"/>
      <c r="W497" s="290"/>
      <c r="X497" s="290"/>
      <c r="Y497" s="290"/>
      <c r="Z497" s="290"/>
      <c r="AA497" s="290"/>
      <c r="AB497" s="290"/>
      <c r="AC497" s="290"/>
      <c r="AD497" s="290"/>
      <c r="AE497" s="290"/>
      <c r="AF497" s="290"/>
      <c r="AG497" s="290"/>
      <c r="AH497" s="290"/>
      <c r="AI497" s="290"/>
      <c r="AJ497" s="290"/>
      <c r="AK497" s="290"/>
    </row>
    <row r="498" spans="11:37" x14ac:dyDescent="0.2">
      <c r="K498" s="290"/>
      <c r="L498" s="290"/>
      <c r="M498" s="290"/>
      <c r="N498" s="290"/>
      <c r="O498" s="290"/>
      <c r="P498" s="290"/>
      <c r="Q498" s="290"/>
      <c r="R498" s="290"/>
      <c r="S498" s="290"/>
      <c r="T498" s="290"/>
      <c r="U498" s="290"/>
      <c r="V498" s="290"/>
      <c r="W498" s="290"/>
      <c r="X498" s="290"/>
      <c r="Y498" s="290"/>
      <c r="Z498" s="290"/>
      <c r="AA498" s="290"/>
      <c r="AB498" s="290"/>
      <c r="AC498" s="290"/>
      <c r="AD498" s="290"/>
      <c r="AE498" s="290"/>
      <c r="AF498" s="290"/>
      <c r="AG498" s="290"/>
      <c r="AH498" s="290"/>
      <c r="AI498" s="290"/>
      <c r="AJ498" s="290"/>
      <c r="AK498" s="290"/>
    </row>
    <row r="499" spans="11:37" x14ac:dyDescent="0.2">
      <c r="K499" s="290"/>
      <c r="L499" s="290"/>
      <c r="M499" s="290"/>
      <c r="N499" s="290"/>
      <c r="O499" s="290"/>
      <c r="P499" s="290"/>
      <c r="Q499" s="290"/>
      <c r="R499" s="290"/>
      <c r="S499" s="290"/>
      <c r="T499" s="290"/>
      <c r="U499" s="290"/>
      <c r="V499" s="290"/>
      <c r="W499" s="290"/>
      <c r="X499" s="290"/>
      <c r="Y499" s="290"/>
      <c r="Z499" s="290"/>
      <c r="AA499" s="290"/>
      <c r="AB499" s="290"/>
      <c r="AC499" s="290"/>
      <c r="AD499" s="290"/>
      <c r="AE499" s="290"/>
      <c r="AF499" s="290"/>
      <c r="AG499" s="290"/>
      <c r="AH499" s="290"/>
      <c r="AI499" s="290"/>
      <c r="AJ499" s="290"/>
      <c r="AK499" s="290"/>
    </row>
    <row r="500" spans="11:37" x14ac:dyDescent="0.2">
      <c r="K500" s="290"/>
      <c r="L500" s="290"/>
      <c r="M500" s="290"/>
      <c r="N500" s="290"/>
      <c r="O500" s="290"/>
      <c r="P500" s="290"/>
      <c r="Q500" s="290"/>
      <c r="R500" s="290"/>
      <c r="S500" s="290"/>
      <c r="T500" s="290"/>
      <c r="U500" s="290"/>
      <c r="V500" s="290"/>
      <c r="W500" s="290"/>
      <c r="X500" s="290"/>
      <c r="Y500" s="290"/>
      <c r="Z500" s="290"/>
      <c r="AA500" s="290"/>
      <c r="AB500" s="290"/>
      <c r="AC500" s="290"/>
      <c r="AD500" s="290"/>
      <c r="AE500" s="290"/>
      <c r="AF500" s="290"/>
      <c r="AG500" s="290"/>
      <c r="AH500" s="290"/>
      <c r="AI500" s="290"/>
      <c r="AJ500" s="290"/>
      <c r="AK500" s="290"/>
    </row>
    <row r="501" spans="11:37" x14ac:dyDescent="0.2">
      <c r="K501" s="290"/>
      <c r="L501" s="290"/>
      <c r="M501" s="290"/>
      <c r="N501" s="290"/>
      <c r="O501" s="290"/>
      <c r="P501" s="290"/>
      <c r="Q501" s="290"/>
      <c r="R501" s="290"/>
      <c r="S501" s="290"/>
      <c r="T501" s="290"/>
      <c r="U501" s="290"/>
      <c r="V501" s="290"/>
      <c r="W501" s="290"/>
      <c r="X501" s="290"/>
      <c r="Y501" s="290"/>
      <c r="Z501" s="290"/>
      <c r="AA501" s="290"/>
      <c r="AB501" s="290"/>
      <c r="AC501" s="290"/>
      <c r="AD501" s="290"/>
      <c r="AE501" s="290"/>
      <c r="AF501" s="290"/>
      <c r="AG501" s="290"/>
      <c r="AH501" s="290"/>
      <c r="AI501" s="290"/>
      <c r="AJ501" s="290"/>
      <c r="AK501" s="290"/>
    </row>
    <row r="502" spans="11:37" x14ac:dyDescent="0.2">
      <c r="K502" s="290"/>
      <c r="L502" s="290"/>
      <c r="M502" s="290"/>
      <c r="N502" s="290"/>
      <c r="O502" s="290"/>
      <c r="P502" s="290"/>
      <c r="Q502" s="290"/>
      <c r="R502" s="290"/>
      <c r="S502" s="290"/>
      <c r="T502" s="290"/>
      <c r="U502" s="290"/>
      <c r="V502" s="290"/>
      <c r="W502" s="290"/>
      <c r="X502" s="290"/>
      <c r="Y502" s="290"/>
      <c r="Z502" s="290"/>
      <c r="AA502" s="290"/>
      <c r="AB502" s="290"/>
      <c r="AC502" s="290"/>
      <c r="AD502" s="290"/>
      <c r="AE502" s="290"/>
      <c r="AF502" s="290"/>
      <c r="AG502" s="290"/>
      <c r="AH502" s="290"/>
      <c r="AI502" s="290"/>
      <c r="AJ502" s="290"/>
      <c r="AK502" s="290"/>
    </row>
    <row r="503" spans="11:37" x14ac:dyDescent="0.2">
      <c r="K503" s="290"/>
      <c r="L503" s="290"/>
      <c r="M503" s="290"/>
      <c r="N503" s="290"/>
      <c r="O503" s="290"/>
      <c r="P503" s="290"/>
      <c r="Q503" s="290"/>
      <c r="R503" s="290"/>
      <c r="S503" s="290"/>
      <c r="T503" s="290"/>
      <c r="U503" s="290"/>
      <c r="V503" s="290"/>
      <c r="W503" s="290"/>
      <c r="X503" s="290"/>
      <c r="Y503" s="290"/>
      <c r="Z503" s="290"/>
      <c r="AA503" s="290"/>
      <c r="AB503" s="290"/>
      <c r="AC503" s="290"/>
      <c r="AD503" s="290"/>
      <c r="AE503" s="290"/>
      <c r="AF503" s="290"/>
      <c r="AG503" s="290"/>
      <c r="AH503" s="290"/>
      <c r="AI503" s="290"/>
      <c r="AJ503" s="290"/>
      <c r="AK503" s="290"/>
    </row>
    <row r="504" spans="11:37" x14ac:dyDescent="0.2">
      <c r="K504" s="290"/>
      <c r="L504" s="290"/>
      <c r="M504" s="290"/>
      <c r="N504" s="290"/>
      <c r="O504" s="290"/>
      <c r="P504" s="290"/>
      <c r="Q504" s="290"/>
      <c r="R504" s="290"/>
      <c r="S504" s="290"/>
      <c r="T504" s="290"/>
      <c r="U504" s="290"/>
      <c r="V504" s="290"/>
      <c r="W504" s="290"/>
      <c r="X504" s="290"/>
      <c r="Y504" s="290"/>
      <c r="Z504" s="290"/>
      <c r="AA504" s="290"/>
      <c r="AB504" s="290"/>
      <c r="AC504" s="290"/>
      <c r="AD504" s="290"/>
      <c r="AE504" s="290"/>
      <c r="AF504" s="290"/>
      <c r="AG504" s="290"/>
      <c r="AH504" s="290"/>
      <c r="AI504" s="290"/>
      <c r="AJ504" s="290"/>
      <c r="AK504" s="290"/>
    </row>
    <row r="505" spans="11:37" x14ac:dyDescent="0.2">
      <c r="K505" s="290"/>
      <c r="L505" s="290"/>
      <c r="M505" s="290"/>
      <c r="N505" s="290"/>
      <c r="O505" s="290"/>
      <c r="P505" s="290"/>
      <c r="Q505" s="290"/>
      <c r="R505" s="290"/>
      <c r="S505" s="290"/>
      <c r="T505" s="290"/>
      <c r="U505" s="290"/>
      <c r="V505" s="290"/>
      <c r="W505" s="290"/>
      <c r="X505" s="290"/>
      <c r="Y505" s="290"/>
      <c r="Z505" s="290"/>
      <c r="AA505" s="290"/>
      <c r="AB505" s="290"/>
      <c r="AC505" s="290"/>
      <c r="AD505" s="290"/>
      <c r="AE505" s="290"/>
      <c r="AF505" s="290"/>
      <c r="AG505" s="290"/>
      <c r="AH505" s="290"/>
      <c r="AI505" s="290"/>
      <c r="AJ505" s="290"/>
      <c r="AK505" s="290"/>
    </row>
    <row r="506" spans="11:37" x14ac:dyDescent="0.2">
      <c r="K506" s="290"/>
      <c r="L506" s="290"/>
      <c r="M506" s="290"/>
      <c r="N506" s="290"/>
      <c r="O506" s="290"/>
      <c r="P506" s="290"/>
      <c r="Q506" s="290"/>
      <c r="R506" s="290"/>
      <c r="S506" s="290"/>
      <c r="T506" s="290"/>
      <c r="U506" s="290"/>
      <c r="V506" s="290"/>
      <c r="W506" s="290"/>
      <c r="X506" s="290"/>
      <c r="Y506" s="290"/>
      <c r="Z506" s="290"/>
      <c r="AA506" s="290"/>
      <c r="AB506" s="290"/>
      <c r="AC506" s="290"/>
      <c r="AD506" s="290"/>
      <c r="AE506" s="290"/>
      <c r="AF506" s="290"/>
      <c r="AG506" s="290"/>
      <c r="AH506" s="290"/>
      <c r="AI506" s="290"/>
      <c r="AJ506" s="290"/>
      <c r="AK506" s="290"/>
    </row>
    <row r="507" spans="11:37" x14ac:dyDescent="0.2">
      <c r="K507" s="290"/>
      <c r="L507" s="290"/>
      <c r="M507" s="290"/>
      <c r="N507" s="290"/>
      <c r="O507" s="290"/>
      <c r="P507" s="290"/>
      <c r="Q507" s="290"/>
      <c r="R507" s="290"/>
      <c r="S507" s="290"/>
      <c r="T507" s="290"/>
      <c r="U507" s="290"/>
      <c r="V507" s="290"/>
      <c r="W507" s="290"/>
      <c r="X507" s="290"/>
      <c r="Y507" s="290"/>
      <c r="Z507" s="290"/>
      <c r="AA507" s="290"/>
      <c r="AB507" s="290"/>
      <c r="AC507" s="290"/>
      <c r="AD507" s="290"/>
      <c r="AE507" s="290"/>
      <c r="AF507" s="290"/>
      <c r="AG507" s="290"/>
      <c r="AH507" s="290"/>
      <c r="AI507" s="290"/>
      <c r="AJ507" s="290"/>
      <c r="AK507" s="290"/>
    </row>
    <row r="508" spans="11:37" x14ac:dyDescent="0.2">
      <c r="K508" s="290"/>
      <c r="L508" s="290"/>
      <c r="M508" s="290"/>
      <c r="N508" s="290"/>
      <c r="O508" s="290"/>
      <c r="P508" s="290"/>
      <c r="Q508" s="290"/>
      <c r="R508" s="290"/>
      <c r="S508" s="290"/>
      <c r="T508" s="290"/>
      <c r="U508" s="290"/>
      <c r="V508" s="290"/>
      <c r="W508" s="290"/>
      <c r="X508" s="290"/>
      <c r="Y508" s="290"/>
      <c r="Z508" s="290"/>
      <c r="AA508" s="290"/>
      <c r="AB508" s="290"/>
      <c r="AC508" s="290"/>
      <c r="AD508" s="290"/>
      <c r="AE508" s="290"/>
      <c r="AF508" s="290"/>
      <c r="AG508" s="290"/>
      <c r="AH508" s="290"/>
      <c r="AI508" s="290"/>
      <c r="AJ508" s="290"/>
      <c r="AK508" s="290"/>
    </row>
    <row r="509" spans="11:37" x14ac:dyDescent="0.2">
      <c r="K509" s="290"/>
      <c r="L509" s="290"/>
      <c r="M509" s="290"/>
      <c r="N509" s="290"/>
      <c r="O509" s="290"/>
      <c r="P509" s="290"/>
      <c r="Q509" s="290"/>
      <c r="R509" s="290"/>
      <c r="S509" s="290"/>
      <c r="T509" s="290"/>
      <c r="U509" s="290"/>
      <c r="V509" s="290"/>
      <c r="W509" s="290"/>
      <c r="X509" s="290"/>
      <c r="Y509" s="290"/>
      <c r="Z509" s="290"/>
      <c r="AA509" s="290"/>
      <c r="AB509" s="290"/>
      <c r="AC509" s="290"/>
      <c r="AD509" s="290"/>
      <c r="AE509" s="290"/>
      <c r="AF509" s="290"/>
      <c r="AG509" s="290"/>
      <c r="AH509" s="290"/>
      <c r="AI509" s="290"/>
      <c r="AJ509" s="290"/>
      <c r="AK509" s="290"/>
    </row>
    <row r="510" spans="11:37" x14ac:dyDescent="0.2">
      <c r="K510" s="290"/>
      <c r="L510" s="290"/>
      <c r="M510" s="290"/>
      <c r="N510" s="290"/>
      <c r="O510" s="290"/>
      <c r="P510" s="290"/>
      <c r="Q510" s="290"/>
      <c r="R510" s="290"/>
      <c r="S510" s="290"/>
      <c r="T510" s="290"/>
      <c r="U510" s="290"/>
      <c r="V510" s="290"/>
      <c r="W510" s="290"/>
      <c r="X510" s="290"/>
      <c r="Y510" s="290"/>
      <c r="Z510" s="290"/>
      <c r="AA510" s="290"/>
      <c r="AB510" s="290"/>
      <c r="AC510" s="290"/>
      <c r="AD510" s="290"/>
      <c r="AE510" s="290"/>
      <c r="AF510" s="290"/>
      <c r="AG510" s="290"/>
      <c r="AH510" s="290"/>
      <c r="AI510" s="290"/>
      <c r="AJ510" s="290"/>
      <c r="AK510" s="290"/>
    </row>
    <row r="511" spans="11:37" x14ac:dyDescent="0.2">
      <c r="K511" s="290"/>
      <c r="L511" s="290"/>
      <c r="M511" s="290"/>
      <c r="N511" s="290"/>
      <c r="O511" s="290"/>
      <c r="P511" s="290"/>
      <c r="Q511" s="290"/>
      <c r="R511" s="290"/>
      <c r="S511" s="290"/>
      <c r="T511" s="290"/>
      <c r="U511" s="290"/>
      <c r="V511" s="290"/>
      <c r="W511" s="290"/>
      <c r="X511" s="290"/>
      <c r="Y511" s="290"/>
      <c r="Z511" s="290"/>
      <c r="AA511" s="290"/>
      <c r="AB511" s="290"/>
      <c r="AC511" s="290"/>
      <c r="AD511" s="290"/>
      <c r="AE511" s="290"/>
      <c r="AF511" s="290"/>
      <c r="AG511" s="290"/>
      <c r="AH511" s="290"/>
      <c r="AI511" s="290"/>
      <c r="AJ511" s="290"/>
      <c r="AK511" s="290"/>
    </row>
    <row r="512" spans="11:37" x14ac:dyDescent="0.2">
      <c r="K512" s="290"/>
      <c r="L512" s="290"/>
      <c r="M512" s="290"/>
      <c r="N512" s="290"/>
      <c r="O512" s="290"/>
      <c r="P512" s="290"/>
      <c r="Q512" s="290"/>
      <c r="R512" s="290"/>
      <c r="S512" s="290"/>
      <c r="T512" s="290"/>
      <c r="U512" s="290"/>
      <c r="V512" s="290"/>
      <c r="W512" s="290"/>
      <c r="X512" s="290"/>
      <c r="Y512" s="290"/>
      <c r="Z512" s="290"/>
      <c r="AA512" s="290"/>
      <c r="AB512" s="290"/>
      <c r="AC512" s="290"/>
      <c r="AD512" s="290"/>
      <c r="AE512" s="290"/>
      <c r="AF512" s="290"/>
      <c r="AG512" s="290"/>
      <c r="AH512" s="290"/>
      <c r="AI512" s="290"/>
      <c r="AJ512" s="290"/>
      <c r="AK512" s="290"/>
    </row>
    <row r="513" spans="11:37" x14ac:dyDescent="0.2">
      <c r="K513" s="290"/>
      <c r="L513" s="290"/>
      <c r="M513" s="290"/>
      <c r="N513" s="290"/>
      <c r="O513" s="290"/>
      <c r="P513" s="290"/>
      <c r="Q513" s="290"/>
      <c r="R513" s="290"/>
      <c r="S513" s="290"/>
      <c r="T513" s="290"/>
      <c r="U513" s="290"/>
      <c r="V513" s="290"/>
      <c r="W513" s="290"/>
      <c r="X513" s="290"/>
      <c r="Y513" s="290"/>
      <c r="Z513" s="290"/>
      <c r="AA513" s="290"/>
      <c r="AB513" s="290"/>
      <c r="AC513" s="290"/>
      <c r="AD513" s="290"/>
      <c r="AE513" s="290"/>
      <c r="AF513" s="290"/>
      <c r="AG513" s="290"/>
      <c r="AH513" s="290"/>
      <c r="AI513" s="290"/>
      <c r="AJ513" s="290"/>
      <c r="AK513" s="290"/>
    </row>
    <row r="514" spans="11:37" x14ac:dyDescent="0.2">
      <c r="K514" s="290"/>
      <c r="L514" s="290"/>
      <c r="M514" s="290"/>
      <c r="N514" s="290"/>
      <c r="O514" s="290"/>
      <c r="P514" s="290"/>
      <c r="Q514" s="290"/>
      <c r="R514" s="290"/>
      <c r="S514" s="290"/>
      <c r="T514" s="290"/>
      <c r="U514" s="290"/>
      <c r="V514" s="290"/>
      <c r="W514" s="290"/>
      <c r="X514" s="290"/>
      <c r="Y514" s="290"/>
      <c r="Z514" s="290"/>
      <c r="AA514" s="290"/>
      <c r="AB514" s="290"/>
      <c r="AC514" s="290"/>
      <c r="AD514" s="290"/>
      <c r="AE514" s="290"/>
      <c r="AF514" s="290"/>
      <c r="AG514" s="290"/>
      <c r="AH514" s="290"/>
      <c r="AI514" s="290"/>
      <c r="AJ514" s="290"/>
      <c r="AK514" s="290"/>
    </row>
    <row r="515" spans="11:37" x14ac:dyDescent="0.2">
      <c r="K515" s="290"/>
      <c r="L515" s="290"/>
      <c r="M515" s="290"/>
      <c r="N515" s="290"/>
      <c r="O515" s="290"/>
      <c r="P515" s="290"/>
      <c r="Q515" s="290"/>
      <c r="R515" s="290"/>
      <c r="S515" s="290"/>
      <c r="T515" s="290"/>
      <c r="U515" s="290"/>
      <c r="V515" s="290"/>
      <c r="W515" s="290"/>
      <c r="X515" s="290"/>
      <c r="Y515" s="290"/>
      <c r="Z515" s="290"/>
      <c r="AA515" s="290"/>
      <c r="AB515" s="290"/>
      <c r="AC515" s="290"/>
      <c r="AD515" s="290"/>
      <c r="AE515" s="290"/>
      <c r="AF515" s="290"/>
      <c r="AG515" s="290"/>
      <c r="AH515" s="290"/>
      <c r="AI515" s="290"/>
      <c r="AJ515" s="290"/>
      <c r="AK515" s="290"/>
    </row>
    <row r="516" spans="11:37" x14ac:dyDescent="0.2">
      <c r="K516" s="290"/>
      <c r="L516" s="290"/>
      <c r="M516" s="290"/>
      <c r="N516" s="290"/>
      <c r="O516" s="290"/>
      <c r="P516" s="290"/>
      <c r="Q516" s="290"/>
      <c r="R516" s="290"/>
      <c r="S516" s="290"/>
      <c r="T516" s="290"/>
      <c r="U516" s="290"/>
      <c r="V516" s="290"/>
      <c r="W516" s="290"/>
      <c r="X516" s="290"/>
      <c r="Y516" s="290"/>
      <c r="Z516" s="290"/>
      <c r="AA516" s="290"/>
      <c r="AB516" s="290"/>
      <c r="AC516" s="290"/>
      <c r="AD516" s="290"/>
      <c r="AE516" s="290"/>
      <c r="AF516" s="290"/>
      <c r="AG516" s="290"/>
      <c r="AH516" s="290"/>
      <c r="AI516" s="290"/>
      <c r="AJ516" s="290"/>
      <c r="AK516" s="290"/>
    </row>
    <row r="517" spans="11:37" x14ac:dyDescent="0.2">
      <c r="K517" s="290"/>
      <c r="L517" s="290"/>
      <c r="M517" s="290"/>
      <c r="N517" s="290"/>
      <c r="O517" s="290"/>
      <c r="P517" s="290"/>
      <c r="Q517" s="290"/>
      <c r="R517" s="290"/>
      <c r="S517" s="290"/>
      <c r="T517" s="290"/>
      <c r="U517" s="290"/>
      <c r="V517" s="290"/>
      <c r="W517" s="290"/>
      <c r="X517" s="290"/>
      <c r="Y517" s="290"/>
      <c r="Z517" s="290"/>
      <c r="AA517" s="290"/>
      <c r="AB517" s="290"/>
      <c r="AC517" s="290"/>
      <c r="AD517" s="290"/>
      <c r="AE517" s="290"/>
      <c r="AF517" s="290"/>
      <c r="AG517" s="290"/>
      <c r="AH517" s="290"/>
      <c r="AI517" s="290"/>
      <c r="AJ517" s="290"/>
      <c r="AK517" s="290"/>
    </row>
    <row r="518" spans="11:37" x14ac:dyDescent="0.2">
      <c r="K518" s="290"/>
      <c r="L518" s="290"/>
      <c r="M518" s="290"/>
      <c r="N518" s="290"/>
      <c r="O518" s="290"/>
      <c r="P518" s="290"/>
      <c r="Q518" s="290"/>
      <c r="R518" s="290"/>
      <c r="S518" s="290"/>
      <c r="T518" s="290"/>
      <c r="U518" s="290"/>
      <c r="V518" s="290"/>
      <c r="W518" s="290"/>
      <c r="X518" s="290"/>
      <c r="Y518" s="290"/>
      <c r="Z518" s="290"/>
      <c r="AA518" s="290"/>
      <c r="AB518" s="290"/>
      <c r="AC518" s="290"/>
      <c r="AD518" s="290"/>
      <c r="AE518" s="290"/>
      <c r="AF518" s="290"/>
      <c r="AG518" s="290"/>
      <c r="AH518" s="290"/>
      <c r="AI518" s="290"/>
      <c r="AJ518" s="290"/>
      <c r="AK518" s="290"/>
    </row>
    <row r="519" spans="11:37" x14ac:dyDescent="0.2">
      <c r="K519" s="290"/>
      <c r="L519" s="290"/>
      <c r="M519" s="290"/>
      <c r="N519" s="290"/>
      <c r="O519" s="290"/>
      <c r="P519" s="290"/>
      <c r="Q519" s="290"/>
      <c r="R519" s="290"/>
      <c r="S519" s="290"/>
      <c r="T519" s="290"/>
      <c r="U519" s="290"/>
      <c r="V519" s="290"/>
      <c r="W519" s="290"/>
      <c r="X519" s="290"/>
      <c r="Y519" s="290"/>
      <c r="Z519" s="290"/>
      <c r="AA519" s="290"/>
      <c r="AB519" s="290"/>
      <c r="AC519" s="290"/>
      <c r="AD519" s="290"/>
      <c r="AE519" s="290"/>
      <c r="AF519" s="290"/>
      <c r="AG519" s="290"/>
      <c r="AH519" s="290"/>
      <c r="AI519" s="290"/>
      <c r="AJ519" s="290"/>
      <c r="AK519" s="290"/>
    </row>
    <row r="520" spans="11:37" x14ac:dyDescent="0.2">
      <c r="K520" s="290"/>
      <c r="L520" s="290"/>
      <c r="M520" s="290"/>
      <c r="N520" s="290"/>
      <c r="O520" s="290"/>
      <c r="P520" s="290"/>
      <c r="Q520" s="290"/>
      <c r="R520" s="290"/>
      <c r="S520" s="290"/>
      <c r="T520" s="290"/>
      <c r="U520" s="290"/>
      <c r="V520" s="290"/>
      <c r="W520" s="290"/>
      <c r="X520" s="290"/>
      <c r="Y520" s="290"/>
      <c r="Z520" s="290"/>
      <c r="AA520" s="290"/>
      <c r="AB520" s="290"/>
      <c r="AC520" s="290"/>
      <c r="AD520" s="290"/>
      <c r="AE520" s="290"/>
      <c r="AF520" s="290"/>
      <c r="AG520" s="290"/>
      <c r="AH520" s="290"/>
      <c r="AI520" s="290"/>
      <c r="AJ520" s="290"/>
      <c r="AK520" s="290"/>
    </row>
    <row r="521" spans="11:37" x14ac:dyDescent="0.2">
      <c r="K521" s="290"/>
      <c r="L521" s="290"/>
      <c r="M521" s="290"/>
      <c r="N521" s="290"/>
      <c r="O521" s="290"/>
      <c r="P521" s="290"/>
      <c r="Q521" s="290"/>
      <c r="R521" s="290"/>
      <c r="S521" s="290"/>
      <c r="T521" s="290"/>
      <c r="U521" s="290"/>
      <c r="V521" s="290"/>
      <c r="W521" s="290"/>
      <c r="X521" s="290"/>
      <c r="Y521" s="290"/>
      <c r="Z521" s="290"/>
      <c r="AA521" s="290"/>
      <c r="AB521" s="290"/>
      <c r="AC521" s="290"/>
      <c r="AD521" s="290"/>
      <c r="AE521" s="290"/>
      <c r="AF521" s="290"/>
      <c r="AG521" s="290"/>
      <c r="AH521" s="290"/>
      <c r="AI521" s="290"/>
      <c r="AJ521" s="290"/>
      <c r="AK521" s="290"/>
    </row>
    <row r="522" spans="11:37" x14ac:dyDescent="0.2">
      <c r="K522" s="290"/>
      <c r="L522" s="290"/>
      <c r="M522" s="290"/>
      <c r="N522" s="290"/>
      <c r="O522" s="290"/>
      <c r="P522" s="290"/>
      <c r="Q522" s="290"/>
      <c r="R522" s="290"/>
      <c r="S522" s="290"/>
      <c r="T522" s="290"/>
      <c r="U522" s="290"/>
      <c r="V522" s="290"/>
      <c r="W522" s="290"/>
      <c r="X522" s="290"/>
      <c r="Y522" s="290"/>
      <c r="Z522" s="290"/>
      <c r="AA522" s="290"/>
      <c r="AB522" s="290"/>
      <c r="AC522" s="290"/>
      <c r="AD522" s="290"/>
      <c r="AE522" s="290"/>
      <c r="AF522" s="290"/>
      <c r="AG522" s="290"/>
      <c r="AH522" s="290"/>
      <c r="AI522" s="290"/>
      <c r="AJ522" s="290"/>
      <c r="AK522" s="290"/>
    </row>
    <row r="523" spans="11:37" x14ac:dyDescent="0.2">
      <c r="K523" s="290"/>
      <c r="L523" s="290"/>
      <c r="M523" s="290"/>
      <c r="N523" s="290"/>
      <c r="O523" s="290"/>
      <c r="P523" s="290"/>
      <c r="Q523" s="290"/>
      <c r="R523" s="290"/>
      <c r="S523" s="290"/>
      <c r="T523" s="290"/>
      <c r="U523" s="290"/>
      <c r="V523" s="290"/>
      <c r="W523" s="290"/>
      <c r="X523" s="290"/>
      <c r="Y523" s="290"/>
      <c r="Z523" s="290"/>
      <c r="AA523" s="290"/>
      <c r="AB523" s="290"/>
      <c r="AC523" s="290"/>
      <c r="AD523" s="290"/>
      <c r="AE523" s="290"/>
      <c r="AF523" s="290"/>
      <c r="AG523" s="290"/>
      <c r="AH523" s="290"/>
      <c r="AI523" s="290"/>
      <c r="AJ523" s="290"/>
      <c r="AK523" s="290"/>
    </row>
    <row r="524" spans="11:37" x14ac:dyDescent="0.2">
      <c r="K524" s="290"/>
      <c r="L524" s="290"/>
      <c r="M524" s="290"/>
      <c r="N524" s="290"/>
      <c r="O524" s="290"/>
      <c r="P524" s="290"/>
      <c r="Q524" s="290"/>
      <c r="R524" s="290"/>
      <c r="S524" s="290"/>
      <c r="T524" s="290"/>
      <c r="U524" s="290"/>
      <c r="V524" s="290"/>
      <c r="W524" s="290"/>
      <c r="X524" s="290"/>
      <c r="Y524" s="290"/>
      <c r="Z524" s="290"/>
      <c r="AA524" s="290"/>
      <c r="AB524" s="290"/>
      <c r="AC524" s="290"/>
      <c r="AD524" s="290"/>
      <c r="AE524" s="290"/>
      <c r="AF524" s="290"/>
      <c r="AG524" s="290"/>
      <c r="AH524" s="290"/>
      <c r="AI524" s="290"/>
      <c r="AJ524" s="290"/>
      <c r="AK524" s="290"/>
    </row>
    <row r="525" spans="11:37" x14ac:dyDescent="0.2">
      <c r="K525" s="290"/>
      <c r="L525" s="290"/>
      <c r="M525" s="290"/>
      <c r="N525" s="290"/>
      <c r="O525" s="290"/>
      <c r="P525" s="290"/>
      <c r="Q525" s="290"/>
      <c r="R525" s="290"/>
      <c r="S525" s="290"/>
      <c r="T525" s="290"/>
      <c r="U525" s="290"/>
      <c r="V525" s="290"/>
      <c r="W525" s="290"/>
      <c r="X525" s="290"/>
      <c r="Y525" s="290"/>
      <c r="Z525" s="290"/>
      <c r="AA525" s="290"/>
      <c r="AB525" s="290"/>
      <c r="AC525" s="290"/>
      <c r="AD525" s="290"/>
      <c r="AE525" s="290"/>
      <c r="AF525" s="290"/>
      <c r="AG525" s="290"/>
      <c r="AH525" s="290"/>
      <c r="AI525" s="290"/>
      <c r="AJ525" s="290"/>
      <c r="AK525" s="290"/>
    </row>
    <row r="526" spans="11:37" x14ac:dyDescent="0.2">
      <c r="K526" s="290"/>
      <c r="L526" s="290"/>
      <c r="M526" s="290"/>
      <c r="N526" s="290"/>
      <c r="O526" s="290"/>
      <c r="P526" s="290"/>
      <c r="Q526" s="290"/>
      <c r="R526" s="290"/>
      <c r="S526" s="290"/>
      <c r="T526" s="290"/>
      <c r="U526" s="290"/>
      <c r="V526" s="290"/>
      <c r="W526" s="290"/>
      <c r="X526" s="290"/>
      <c r="Y526" s="290"/>
      <c r="Z526" s="290"/>
      <c r="AA526" s="290"/>
      <c r="AB526" s="290"/>
      <c r="AC526" s="290"/>
      <c r="AD526" s="290"/>
      <c r="AE526" s="290"/>
      <c r="AF526" s="290"/>
      <c r="AG526" s="290"/>
      <c r="AH526" s="290"/>
      <c r="AI526" s="290"/>
      <c r="AJ526" s="290"/>
      <c r="AK526" s="290"/>
    </row>
    <row r="527" spans="11:37" x14ac:dyDescent="0.2">
      <c r="K527" s="290"/>
      <c r="L527" s="290"/>
      <c r="M527" s="290"/>
      <c r="N527" s="290"/>
      <c r="O527" s="290"/>
      <c r="P527" s="290"/>
      <c r="Q527" s="290"/>
      <c r="R527" s="290"/>
      <c r="S527" s="290"/>
      <c r="T527" s="290"/>
      <c r="U527" s="290"/>
      <c r="V527" s="290"/>
      <c r="W527" s="290"/>
      <c r="X527" s="290"/>
      <c r="Y527" s="290"/>
      <c r="Z527" s="290"/>
      <c r="AA527" s="290"/>
      <c r="AB527" s="290"/>
      <c r="AC527" s="290"/>
      <c r="AD527" s="290"/>
      <c r="AE527" s="290"/>
      <c r="AF527" s="290"/>
      <c r="AG527" s="290"/>
      <c r="AH527" s="290"/>
      <c r="AI527" s="290"/>
      <c r="AJ527" s="290"/>
      <c r="AK527" s="290"/>
    </row>
    <row r="528" spans="11:37" x14ac:dyDescent="0.2">
      <c r="K528" s="290"/>
      <c r="L528" s="290"/>
      <c r="M528" s="290"/>
      <c r="N528" s="290"/>
      <c r="O528" s="290"/>
      <c r="P528" s="290"/>
      <c r="Q528" s="290"/>
      <c r="R528" s="290"/>
      <c r="S528" s="290"/>
      <c r="T528" s="290"/>
      <c r="U528" s="290"/>
      <c r="V528" s="290"/>
      <c r="W528" s="290"/>
      <c r="X528" s="290"/>
      <c r="Y528" s="290"/>
      <c r="Z528" s="290"/>
      <c r="AA528" s="290"/>
      <c r="AB528" s="290"/>
      <c r="AC528" s="290"/>
      <c r="AD528" s="290"/>
      <c r="AE528" s="290"/>
      <c r="AF528" s="290"/>
      <c r="AG528" s="290"/>
      <c r="AH528" s="290"/>
      <c r="AI528" s="290"/>
      <c r="AJ528" s="290"/>
      <c r="AK528" s="290"/>
    </row>
    <row r="529" spans="11:37" x14ac:dyDescent="0.2">
      <c r="K529" s="290"/>
      <c r="L529" s="290"/>
      <c r="M529" s="290"/>
      <c r="N529" s="290"/>
      <c r="O529" s="290"/>
      <c r="P529" s="290"/>
      <c r="Q529" s="290"/>
      <c r="R529" s="290"/>
      <c r="S529" s="290"/>
      <c r="T529" s="290"/>
      <c r="U529" s="290"/>
      <c r="V529" s="290"/>
      <c r="W529" s="290"/>
      <c r="X529" s="290"/>
      <c r="Y529" s="290"/>
      <c r="Z529" s="290"/>
      <c r="AA529" s="290"/>
      <c r="AB529" s="290"/>
      <c r="AC529" s="290"/>
      <c r="AD529" s="290"/>
      <c r="AE529" s="290"/>
      <c r="AF529" s="290"/>
      <c r="AG529" s="290"/>
      <c r="AH529" s="290"/>
      <c r="AI529" s="290"/>
      <c r="AJ529" s="290"/>
      <c r="AK529" s="290"/>
    </row>
    <row r="530" spans="11:37" x14ac:dyDescent="0.2">
      <c r="K530" s="290"/>
      <c r="L530" s="290"/>
      <c r="M530" s="290"/>
      <c r="N530" s="290"/>
      <c r="O530" s="290"/>
      <c r="P530" s="290"/>
      <c r="Q530" s="290"/>
      <c r="R530" s="290"/>
      <c r="S530" s="290"/>
      <c r="T530" s="290"/>
      <c r="U530" s="290"/>
      <c r="V530" s="290"/>
      <c r="W530" s="290"/>
      <c r="X530" s="290"/>
      <c r="Y530" s="290"/>
      <c r="Z530" s="290"/>
      <c r="AA530" s="290"/>
      <c r="AB530" s="290"/>
      <c r="AC530" s="290"/>
      <c r="AD530" s="290"/>
      <c r="AE530" s="290"/>
      <c r="AF530" s="290"/>
      <c r="AG530" s="290"/>
      <c r="AH530" s="290"/>
      <c r="AI530" s="290"/>
      <c r="AJ530" s="290"/>
      <c r="AK530" s="290"/>
    </row>
    <row r="531" spans="11:37" x14ac:dyDescent="0.2">
      <c r="K531" s="290"/>
      <c r="L531" s="290"/>
      <c r="M531" s="290"/>
      <c r="N531" s="290"/>
      <c r="O531" s="290"/>
      <c r="P531" s="290"/>
      <c r="Q531" s="290"/>
      <c r="R531" s="290"/>
      <c r="S531" s="290"/>
      <c r="T531" s="290"/>
      <c r="U531" s="290"/>
      <c r="V531" s="290"/>
      <c r="W531" s="290"/>
      <c r="X531" s="290"/>
      <c r="Y531" s="290"/>
      <c r="Z531" s="290"/>
      <c r="AA531" s="290"/>
      <c r="AB531" s="290"/>
      <c r="AC531" s="290"/>
      <c r="AD531" s="290"/>
      <c r="AE531" s="290"/>
      <c r="AF531" s="290"/>
      <c r="AG531" s="290"/>
      <c r="AH531" s="290"/>
      <c r="AI531" s="290"/>
      <c r="AJ531" s="290"/>
      <c r="AK531" s="290"/>
    </row>
    <row r="532" spans="11:37" x14ac:dyDescent="0.2">
      <c r="K532" s="290"/>
      <c r="L532" s="290"/>
      <c r="M532" s="290"/>
      <c r="N532" s="290"/>
      <c r="O532" s="290"/>
      <c r="P532" s="290"/>
      <c r="Q532" s="290"/>
      <c r="R532" s="290"/>
      <c r="S532" s="290"/>
      <c r="T532" s="290"/>
      <c r="U532" s="290"/>
      <c r="V532" s="290"/>
      <c r="W532" s="290"/>
      <c r="X532" s="290"/>
      <c r="Y532" s="290"/>
      <c r="Z532" s="290"/>
      <c r="AA532" s="290"/>
      <c r="AB532" s="290"/>
      <c r="AC532" s="290"/>
      <c r="AD532" s="290"/>
      <c r="AE532" s="290"/>
      <c r="AF532" s="290"/>
      <c r="AG532" s="290"/>
      <c r="AH532" s="290"/>
      <c r="AI532" s="290"/>
      <c r="AJ532" s="290"/>
      <c r="AK532" s="290"/>
    </row>
    <row r="533" spans="11:37" x14ac:dyDescent="0.2">
      <c r="K533" s="290"/>
      <c r="L533" s="290"/>
      <c r="M533" s="290"/>
      <c r="N533" s="290"/>
      <c r="O533" s="290"/>
      <c r="P533" s="290"/>
      <c r="Q533" s="290"/>
      <c r="R533" s="290"/>
      <c r="S533" s="290"/>
      <c r="T533" s="290"/>
      <c r="U533" s="290"/>
      <c r="V533" s="290"/>
      <c r="W533" s="290"/>
      <c r="X533" s="290"/>
      <c r="Y533" s="290"/>
      <c r="Z533" s="290"/>
      <c r="AA533" s="290"/>
      <c r="AB533" s="290"/>
      <c r="AC533" s="290"/>
      <c r="AD533" s="290"/>
      <c r="AE533" s="290"/>
      <c r="AF533" s="290"/>
      <c r="AG533" s="290"/>
      <c r="AH533" s="290"/>
      <c r="AI533" s="290"/>
      <c r="AJ533" s="290"/>
      <c r="AK533" s="290"/>
    </row>
    <row r="534" spans="11:37" x14ac:dyDescent="0.2">
      <c r="K534" s="290"/>
      <c r="L534" s="290"/>
      <c r="M534" s="290"/>
      <c r="N534" s="290"/>
      <c r="O534" s="290"/>
      <c r="P534" s="290"/>
      <c r="Q534" s="290"/>
      <c r="R534" s="290"/>
      <c r="S534" s="290"/>
      <c r="T534" s="290"/>
      <c r="U534" s="290"/>
      <c r="V534" s="290"/>
      <c r="W534" s="290"/>
      <c r="X534" s="290"/>
      <c r="Y534" s="290"/>
      <c r="Z534" s="290"/>
      <c r="AA534" s="290"/>
      <c r="AB534" s="290"/>
      <c r="AC534" s="290"/>
      <c r="AD534" s="290"/>
      <c r="AE534" s="290"/>
      <c r="AF534" s="290"/>
      <c r="AG534" s="290"/>
      <c r="AH534" s="290"/>
      <c r="AI534" s="290"/>
      <c r="AJ534" s="290"/>
      <c r="AK534" s="290"/>
    </row>
    <row r="535" spans="11:37" x14ac:dyDescent="0.2">
      <c r="K535" s="290"/>
      <c r="L535" s="290"/>
      <c r="M535" s="290"/>
      <c r="N535" s="290"/>
      <c r="O535" s="290"/>
      <c r="P535" s="290"/>
      <c r="Q535" s="290"/>
      <c r="R535" s="290"/>
      <c r="S535" s="290"/>
      <c r="T535" s="290"/>
      <c r="U535" s="290"/>
      <c r="V535" s="290"/>
      <c r="W535" s="290"/>
      <c r="X535" s="290"/>
      <c r="Y535" s="290"/>
      <c r="Z535" s="290"/>
      <c r="AA535" s="290"/>
      <c r="AB535" s="290"/>
      <c r="AC535" s="290"/>
      <c r="AD535" s="290"/>
      <c r="AE535" s="290"/>
      <c r="AF535" s="290"/>
      <c r="AG535" s="290"/>
      <c r="AH535" s="290"/>
      <c r="AI535" s="290"/>
      <c r="AJ535" s="290"/>
      <c r="AK535" s="290"/>
    </row>
    <row r="536" spans="11:37" x14ac:dyDescent="0.2">
      <c r="K536" s="290"/>
      <c r="L536" s="290"/>
      <c r="M536" s="290"/>
      <c r="N536" s="290"/>
      <c r="O536" s="290"/>
      <c r="P536" s="290"/>
      <c r="Q536" s="290"/>
      <c r="R536" s="290"/>
      <c r="S536" s="290"/>
      <c r="T536" s="290"/>
      <c r="U536" s="290"/>
      <c r="V536" s="290"/>
      <c r="W536" s="290"/>
      <c r="X536" s="290"/>
      <c r="Y536" s="290"/>
      <c r="Z536" s="290"/>
      <c r="AA536" s="290"/>
      <c r="AB536" s="290"/>
      <c r="AC536" s="290"/>
      <c r="AD536" s="290"/>
      <c r="AE536" s="290"/>
      <c r="AF536" s="290"/>
      <c r="AG536" s="290"/>
      <c r="AH536" s="290"/>
      <c r="AI536" s="290"/>
      <c r="AJ536" s="290"/>
      <c r="AK536" s="290"/>
    </row>
    <row r="537" spans="11:37" x14ac:dyDescent="0.2">
      <c r="K537" s="290"/>
      <c r="L537" s="290"/>
      <c r="M537" s="290"/>
      <c r="N537" s="290"/>
      <c r="O537" s="290"/>
      <c r="P537" s="290"/>
      <c r="Q537" s="290"/>
      <c r="R537" s="290"/>
      <c r="S537" s="290"/>
      <c r="T537" s="290"/>
      <c r="U537" s="290"/>
      <c r="V537" s="290"/>
      <c r="W537" s="290"/>
      <c r="X537" s="290"/>
      <c r="Y537" s="290"/>
      <c r="Z537" s="290"/>
      <c r="AA537" s="290"/>
      <c r="AB537" s="290"/>
      <c r="AC537" s="290"/>
      <c r="AD537" s="290"/>
      <c r="AE537" s="290"/>
      <c r="AF537" s="290"/>
      <c r="AG537" s="290"/>
      <c r="AH537" s="290"/>
      <c r="AI537" s="290"/>
      <c r="AJ537" s="290"/>
      <c r="AK537" s="290"/>
    </row>
    <row r="538" spans="11:37" x14ac:dyDescent="0.2">
      <c r="K538" s="290"/>
      <c r="L538" s="290"/>
      <c r="M538" s="290"/>
      <c r="N538" s="290"/>
      <c r="O538" s="290"/>
      <c r="P538" s="290"/>
      <c r="Q538" s="290"/>
      <c r="R538" s="290"/>
      <c r="S538" s="290"/>
      <c r="T538" s="290"/>
      <c r="U538" s="290"/>
      <c r="V538" s="290"/>
      <c r="W538" s="290"/>
      <c r="X538" s="290"/>
      <c r="Y538" s="290"/>
      <c r="Z538" s="290"/>
      <c r="AA538" s="290"/>
      <c r="AB538" s="290"/>
      <c r="AC538" s="290"/>
      <c r="AD538" s="290"/>
      <c r="AE538" s="290"/>
      <c r="AF538" s="290"/>
      <c r="AG538" s="290"/>
      <c r="AH538" s="290"/>
      <c r="AI538" s="290"/>
      <c r="AJ538" s="290"/>
      <c r="AK538" s="290"/>
    </row>
    <row r="539" spans="11:37" x14ac:dyDescent="0.2">
      <c r="K539" s="290"/>
      <c r="L539" s="290"/>
      <c r="M539" s="290"/>
      <c r="N539" s="290"/>
      <c r="O539" s="290"/>
      <c r="P539" s="290"/>
      <c r="Q539" s="290"/>
      <c r="R539" s="290"/>
      <c r="S539" s="290"/>
      <c r="T539" s="290"/>
      <c r="U539" s="290"/>
      <c r="V539" s="290"/>
      <c r="W539" s="290"/>
      <c r="X539" s="290"/>
      <c r="Y539" s="290"/>
      <c r="Z539" s="290"/>
      <c r="AA539" s="290"/>
      <c r="AB539" s="290"/>
      <c r="AC539" s="290"/>
      <c r="AD539" s="290"/>
      <c r="AE539" s="290"/>
      <c r="AF539" s="290"/>
      <c r="AG539" s="290"/>
      <c r="AH539" s="290"/>
      <c r="AI539" s="290"/>
      <c r="AJ539" s="290"/>
      <c r="AK539" s="290"/>
    </row>
    <row r="540" spans="11:37" x14ac:dyDescent="0.2">
      <c r="K540" s="290"/>
      <c r="L540" s="290"/>
      <c r="M540" s="290"/>
      <c r="N540" s="290"/>
      <c r="O540" s="290"/>
      <c r="P540" s="290"/>
      <c r="Q540" s="290"/>
      <c r="R540" s="290"/>
      <c r="S540" s="290"/>
      <c r="T540" s="290"/>
      <c r="U540" s="290"/>
      <c r="V540" s="290"/>
      <c r="W540" s="290"/>
      <c r="X540" s="290"/>
      <c r="Y540" s="290"/>
      <c r="Z540" s="290"/>
      <c r="AA540" s="290"/>
      <c r="AB540" s="290"/>
      <c r="AC540" s="290"/>
      <c r="AD540" s="290"/>
      <c r="AE540" s="290"/>
      <c r="AF540" s="290"/>
      <c r="AG540" s="290"/>
      <c r="AH540" s="290"/>
      <c r="AI540" s="290"/>
      <c r="AJ540" s="290"/>
      <c r="AK540" s="290"/>
    </row>
    <row r="541" spans="11:37" x14ac:dyDescent="0.2">
      <c r="K541" s="290"/>
      <c r="L541" s="290"/>
      <c r="M541" s="290"/>
      <c r="N541" s="290"/>
      <c r="O541" s="290"/>
      <c r="P541" s="290"/>
      <c r="Q541" s="290"/>
      <c r="R541" s="290"/>
      <c r="S541" s="290"/>
      <c r="T541" s="290"/>
      <c r="U541" s="290"/>
      <c r="V541" s="290"/>
      <c r="W541" s="290"/>
      <c r="X541" s="290"/>
      <c r="Y541" s="290"/>
      <c r="Z541" s="290"/>
      <c r="AA541" s="290"/>
      <c r="AB541" s="290"/>
      <c r="AC541" s="290"/>
      <c r="AD541" s="290"/>
      <c r="AE541" s="290"/>
      <c r="AF541" s="290"/>
      <c r="AG541" s="290"/>
      <c r="AH541" s="290"/>
      <c r="AI541" s="290"/>
      <c r="AJ541" s="290"/>
      <c r="AK541" s="290"/>
    </row>
    <row r="542" spans="11:37" x14ac:dyDescent="0.2">
      <c r="K542" s="290"/>
      <c r="L542" s="290"/>
      <c r="M542" s="290"/>
      <c r="N542" s="290"/>
      <c r="O542" s="290"/>
      <c r="P542" s="290"/>
      <c r="Q542" s="290"/>
      <c r="R542" s="290"/>
      <c r="S542" s="290"/>
      <c r="T542" s="290"/>
      <c r="U542" s="290"/>
      <c r="V542" s="290"/>
      <c r="W542" s="290"/>
      <c r="X542" s="290"/>
      <c r="Y542" s="290"/>
      <c r="Z542" s="290"/>
      <c r="AA542" s="290"/>
      <c r="AB542" s="290"/>
      <c r="AC542" s="290"/>
      <c r="AD542" s="290"/>
      <c r="AE542" s="290"/>
      <c r="AF542" s="290"/>
      <c r="AG542" s="290"/>
      <c r="AH542" s="290"/>
      <c r="AI542" s="290"/>
      <c r="AJ542" s="290"/>
      <c r="AK542" s="290"/>
    </row>
    <row r="543" spans="11:37" x14ac:dyDescent="0.2">
      <c r="K543" s="290"/>
      <c r="L543" s="290"/>
      <c r="M543" s="290"/>
      <c r="N543" s="290"/>
      <c r="O543" s="290"/>
      <c r="P543" s="290"/>
      <c r="Q543" s="290"/>
      <c r="R543" s="290"/>
      <c r="S543" s="290"/>
      <c r="T543" s="290"/>
      <c r="U543" s="290"/>
      <c r="V543" s="290"/>
      <c r="W543" s="290"/>
      <c r="X543" s="290"/>
      <c r="Y543" s="290"/>
      <c r="Z543" s="290"/>
      <c r="AA543" s="290"/>
      <c r="AB543" s="290"/>
      <c r="AC543" s="290"/>
      <c r="AD543" s="290"/>
      <c r="AE543" s="290"/>
      <c r="AF543" s="290"/>
      <c r="AG543" s="290"/>
      <c r="AH543" s="290"/>
      <c r="AI543" s="290"/>
      <c r="AJ543" s="290"/>
      <c r="AK543" s="290"/>
    </row>
    <row r="544" spans="11:37" x14ac:dyDescent="0.2">
      <c r="K544" s="290"/>
      <c r="L544" s="290"/>
      <c r="M544" s="290"/>
      <c r="N544" s="290"/>
      <c r="O544" s="290"/>
      <c r="P544" s="290"/>
      <c r="Q544" s="290"/>
      <c r="R544" s="290"/>
      <c r="S544" s="290"/>
      <c r="T544" s="290"/>
      <c r="U544" s="290"/>
      <c r="V544" s="290"/>
      <c r="W544" s="290"/>
      <c r="X544" s="290"/>
      <c r="Y544" s="290"/>
      <c r="Z544" s="290"/>
      <c r="AA544" s="290"/>
      <c r="AB544" s="290"/>
      <c r="AC544" s="290"/>
      <c r="AD544" s="290"/>
      <c r="AE544" s="290"/>
      <c r="AF544" s="290"/>
      <c r="AG544" s="290"/>
      <c r="AH544" s="290"/>
      <c r="AI544" s="290"/>
      <c r="AJ544" s="290"/>
      <c r="AK544" s="290"/>
    </row>
    <row r="545" spans="11:37" x14ac:dyDescent="0.2">
      <c r="K545" s="290"/>
      <c r="L545" s="290"/>
      <c r="M545" s="290"/>
      <c r="N545" s="290"/>
      <c r="O545" s="290"/>
      <c r="P545" s="290"/>
      <c r="Q545" s="290"/>
      <c r="R545" s="290"/>
      <c r="S545" s="290"/>
      <c r="T545" s="290"/>
      <c r="U545" s="290"/>
      <c r="V545" s="290"/>
      <c r="W545" s="290"/>
      <c r="X545" s="290"/>
      <c r="Y545" s="290"/>
      <c r="Z545" s="290"/>
      <c r="AA545" s="290"/>
      <c r="AB545" s="290"/>
      <c r="AC545" s="290"/>
      <c r="AD545" s="290"/>
      <c r="AE545" s="290"/>
      <c r="AF545" s="290"/>
      <c r="AG545" s="290"/>
      <c r="AH545" s="290"/>
      <c r="AI545" s="290"/>
      <c r="AJ545" s="290"/>
      <c r="AK545" s="290"/>
    </row>
    <row r="546" spans="11:37" x14ac:dyDescent="0.2">
      <c r="K546" s="290"/>
      <c r="L546" s="290"/>
      <c r="M546" s="290"/>
      <c r="N546" s="290"/>
      <c r="O546" s="290"/>
      <c r="P546" s="290"/>
      <c r="Q546" s="290"/>
      <c r="R546" s="290"/>
      <c r="S546" s="290"/>
      <c r="T546" s="290"/>
      <c r="U546" s="290"/>
      <c r="V546" s="290"/>
      <c r="W546" s="290"/>
      <c r="X546" s="290"/>
      <c r="Y546" s="290"/>
      <c r="Z546" s="290"/>
      <c r="AA546" s="290"/>
      <c r="AB546" s="290"/>
      <c r="AC546" s="290"/>
      <c r="AD546" s="290"/>
      <c r="AE546" s="290"/>
      <c r="AF546" s="290"/>
      <c r="AG546" s="290"/>
      <c r="AH546" s="290"/>
      <c r="AI546" s="290"/>
      <c r="AJ546" s="290"/>
      <c r="AK546" s="290"/>
    </row>
    <row r="547" spans="11:37" x14ac:dyDescent="0.2">
      <c r="K547" s="290"/>
      <c r="L547" s="290"/>
      <c r="M547" s="290"/>
      <c r="N547" s="290"/>
      <c r="O547" s="290"/>
      <c r="P547" s="290"/>
      <c r="Q547" s="290"/>
      <c r="R547" s="290"/>
      <c r="S547" s="290"/>
      <c r="T547" s="290"/>
      <c r="U547" s="290"/>
      <c r="V547" s="290"/>
      <c r="W547" s="290"/>
      <c r="X547" s="290"/>
      <c r="Y547" s="290"/>
      <c r="Z547" s="290"/>
      <c r="AA547" s="290"/>
      <c r="AB547" s="290"/>
      <c r="AC547" s="290"/>
      <c r="AD547" s="290"/>
      <c r="AE547" s="290"/>
      <c r="AF547" s="290"/>
      <c r="AG547" s="290"/>
      <c r="AH547" s="290"/>
      <c r="AI547" s="290"/>
      <c r="AJ547" s="290"/>
      <c r="AK547" s="290"/>
    </row>
    <row r="548" spans="11:37" x14ac:dyDescent="0.2">
      <c r="K548" s="290"/>
      <c r="L548" s="290"/>
      <c r="M548" s="290"/>
      <c r="N548" s="290"/>
      <c r="O548" s="290"/>
      <c r="P548" s="290"/>
      <c r="Q548" s="290"/>
      <c r="R548" s="290"/>
      <c r="S548" s="290"/>
      <c r="T548" s="290"/>
      <c r="U548" s="290"/>
      <c r="V548" s="290"/>
      <c r="W548" s="290"/>
      <c r="X548" s="290"/>
      <c r="Y548" s="290"/>
      <c r="Z548" s="290"/>
      <c r="AA548" s="290"/>
      <c r="AB548" s="290"/>
      <c r="AC548" s="290"/>
      <c r="AD548" s="290"/>
      <c r="AE548" s="290"/>
      <c r="AF548" s="290"/>
      <c r="AG548" s="290"/>
      <c r="AH548" s="290"/>
      <c r="AI548" s="290"/>
      <c r="AJ548" s="290"/>
      <c r="AK548" s="290"/>
    </row>
    <row r="549" spans="11:37" x14ac:dyDescent="0.2">
      <c r="K549" s="290"/>
      <c r="L549" s="290"/>
      <c r="M549" s="290"/>
      <c r="N549" s="290"/>
      <c r="O549" s="290"/>
      <c r="P549" s="290"/>
      <c r="Q549" s="290"/>
      <c r="R549" s="290"/>
      <c r="S549" s="290"/>
      <c r="T549" s="290"/>
      <c r="U549" s="290"/>
      <c r="V549" s="290"/>
      <c r="W549" s="290"/>
      <c r="X549" s="290"/>
      <c r="Y549" s="290"/>
      <c r="Z549" s="290"/>
      <c r="AA549" s="290"/>
      <c r="AB549" s="290"/>
      <c r="AC549" s="290"/>
      <c r="AD549" s="290"/>
      <c r="AE549" s="290"/>
      <c r="AF549" s="290"/>
      <c r="AG549" s="290"/>
      <c r="AH549" s="290"/>
      <c r="AI549" s="290"/>
      <c r="AJ549" s="290"/>
      <c r="AK549" s="290"/>
    </row>
    <row r="550" spans="11:37" x14ac:dyDescent="0.2">
      <c r="K550" s="290"/>
      <c r="L550" s="290"/>
      <c r="M550" s="290"/>
      <c r="N550" s="290"/>
      <c r="O550" s="290"/>
      <c r="P550" s="290"/>
      <c r="Q550" s="290"/>
      <c r="R550" s="290"/>
      <c r="S550" s="290"/>
      <c r="T550" s="290"/>
      <c r="U550" s="290"/>
      <c r="V550" s="290"/>
      <c r="W550" s="290"/>
      <c r="X550" s="290"/>
      <c r="Y550" s="290"/>
      <c r="Z550" s="290"/>
      <c r="AA550" s="290"/>
      <c r="AB550" s="290"/>
      <c r="AC550" s="290"/>
      <c r="AD550" s="290"/>
      <c r="AE550" s="290"/>
      <c r="AF550" s="290"/>
      <c r="AG550" s="290"/>
      <c r="AH550" s="290"/>
      <c r="AI550" s="290"/>
      <c r="AJ550" s="290"/>
      <c r="AK550" s="290"/>
    </row>
    <row r="551" spans="11:37" x14ac:dyDescent="0.2">
      <c r="K551" s="290"/>
      <c r="L551" s="290"/>
      <c r="M551" s="290"/>
      <c r="N551" s="290"/>
      <c r="O551" s="290"/>
      <c r="P551" s="290"/>
      <c r="Q551" s="290"/>
      <c r="R551" s="290"/>
      <c r="S551" s="290"/>
      <c r="T551" s="290"/>
      <c r="U551" s="290"/>
      <c r="V551" s="290"/>
      <c r="W551" s="290"/>
      <c r="X551" s="290"/>
      <c r="Y551" s="290"/>
      <c r="Z551" s="290"/>
      <c r="AA551" s="290"/>
      <c r="AB551" s="290"/>
      <c r="AC551" s="290"/>
      <c r="AD551" s="290"/>
      <c r="AE551" s="290"/>
      <c r="AF551" s="290"/>
      <c r="AG551" s="290"/>
      <c r="AH551" s="290"/>
      <c r="AI551" s="290"/>
      <c r="AJ551" s="290"/>
      <c r="AK551" s="290"/>
    </row>
    <row r="552" spans="11:37" x14ac:dyDescent="0.2">
      <c r="K552" s="290"/>
      <c r="L552" s="290"/>
      <c r="M552" s="290"/>
      <c r="N552" s="290"/>
      <c r="O552" s="290"/>
      <c r="P552" s="290"/>
      <c r="Q552" s="290"/>
      <c r="R552" s="290"/>
      <c r="S552" s="290"/>
      <c r="T552" s="290"/>
      <c r="U552" s="290"/>
      <c r="V552" s="290"/>
      <c r="W552" s="290"/>
      <c r="X552" s="290"/>
      <c r="Y552" s="290"/>
      <c r="Z552" s="290"/>
      <c r="AA552" s="290"/>
      <c r="AB552" s="290"/>
      <c r="AC552" s="290"/>
      <c r="AD552" s="290"/>
      <c r="AE552" s="290"/>
      <c r="AF552" s="290"/>
      <c r="AG552" s="290"/>
      <c r="AH552" s="290"/>
      <c r="AI552" s="290"/>
      <c r="AJ552" s="290"/>
      <c r="AK552" s="290"/>
    </row>
    <row r="553" spans="11:37" x14ac:dyDescent="0.2">
      <c r="K553" s="290"/>
      <c r="L553" s="290"/>
      <c r="M553" s="290"/>
      <c r="N553" s="290"/>
      <c r="O553" s="290"/>
      <c r="P553" s="290"/>
      <c r="Q553" s="290"/>
      <c r="R553" s="290"/>
      <c r="S553" s="290"/>
      <c r="T553" s="290"/>
      <c r="U553" s="290"/>
      <c r="V553" s="290"/>
      <c r="W553" s="290"/>
      <c r="X553" s="290"/>
      <c r="Y553" s="290"/>
      <c r="Z553" s="290"/>
      <c r="AA553" s="290"/>
      <c r="AB553" s="290"/>
      <c r="AC553" s="290"/>
      <c r="AD553" s="290"/>
      <c r="AE553" s="290"/>
      <c r="AF553" s="290"/>
      <c r="AG553" s="290"/>
      <c r="AH553" s="290"/>
      <c r="AI553" s="290"/>
      <c r="AJ553" s="290"/>
      <c r="AK553" s="290"/>
    </row>
    <row r="554" spans="11:37" x14ac:dyDescent="0.2">
      <c r="K554" s="290"/>
      <c r="L554" s="290"/>
      <c r="M554" s="290"/>
      <c r="N554" s="290"/>
      <c r="O554" s="290"/>
      <c r="P554" s="290"/>
      <c r="Q554" s="290"/>
      <c r="R554" s="290"/>
      <c r="S554" s="290"/>
      <c r="T554" s="290"/>
      <c r="U554" s="290"/>
      <c r="V554" s="290"/>
      <c r="W554" s="290"/>
      <c r="X554" s="290"/>
      <c r="Y554" s="290"/>
      <c r="Z554" s="290"/>
      <c r="AA554" s="290"/>
      <c r="AB554" s="290"/>
      <c r="AC554" s="290"/>
      <c r="AD554" s="290"/>
      <c r="AE554" s="290"/>
      <c r="AF554" s="290"/>
      <c r="AG554" s="290"/>
      <c r="AH554" s="290"/>
      <c r="AI554" s="290"/>
      <c r="AJ554" s="290"/>
      <c r="AK554" s="290"/>
    </row>
    <row r="555" spans="11:37" x14ac:dyDescent="0.2">
      <c r="K555" s="290"/>
      <c r="L555" s="290"/>
      <c r="M555" s="290"/>
      <c r="N555" s="290"/>
      <c r="O555" s="290"/>
      <c r="P555" s="290"/>
      <c r="Q555" s="290"/>
      <c r="R555" s="290"/>
      <c r="S555" s="290"/>
      <c r="T555" s="290"/>
      <c r="U555" s="290"/>
      <c r="V555" s="290"/>
      <c r="W555" s="290"/>
      <c r="X555" s="290"/>
      <c r="Y555" s="290"/>
      <c r="Z555" s="290"/>
      <c r="AA555" s="290"/>
      <c r="AB555" s="290"/>
      <c r="AC555" s="290"/>
      <c r="AD555" s="290"/>
      <c r="AE555" s="290"/>
      <c r="AF555" s="290"/>
      <c r="AG555" s="290"/>
      <c r="AH555" s="290"/>
      <c r="AI555" s="290"/>
      <c r="AJ555" s="290"/>
      <c r="AK555" s="290"/>
    </row>
    <row r="556" spans="11:37" x14ac:dyDescent="0.2">
      <c r="K556" s="290"/>
      <c r="L556" s="290"/>
      <c r="M556" s="290"/>
      <c r="N556" s="290"/>
      <c r="O556" s="290"/>
      <c r="P556" s="290"/>
      <c r="Q556" s="290"/>
      <c r="R556" s="290"/>
      <c r="S556" s="290"/>
      <c r="T556" s="290"/>
      <c r="U556" s="290"/>
      <c r="V556" s="290"/>
      <c r="W556" s="290"/>
      <c r="X556" s="290"/>
      <c r="Y556" s="290"/>
      <c r="Z556" s="290"/>
      <c r="AA556" s="290"/>
      <c r="AB556" s="290"/>
      <c r="AC556" s="290"/>
      <c r="AD556" s="290"/>
      <c r="AE556" s="290"/>
      <c r="AF556" s="290"/>
      <c r="AG556" s="290"/>
      <c r="AH556" s="290"/>
      <c r="AI556" s="290"/>
      <c r="AJ556" s="290"/>
      <c r="AK556" s="290"/>
    </row>
    <row r="557" spans="11:37" x14ac:dyDescent="0.2">
      <c r="K557" s="290"/>
      <c r="L557" s="290"/>
      <c r="M557" s="290"/>
      <c r="N557" s="290"/>
      <c r="O557" s="290"/>
      <c r="P557" s="290"/>
      <c r="Q557" s="290"/>
      <c r="R557" s="290"/>
      <c r="S557" s="290"/>
      <c r="T557" s="290"/>
      <c r="U557" s="290"/>
      <c r="V557" s="290"/>
      <c r="W557" s="290"/>
      <c r="X557" s="290"/>
      <c r="Y557" s="290"/>
      <c r="Z557" s="290"/>
      <c r="AA557" s="290"/>
      <c r="AB557" s="290"/>
      <c r="AC557" s="290"/>
      <c r="AD557" s="290"/>
      <c r="AE557" s="290"/>
      <c r="AF557" s="290"/>
      <c r="AG557" s="290"/>
      <c r="AH557" s="290"/>
      <c r="AI557" s="290"/>
      <c r="AJ557" s="290"/>
      <c r="AK557" s="290"/>
    </row>
    <row r="558" spans="11:37" x14ac:dyDescent="0.2">
      <c r="K558" s="290"/>
      <c r="L558" s="290"/>
      <c r="M558" s="290"/>
      <c r="N558" s="290"/>
      <c r="O558" s="290"/>
      <c r="P558" s="290"/>
      <c r="Q558" s="290"/>
      <c r="R558" s="290"/>
      <c r="S558" s="290"/>
      <c r="T558" s="290"/>
      <c r="U558" s="290"/>
      <c r="V558" s="290"/>
      <c r="W558" s="290"/>
      <c r="X558" s="290"/>
      <c r="Y558" s="290"/>
      <c r="Z558" s="290"/>
      <c r="AA558" s="290"/>
      <c r="AB558" s="290"/>
      <c r="AC558" s="290"/>
      <c r="AD558" s="290"/>
      <c r="AE558" s="290"/>
      <c r="AF558" s="290"/>
      <c r="AG558" s="290"/>
      <c r="AH558" s="290"/>
      <c r="AI558" s="290"/>
      <c r="AJ558" s="290"/>
      <c r="AK558" s="290"/>
    </row>
    <row r="559" spans="11:37" x14ac:dyDescent="0.2">
      <c r="K559" s="290"/>
      <c r="L559" s="290"/>
      <c r="M559" s="290"/>
      <c r="N559" s="290"/>
      <c r="O559" s="290"/>
      <c r="P559" s="290"/>
      <c r="Q559" s="290"/>
      <c r="R559" s="290"/>
      <c r="S559" s="290"/>
      <c r="T559" s="290"/>
      <c r="U559" s="290"/>
      <c r="V559" s="290"/>
      <c r="W559" s="290"/>
      <c r="X559" s="290"/>
      <c r="Y559" s="290"/>
      <c r="Z559" s="290"/>
      <c r="AA559" s="290"/>
      <c r="AB559" s="290"/>
      <c r="AC559" s="290"/>
      <c r="AD559" s="290"/>
      <c r="AE559" s="290"/>
      <c r="AF559" s="290"/>
      <c r="AG559" s="290"/>
      <c r="AH559" s="290"/>
      <c r="AI559" s="290"/>
      <c r="AJ559" s="290"/>
      <c r="AK559" s="290"/>
    </row>
    <row r="560" spans="11:37" x14ac:dyDescent="0.2">
      <c r="K560" s="290"/>
      <c r="L560" s="290"/>
      <c r="M560" s="290"/>
      <c r="N560" s="290"/>
      <c r="O560" s="290"/>
      <c r="P560" s="290"/>
      <c r="Q560" s="290"/>
      <c r="R560" s="290"/>
      <c r="S560" s="290"/>
      <c r="T560" s="290"/>
      <c r="U560" s="290"/>
      <c r="V560" s="290"/>
      <c r="W560" s="290"/>
      <c r="X560" s="290"/>
      <c r="Y560" s="290"/>
      <c r="Z560" s="290"/>
      <c r="AA560" s="290"/>
      <c r="AB560" s="290"/>
      <c r="AC560" s="290"/>
      <c r="AD560" s="290"/>
      <c r="AE560" s="290"/>
      <c r="AF560" s="290"/>
      <c r="AG560" s="290"/>
      <c r="AH560" s="290"/>
      <c r="AI560" s="290"/>
      <c r="AJ560" s="290"/>
      <c r="AK560" s="290"/>
    </row>
    <row r="561" spans="11:37" x14ac:dyDescent="0.2">
      <c r="K561" s="290"/>
      <c r="L561" s="290"/>
      <c r="M561" s="290"/>
      <c r="N561" s="290"/>
      <c r="O561" s="290"/>
      <c r="P561" s="290"/>
      <c r="Q561" s="290"/>
      <c r="R561" s="290"/>
      <c r="S561" s="290"/>
      <c r="T561" s="290"/>
      <c r="U561" s="290"/>
      <c r="V561" s="290"/>
      <c r="W561" s="290"/>
      <c r="X561" s="290"/>
      <c r="Y561" s="290"/>
      <c r="Z561" s="290"/>
      <c r="AA561" s="290"/>
      <c r="AB561" s="290"/>
      <c r="AC561" s="290"/>
      <c r="AD561" s="290"/>
      <c r="AE561" s="290"/>
      <c r="AF561" s="290"/>
      <c r="AG561" s="290"/>
      <c r="AH561" s="290"/>
      <c r="AI561" s="290"/>
      <c r="AJ561" s="290"/>
      <c r="AK561" s="290"/>
    </row>
    <row r="562" spans="11:37" x14ac:dyDescent="0.2">
      <c r="K562" s="290"/>
      <c r="L562" s="290"/>
      <c r="M562" s="290"/>
      <c r="N562" s="290"/>
      <c r="O562" s="290"/>
      <c r="P562" s="290"/>
      <c r="Q562" s="290"/>
      <c r="R562" s="290"/>
      <c r="S562" s="290"/>
      <c r="T562" s="290"/>
      <c r="U562" s="290"/>
      <c r="V562" s="290"/>
      <c r="W562" s="290"/>
      <c r="X562" s="290"/>
      <c r="Y562" s="290"/>
      <c r="Z562" s="290"/>
      <c r="AA562" s="290"/>
      <c r="AB562" s="290"/>
      <c r="AC562" s="290"/>
      <c r="AD562" s="290"/>
      <c r="AE562" s="290"/>
      <c r="AF562" s="290"/>
      <c r="AG562" s="290"/>
      <c r="AH562" s="290"/>
      <c r="AI562" s="290"/>
      <c r="AJ562" s="290"/>
      <c r="AK562" s="290"/>
    </row>
    <row r="563" spans="11:37" x14ac:dyDescent="0.2">
      <c r="K563" s="290"/>
      <c r="L563" s="290"/>
      <c r="M563" s="290"/>
      <c r="N563" s="290"/>
      <c r="O563" s="290"/>
      <c r="P563" s="290"/>
      <c r="Q563" s="290"/>
      <c r="R563" s="290"/>
      <c r="S563" s="290"/>
      <c r="T563" s="290"/>
      <c r="U563" s="290"/>
      <c r="V563" s="290"/>
      <c r="W563" s="290"/>
      <c r="X563" s="290"/>
      <c r="Y563" s="290"/>
      <c r="Z563" s="290"/>
      <c r="AA563" s="290"/>
      <c r="AB563" s="290"/>
      <c r="AC563" s="290"/>
      <c r="AD563" s="290"/>
      <c r="AE563" s="290"/>
      <c r="AF563" s="290"/>
      <c r="AG563" s="290"/>
      <c r="AH563" s="290"/>
      <c r="AI563" s="290"/>
      <c r="AJ563" s="290"/>
      <c r="AK563" s="290"/>
    </row>
    <row r="564" spans="11:37" x14ac:dyDescent="0.2">
      <c r="K564" s="290"/>
      <c r="L564" s="290"/>
      <c r="M564" s="290"/>
      <c r="N564" s="290"/>
      <c r="O564" s="290"/>
      <c r="P564" s="290"/>
      <c r="Q564" s="290"/>
      <c r="R564" s="290"/>
      <c r="S564" s="290"/>
      <c r="T564" s="290"/>
      <c r="U564" s="290"/>
      <c r="V564" s="290"/>
      <c r="W564" s="290"/>
      <c r="X564" s="290"/>
      <c r="Y564" s="290"/>
      <c r="Z564" s="290"/>
      <c r="AA564" s="290"/>
      <c r="AB564" s="290"/>
      <c r="AC564" s="290"/>
      <c r="AD564" s="290"/>
      <c r="AE564" s="290"/>
      <c r="AF564" s="290"/>
      <c r="AG564" s="290"/>
      <c r="AH564" s="290"/>
      <c r="AI564" s="290"/>
      <c r="AJ564" s="290"/>
      <c r="AK564" s="290"/>
    </row>
    <row r="565" spans="11:37" x14ac:dyDescent="0.2">
      <c r="K565" s="290"/>
      <c r="L565" s="290"/>
      <c r="M565" s="290"/>
      <c r="N565" s="290"/>
      <c r="O565" s="290"/>
      <c r="P565" s="290"/>
      <c r="Q565" s="290"/>
      <c r="R565" s="290"/>
      <c r="S565" s="290"/>
      <c r="T565" s="290"/>
      <c r="U565" s="290"/>
      <c r="V565" s="290"/>
      <c r="W565" s="290"/>
      <c r="X565" s="290"/>
      <c r="Y565" s="290"/>
      <c r="Z565" s="290"/>
      <c r="AA565" s="290"/>
      <c r="AB565" s="290"/>
      <c r="AC565" s="290"/>
      <c r="AD565" s="290"/>
      <c r="AE565" s="290"/>
      <c r="AF565" s="290"/>
      <c r="AG565" s="290"/>
      <c r="AH565" s="290"/>
      <c r="AI565" s="290"/>
      <c r="AJ565" s="290"/>
      <c r="AK565" s="290"/>
    </row>
    <row r="566" spans="11:37" x14ac:dyDescent="0.2">
      <c r="K566" s="290"/>
      <c r="L566" s="290"/>
      <c r="M566" s="290"/>
      <c r="N566" s="290"/>
      <c r="O566" s="290"/>
      <c r="P566" s="290"/>
      <c r="Q566" s="290"/>
      <c r="R566" s="290"/>
      <c r="S566" s="290"/>
      <c r="T566" s="290"/>
      <c r="U566" s="290"/>
      <c r="V566" s="290"/>
      <c r="W566" s="290"/>
      <c r="X566" s="290"/>
      <c r="Y566" s="290"/>
      <c r="Z566" s="290"/>
      <c r="AA566" s="290"/>
      <c r="AB566" s="290"/>
      <c r="AC566" s="290"/>
      <c r="AD566" s="290"/>
      <c r="AE566" s="290"/>
      <c r="AF566" s="290"/>
      <c r="AG566" s="290"/>
      <c r="AH566" s="290"/>
      <c r="AI566" s="290"/>
      <c r="AJ566" s="290"/>
      <c r="AK566" s="290"/>
    </row>
    <row r="567" spans="11:37" x14ac:dyDescent="0.2">
      <c r="K567" s="290"/>
      <c r="L567" s="290"/>
      <c r="M567" s="290"/>
      <c r="N567" s="290"/>
      <c r="O567" s="290"/>
      <c r="P567" s="290"/>
      <c r="Q567" s="290"/>
      <c r="R567" s="290"/>
      <c r="S567" s="290"/>
      <c r="T567" s="290"/>
      <c r="U567" s="290"/>
      <c r="V567" s="290"/>
      <c r="W567" s="290"/>
      <c r="X567" s="290"/>
      <c r="Y567" s="290"/>
      <c r="Z567" s="290"/>
      <c r="AA567" s="290"/>
      <c r="AB567" s="290"/>
      <c r="AC567" s="290"/>
      <c r="AD567" s="290"/>
      <c r="AE567" s="290"/>
      <c r="AF567" s="290"/>
      <c r="AG567" s="290"/>
      <c r="AH567" s="290"/>
      <c r="AI567" s="290"/>
      <c r="AJ567" s="290"/>
      <c r="AK567" s="290"/>
    </row>
    <row r="568" spans="11:37" x14ac:dyDescent="0.2">
      <c r="K568" s="290"/>
      <c r="L568" s="290"/>
      <c r="M568" s="290"/>
      <c r="N568" s="290"/>
      <c r="O568" s="290"/>
      <c r="P568" s="290"/>
      <c r="Q568" s="290"/>
      <c r="R568" s="290"/>
      <c r="S568" s="290"/>
      <c r="T568" s="290"/>
      <c r="U568" s="290"/>
      <c r="V568" s="290"/>
      <c r="W568" s="290"/>
      <c r="X568" s="290"/>
      <c r="Y568" s="290"/>
      <c r="Z568" s="290"/>
      <c r="AA568" s="290"/>
      <c r="AB568" s="290"/>
      <c r="AC568" s="290"/>
      <c r="AD568" s="290"/>
      <c r="AE568" s="290"/>
      <c r="AF568" s="290"/>
      <c r="AG568" s="290"/>
      <c r="AH568" s="290"/>
      <c r="AI568" s="290"/>
      <c r="AJ568" s="290"/>
      <c r="AK568" s="290"/>
    </row>
    <row r="569" spans="11:37" x14ac:dyDescent="0.2">
      <c r="K569" s="290"/>
      <c r="L569" s="290"/>
      <c r="M569" s="290"/>
      <c r="N569" s="290"/>
      <c r="O569" s="290"/>
      <c r="P569" s="290"/>
      <c r="Q569" s="290"/>
      <c r="R569" s="290"/>
      <c r="S569" s="290"/>
      <c r="T569" s="290"/>
      <c r="U569" s="290"/>
      <c r="V569" s="290"/>
      <c r="W569" s="290"/>
      <c r="X569" s="290"/>
      <c r="Y569" s="290"/>
      <c r="Z569" s="290"/>
      <c r="AA569" s="290"/>
      <c r="AB569" s="290"/>
      <c r="AC569" s="290"/>
      <c r="AD569" s="290"/>
      <c r="AE569" s="290"/>
      <c r="AF569" s="290"/>
      <c r="AG569" s="290"/>
      <c r="AH569" s="290"/>
      <c r="AI569" s="290"/>
      <c r="AJ569" s="290"/>
      <c r="AK569" s="290"/>
    </row>
    <row r="570" spans="11:37" x14ac:dyDescent="0.2">
      <c r="K570" s="290"/>
      <c r="L570" s="290"/>
      <c r="M570" s="290"/>
      <c r="N570" s="290"/>
      <c r="O570" s="290"/>
      <c r="P570" s="290"/>
      <c r="Q570" s="290"/>
      <c r="R570" s="290"/>
      <c r="S570" s="290"/>
      <c r="T570" s="290"/>
      <c r="U570" s="290"/>
      <c r="V570" s="290"/>
      <c r="W570" s="290"/>
      <c r="X570" s="290"/>
      <c r="Y570" s="290"/>
      <c r="Z570" s="290"/>
      <c r="AA570" s="290"/>
      <c r="AB570" s="290"/>
      <c r="AC570" s="290"/>
      <c r="AD570" s="290"/>
      <c r="AE570" s="290"/>
      <c r="AF570" s="290"/>
      <c r="AG570" s="290"/>
      <c r="AH570" s="290"/>
      <c r="AI570" s="290"/>
      <c r="AJ570" s="290"/>
      <c r="AK570" s="290"/>
    </row>
    <row r="571" spans="11:37" x14ac:dyDescent="0.2">
      <c r="K571" s="290"/>
      <c r="L571" s="290"/>
      <c r="M571" s="290"/>
      <c r="N571" s="290"/>
      <c r="O571" s="290"/>
      <c r="P571" s="290"/>
      <c r="Q571" s="290"/>
      <c r="R571" s="290"/>
      <c r="S571" s="290"/>
      <c r="T571" s="290"/>
      <c r="U571" s="290"/>
      <c r="V571" s="290"/>
      <c r="W571" s="290"/>
      <c r="X571" s="290"/>
      <c r="Y571" s="290"/>
      <c r="Z571" s="290"/>
      <c r="AA571" s="290"/>
      <c r="AB571" s="290"/>
      <c r="AC571" s="290"/>
      <c r="AD571" s="290"/>
      <c r="AE571" s="290"/>
      <c r="AF571" s="290"/>
      <c r="AG571" s="290"/>
      <c r="AH571" s="290"/>
      <c r="AI571" s="290"/>
      <c r="AJ571" s="290"/>
      <c r="AK571" s="290"/>
    </row>
    <row r="572" spans="11:37" x14ac:dyDescent="0.2">
      <c r="K572" s="290"/>
      <c r="L572" s="290"/>
      <c r="M572" s="290"/>
      <c r="N572" s="290"/>
      <c r="O572" s="290"/>
      <c r="P572" s="290"/>
      <c r="Q572" s="290"/>
      <c r="R572" s="290"/>
      <c r="S572" s="290"/>
      <c r="T572" s="290"/>
      <c r="U572" s="290"/>
      <c r="V572" s="290"/>
      <c r="W572" s="290"/>
      <c r="X572" s="290"/>
      <c r="Y572" s="290"/>
      <c r="Z572" s="290"/>
      <c r="AA572" s="290"/>
      <c r="AB572" s="290"/>
      <c r="AC572" s="290"/>
      <c r="AD572" s="290"/>
      <c r="AE572" s="290"/>
      <c r="AF572" s="290"/>
      <c r="AG572" s="290"/>
      <c r="AH572" s="290"/>
      <c r="AI572" s="290"/>
      <c r="AJ572" s="290"/>
      <c r="AK572" s="290"/>
    </row>
    <row r="573" spans="11:37" x14ac:dyDescent="0.2">
      <c r="K573" s="290"/>
      <c r="L573" s="290"/>
      <c r="M573" s="290"/>
      <c r="N573" s="290"/>
      <c r="O573" s="290"/>
      <c r="P573" s="290"/>
      <c r="Q573" s="290"/>
      <c r="R573" s="290"/>
      <c r="S573" s="290"/>
      <c r="T573" s="290"/>
      <c r="U573" s="290"/>
      <c r="V573" s="290"/>
      <c r="W573" s="290"/>
      <c r="X573" s="290"/>
      <c r="Y573" s="290"/>
      <c r="Z573" s="290"/>
      <c r="AA573" s="290"/>
      <c r="AB573" s="290"/>
      <c r="AC573" s="290"/>
      <c r="AD573" s="290"/>
      <c r="AE573" s="290"/>
      <c r="AF573" s="290"/>
      <c r="AG573" s="290"/>
      <c r="AH573" s="290"/>
      <c r="AI573" s="290"/>
      <c r="AJ573" s="290"/>
      <c r="AK573" s="290"/>
    </row>
    <row r="574" spans="11:37" x14ac:dyDescent="0.2">
      <c r="K574" s="290"/>
      <c r="L574" s="290"/>
      <c r="M574" s="290"/>
      <c r="N574" s="290"/>
      <c r="O574" s="290"/>
      <c r="P574" s="290"/>
      <c r="Q574" s="290"/>
      <c r="R574" s="290"/>
      <c r="S574" s="290"/>
      <c r="T574" s="290"/>
      <c r="U574" s="290"/>
      <c r="V574" s="290"/>
      <c r="W574" s="290"/>
      <c r="X574" s="290"/>
      <c r="Y574" s="290"/>
      <c r="Z574" s="290"/>
      <c r="AA574" s="290"/>
      <c r="AB574" s="290"/>
      <c r="AC574" s="290"/>
      <c r="AD574" s="290"/>
      <c r="AE574" s="290"/>
      <c r="AF574" s="290"/>
      <c r="AG574" s="290"/>
      <c r="AH574" s="290"/>
      <c r="AI574" s="290"/>
      <c r="AJ574" s="290"/>
      <c r="AK574" s="290"/>
    </row>
    <row r="575" spans="11:37" x14ac:dyDescent="0.2">
      <c r="K575" s="290"/>
      <c r="L575" s="290"/>
      <c r="M575" s="290"/>
      <c r="N575" s="290"/>
      <c r="O575" s="290"/>
      <c r="P575" s="290"/>
      <c r="Q575" s="290"/>
      <c r="R575" s="290"/>
      <c r="S575" s="290"/>
      <c r="T575" s="290"/>
      <c r="U575" s="290"/>
      <c r="V575" s="290"/>
      <c r="W575" s="290"/>
      <c r="X575" s="290"/>
      <c r="Y575" s="290"/>
      <c r="Z575" s="290"/>
      <c r="AA575" s="290"/>
      <c r="AB575" s="290"/>
      <c r="AC575" s="290"/>
      <c r="AD575" s="290"/>
      <c r="AE575" s="290"/>
      <c r="AF575" s="290"/>
      <c r="AG575" s="290"/>
      <c r="AH575" s="290"/>
      <c r="AI575" s="290"/>
      <c r="AJ575" s="290"/>
      <c r="AK575" s="290"/>
    </row>
    <row r="576" spans="11:37" x14ac:dyDescent="0.2">
      <c r="K576" s="290"/>
      <c r="L576" s="290"/>
      <c r="M576" s="290"/>
      <c r="N576" s="290"/>
      <c r="O576" s="290"/>
      <c r="P576" s="290"/>
      <c r="Q576" s="290"/>
      <c r="R576" s="290"/>
      <c r="S576" s="290"/>
      <c r="T576" s="290"/>
      <c r="U576" s="290"/>
      <c r="V576" s="290"/>
      <c r="W576" s="290"/>
      <c r="X576" s="290"/>
      <c r="Y576" s="290"/>
      <c r="Z576" s="290"/>
      <c r="AA576" s="290"/>
      <c r="AB576" s="290"/>
      <c r="AC576" s="290"/>
      <c r="AD576" s="290"/>
      <c r="AE576" s="290"/>
      <c r="AF576" s="290"/>
      <c r="AG576" s="290"/>
      <c r="AH576" s="290"/>
      <c r="AI576" s="290"/>
      <c r="AJ576" s="290"/>
      <c r="AK576" s="290"/>
    </row>
    <row r="577" spans="11:37" x14ac:dyDescent="0.2">
      <c r="K577" s="290"/>
      <c r="L577" s="290"/>
      <c r="M577" s="290"/>
      <c r="N577" s="290"/>
      <c r="O577" s="290"/>
      <c r="P577" s="290"/>
      <c r="Q577" s="290"/>
      <c r="R577" s="290"/>
      <c r="S577" s="290"/>
      <c r="T577" s="290"/>
      <c r="U577" s="290"/>
      <c r="V577" s="290"/>
      <c r="W577" s="290"/>
      <c r="X577" s="290"/>
      <c r="Y577" s="290"/>
      <c r="Z577" s="290"/>
      <c r="AA577" s="290"/>
      <c r="AB577" s="290"/>
      <c r="AC577" s="290"/>
      <c r="AD577" s="290"/>
      <c r="AE577" s="290"/>
      <c r="AF577" s="290"/>
      <c r="AG577" s="290"/>
      <c r="AH577" s="290"/>
      <c r="AI577" s="290"/>
      <c r="AJ577" s="290"/>
      <c r="AK577" s="290"/>
    </row>
    <row r="578" spans="11:37" x14ac:dyDescent="0.2">
      <c r="K578" s="290"/>
      <c r="L578" s="290"/>
      <c r="M578" s="290"/>
      <c r="N578" s="290"/>
      <c r="O578" s="290"/>
      <c r="P578" s="290"/>
      <c r="Q578" s="290"/>
      <c r="R578" s="290"/>
      <c r="S578" s="290"/>
      <c r="T578" s="290"/>
      <c r="U578" s="290"/>
      <c r="V578" s="290"/>
      <c r="W578" s="290"/>
      <c r="X578" s="290"/>
      <c r="Y578" s="290"/>
      <c r="Z578" s="290"/>
      <c r="AA578" s="290"/>
      <c r="AB578" s="290"/>
      <c r="AC578" s="290"/>
      <c r="AD578" s="290"/>
      <c r="AE578" s="290"/>
      <c r="AF578" s="290"/>
      <c r="AG578" s="290"/>
      <c r="AH578" s="290"/>
      <c r="AI578" s="290"/>
      <c r="AJ578" s="290"/>
      <c r="AK578" s="290"/>
    </row>
    <row r="579" spans="11:37" x14ac:dyDescent="0.2">
      <c r="K579" s="290"/>
      <c r="L579" s="290"/>
      <c r="M579" s="290"/>
      <c r="N579" s="290"/>
      <c r="O579" s="290"/>
      <c r="P579" s="290"/>
      <c r="Q579" s="290"/>
      <c r="R579" s="290"/>
      <c r="S579" s="290"/>
      <c r="T579" s="290"/>
      <c r="U579" s="290"/>
      <c r="V579" s="290"/>
      <c r="W579" s="290"/>
      <c r="X579" s="290"/>
      <c r="Y579" s="290"/>
      <c r="Z579" s="290"/>
      <c r="AA579" s="290"/>
      <c r="AB579" s="290"/>
      <c r="AC579" s="290"/>
      <c r="AD579" s="290"/>
      <c r="AE579" s="290"/>
      <c r="AF579" s="290"/>
      <c r="AG579" s="290"/>
      <c r="AH579" s="290"/>
      <c r="AI579" s="290"/>
      <c r="AJ579" s="290"/>
      <c r="AK579" s="290"/>
    </row>
    <row r="580" spans="11:37" x14ac:dyDescent="0.2">
      <c r="K580" s="290"/>
      <c r="L580" s="290"/>
      <c r="M580" s="290"/>
      <c r="N580" s="290"/>
      <c r="O580" s="290"/>
      <c r="P580" s="290"/>
      <c r="Q580" s="290"/>
      <c r="R580" s="290"/>
      <c r="S580" s="290"/>
      <c r="T580" s="290"/>
      <c r="U580" s="290"/>
      <c r="V580" s="290"/>
      <c r="W580" s="290"/>
      <c r="X580" s="290"/>
      <c r="Y580" s="290"/>
      <c r="Z580" s="290"/>
      <c r="AA580" s="290"/>
      <c r="AB580" s="290"/>
      <c r="AC580" s="290"/>
      <c r="AD580" s="290"/>
      <c r="AE580" s="290"/>
      <c r="AF580" s="290"/>
      <c r="AG580" s="290"/>
      <c r="AH580" s="290"/>
      <c r="AI580" s="290"/>
      <c r="AJ580" s="290"/>
      <c r="AK580" s="290"/>
    </row>
    <row r="581" spans="11:37" x14ac:dyDescent="0.2">
      <c r="K581" s="290"/>
      <c r="L581" s="290"/>
      <c r="M581" s="290"/>
      <c r="N581" s="290"/>
      <c r="O581" s="290"/>
      <c r="P581" s="290"/>
      <c r="Q581" s="290"/>
      <c r="R581" s="290"/>
      <c r="S581" s="290"/>
      <c r="T581" s="290"/>
      <c r="U581" s="290"/>
      <c r="V581" s="290"/>
      <c r="W581" s="290"/>
      <c r="X581" s="290"/>
      <c r="Y581" s="290"/>
      <c r="Z581" s="290"/>
      <c r="AA581" s="290"/>
      <c r="AB581" s="290"/>
      <c r="AC581" s="290"/>
      <c r="AD581" s="290"/>
      <c r="AE581" s="290"/>
      <c r="AF581" s="290"/>
      <c r="AG581" s="290"/>
      <c r="AH581" s="290"/>
      <c r="AI581" s="290"/>
      <c r="AJ581" s="290"/>
      <c r="AK581" s="290"/>
    </row>
    <row r="582" spans="11:37" x14ac:dyDescent="0.2">
      <c r="K582" s="290"/>
      <c r="L582" s="290"/>
      <c r="M582" s="290"/>
      <c r="N582" s="290"/>
      <c r="O582" s="290"/>
      <c r="P582" s="290"/>
      <c r="Q582" s="290"/>
      <c r="R582" s="290"/>
      <c r="S582" s="290"/>
      <c r="T582" s="290"/>
      <c r="U582" s="290"/>
      <c r="V582" s="290"/>
      <c r="W582" s="290"/>
      <c r="X582" s="290"/>
      <c r="Y582" s="290"/>
      <c r="Z582" s="290"/>
      <c r="AA582" s="290"/>
      <c r="AB582" s="290"/>
      <c r="AC582" s="290"/>
      <c r="AD582" s="290"/>
      <c r="AE582" s="290"/>
      <c r="AF582" s="290"/>
      <c r="AG582" s="290"/>
      <c r="AH582" s="290"/>
      <c r="AI582" s="290"/>
      <c r="AJ582" s="290"/>
      <c r="AK582" s="290"/>
    </row>
    <row r="583" spans="11:37" x14ac:dyDescent="0.2">
      <c r="K583" s="290"/>
      <c r="L583" s="290"/>
      <c r="M583" s="290"/>
      <c r="N583" s="290"/>
      <c r="O583" s="290"/>
      <c r="P583" s="290"/>
      <c r="Q583" s="290"/>
      <c r="R583" s="290"/>
      <c r="S583" s="290"/>
      <c r="T583" s="290"/>
      <c r="U583" s="290"/>
      <c r="V583" s="290"/>
      <c r="W583" s="290"/>
      <c r="X583" s="290"/>
      <c r="Y583" s="290"/>
      <c r="Z583" s="290"/>
      <c r="AA583" s="290"/>
      <c r="AB583" s="290"/>
      <c r="AC583" s="290"/>
      <c r="AD583" s="290"/>
      <c r="AE583" s="290"/>
      <c r="AF583" s="290"/>
      <c r="AG583" s="290"/>
      <c r="AH583" s="290"/>
      <c r="AI583" s="290"/>
      <c r="AJ583" s="290"/>
      <c r="AK583" s="290"/>
    </row>
    <row r="584" spans="11:37" x14ac:dyDescent="0.2">
      <c r="K584" s="290"/>
      <c r="L584" s="290"/>
      <c r="M584" s="290"/>
      <c r="N584" s="290"/>
      <c r="O584" s="290"/>
      <c r="P584" s="290"/>
      <c r="Q584" s="290"/>
      <c r="R584" s="290"/>
      <c r="S584" s="290"/>
      <c r="T584" s="290"/>
      <c r="U584" s="290"/>
      <c r="V584" s="290"/>
      <c r="W584" s="290"/>
      <c r="X584" s="290"/>
      <c r="Y584" s="290"/>
      <c r="Z584" s="290"/>
      <c r="AA584" s="290"/>
      <c r="AB584" s="290"/>
      <c r="AC584" s="290"/>
      <c r="AD584" s="290"/>
      <c r="AE584" s="290"/>
      <c r="AF584" s="290"/>
      <c r="AG584" s="290"/>
      <c r="AH584" s="290"/>
      <c r="AI584" s="290"/>
      <c r="AJ584" s="290"/>
      <c r="AK584" s="290"/>
    </row>
    <row r="585" spans="11:37" x14ac:dyDescent="0.2">
      <c r="K585" s="290"/>
      <c r="L585" s="290"/>
      <c r="M585" s="290"/>
      <c r="N585" s="290"/>
      <c r="O585" s="290"/>
      <c r="P585" s="290"/>
      <c r="Q585" s="290"/>
      <c r="R585" s="290"/>
      <c r="S585" s="290"/>
      <c r="T585" s="290"/>
      <c r="U585" s="290"/>
      <c r="V585" s="290"/>
      <c r="W585" s="290"/>
      <c r="X585" s="290"/>
      <c r="Y585" s="290"/>
      <c r="Z585" s="290"/>
      <c r="AA585" s="290"/>
      <c r="AB585" s="290"/>
      <c r="AC585" s="290"/>
      <c r="AD585" s="290"/>
      <c r="AE585" s="290"/>
      <c r="AF585" s="290"/>
      <c r="AG585" s="290"/>
      <c r="AH585" s="290"/>
      <c r="AI585" s="290"/>
      <c r="AJ585" s="290"/>
      <c r="AK585" s="290"/>
    </row>
    <row r="586" spans="11:37" x14ac:dyDescent="0.2">
      <c r="K586" s="290"/>
      <c r="L586" s="290"/>
      <c r="M586" s="290"/>
      <c r="N586" s="290"/>
      <c r="O586" s="290"/>
      <c r="P586" s="290"/>
      <c r="Q586" s="290"/>
      <c r="R586" s="290"/>
      <c r="S586" s="290"/>
      <c r="T586" s="290"/>
      <c r="U586" s="290"/>
      <c r="V586" s="290"/>
      <c r="W586" s="290"/>
      <c r="X586" s="290"/>
      <c r="Y586" s="290"/>
      <c r="Z586" s="290"/>
      <c r="AA586" s="290"/>
      <c r="AB586" s="290"/>
      <c r="AC586" s="290"/>
      <c r="AD586" s="290"/>
      <c r="AE586" s="290"/>
      <c r="AF586" s="290"/>
      <c r="AG586" s="290"/>
      <c r="AH586" s="290"/>
      <c r="AI586" s="290"/>
      <c r="AJ586" s="290"/>
      <c r="AK586" s="290"/>
    </row>
    <row r="587" spans="11:37" x14ac:dyDescent="0.2">
      <c r="K587" s="290"/>
      <c r="L587" s="290"/>
      <c r="M587" s="290"/>
      <c r="N587" s="290"/>
      <c r="O587" s="290"/>
      <c r="P587" s="290"/>
      <c r="Q587" s="290"/>
      <c r="R587" s="290"/>
      <c r="S587" s="290"/>
      <c r="T587" s="290"/>
      <c r="U587" s="290"/>
      <c r="V587" s="290"/>
      <c r="W587" s="290"/>
      <c r="X587" s="290"/>
      <c r="Y587" s="290"/>
      <c r="Z587" s="290"/>
      <c r="AA587" s="290"/>
      <c r="AB587" s="290"/>
      <c r="AC587" s="290"/>
      <c r="AD587" s="290"/>
      <c r="AE587" s="290"/>
      <c r="AF587" s="290"/>
      <c r="AG587" s="290"/>
      <c r="AH587" s="290"/>
      <c r="AI587" s="290"/>
      <c r="AJ587" s="290"/>
      <c r="AK587" s="290"/>
    </row>
    <row r="588" spans="11:37" x14ac:dyDescent="0.2">
      <c r="K588" s="290"/>
      <c r="L588" s="290"/>
      <c r="M588" s="290"/>
      <c r="N588" s="290"/>
      <c r="O588" s="290"/>
      <c r="P588" s="290"/>
      <c r="Q588" s="290"/>
      <c r="R588" s="290"/>
      <c r="S588" s="290"/>
      <c r="T588" s="290"/>
      <c r="U588" s="290"/>
      <c r="V588" s="290"/>
      <c r="W588" s="290"/>
      <c r="X588" s="290"/>
      <c r="Y588" s="290"/>
      <c r="Z588" s="290"/>
      <c r="AA588" s="290"/>
      <c r="AB588" s="290"/>
      <c r="AC588" s="290"/>
      <c r="AD588" s="290"/>
      <c r="AE588" s="290"/>
      <c r="AF588" s="290"/>
      <c r="AG588" s="290"/>
      <c r="AH588" s="290"/>
      <c r="AI588" s="290"/>
      <c r="AJ588" s="290"/>
      <c r="AK588" s="290"/>
    </row>
    <row r="589" spans="11:37" x14ac:dyDescent="0.2">
      <c r="K589" s="290"/>
      <c r="L589" s="290"/>
      <c r="M589" s="290"/>
      <c r="N589" s="290"/>
      <c r="O589" s="290"/>
      <c r="P589" s="290"/>
      <c r="Q589" s="290"/>
      <c r="R589" s="290"/>
      <c r="S589" s="290"/>
      <c r="T589" s="290"/>
      <c r="U589" s="290"/>
      <c r="V589" s="290"/>
      <c r="W589" s="290"/>
      <c r="X589" s="290"/>
      <c r="Y589" s="290"/>
      <c r="Z589" s="290"/>
      <c r="AA589" s="290"/>
      <c r="AB589" s="290"/>
      <c r="AC589" s="290"/>
      <c r="AD589" s="290"/>
      <c r="AE589" s="290"/>
      <c r="AF589" s="290"/>
      <c r="AG589" s="290"/>
      <c r="AH589" s="290"/>
      <c r="AI589" s="290"/>
      <c r="AJ589" s="290"/>
      <c r="AK589" s="290"/>
    </row>
    <row r="590" spans="11:37" x14ac:dyDescent="0.2">
      <c r="K590" s="290"/>
      <c r="L590" s="290"/>
      <c r="M590" s="290"/>
      <c r="N590" s="290"/>
      <c r="O590" s="290"/>
      <c r="P590" s="290"/>
      <c r="Q590" s="290"/>
      <c r="R590" s="290"/>
      <c r="S590" s="290"/>
      <c r="T590" s="290"/>
      <c r="U590" s="290"/>
      <c r="V590" s="290"/>
      <c r="W590" s="290"/>
      <c r="X590" s="290"/>
      <c r="Y590" s="290"/>
      <c r="Z590" s="290"/>
      <c r="AA590" s="290"/>
      <c r="AB590" s="290"/>
      <c r="AC590" s="290"/>
      <c r="AD590" s="290"/>
      <c r="AE590" s="290"/>
      <c r="AF590" s="290"/>
      <c r="AG590" s="290"/>
      <c r="AH590" s="290"/>
      <c r="AI590" s="290"/>
      <c r="AJ590" s="290"/>
      <c r="AK590" s="290"/>
    </row>
    <row r="591" spans="11:37" x14ac:dyDescent="0.2">
      <c r="K591" s="290"/>
      <c r="L591" s="290"/>
      <c r="M591" s="290"/>
      <c r="N591" s="290"/>
      <c r="O591" s="290"/>
      <c r="P591" s="290"/>
      <c r="Q591" s="290"/>
      <c r="R591" s="290"/>
      <c r="S591" s="290"/>
      <c r="T591" s="290"/>
      <c r="U591" s="290"/>
      <c r="V591" s="290"/>
      <c r="W591" s="290"/>
      <c r="X591" s="290"/>
      <c r="Y591" s="290"/>
      <c r="Z591" s="290"/>
      <c r="AA591" s="290"/>
      <c r="AB591" s="290"/>
      <c r="AC591" s="290"/>
      <c r="AD591" s="290"/>
      <c r="AE591" s="290"/>
      <c r="AF591" s="290"/>
      <c r="AG591" s="290"/>
      <c r="AH591" s="290"/>
      <c r="AI591" s="290"/>
      <c r="AJ591" s="290"/>
      <c r="AK591" s="290"/>
    </row>
    <row r="592" spans="11:37" x14ac:dyDescent="0.2">
      <c r="K592" s="290"/>
      <c r="L592" s="290"/>
      <c r="M592" s="290"/>
      <c r="N592" s="290"/>
      <c r="O592" s="290"/>
      <c r="P592" s="290"/>
      <c r="Q592" s="290"/>
      <c r="R592" s="290"/>
      <c r="S592" s="290"/>
      <c r="T592" s="290"/>
      <c r="U592" s="290"/>
      <c r="V592" s="290"/>
      <c r="W592" s="290"/>
      <c r="X592" s="290"/>
      <c r="Y592" s="290"/>
      <c r="Z592" s="290"/>
      <c r="AA592" s="290"/>
      <c r="AB592" s="290"/>
      <c r="AC592" s="290"/>
      <c r="AD592" s="290"/>
      <c r="AE592" s="290"/>
      <c r="AF592" s="290"/>
      <c r="AG592" s="290"/>
      <c r="AH592" s="290"/>
      <c r="AI592" s="290"/>
      <c r="AJ592" s="290"/>
      <c r="AK592" s="290"/>
    </row>
    <row r="593" spans="11:37" x14ac:dyDescent="0.2">
      <c r="K593" s="290"/>
      <c r="L593" s="290"/>
      <c r="M593" s="290"/>
      <c r="N593" s="290"/>
      <c r="O593" s="290"/>
      <c r="P593" s="290"/>
      <c r="Q593" s="290"/>
      <c r="R593" s="290"/>
      <c r="S593" s="290"/>
      <c r="T593" s="290"/>
      <c r="U593" s="290"/>
      <c r="V593" s="290"/>
      <c r="W593" s="290"/>
      <c r="X593" s="290"/>
      <c r="Y593" s="290"/>
      <c r="Z593" s="290"/>
      <c r="AA593" s="290"/>
      <c r="AB593" s="290"/>
      <c r="AC593" s="290"/>
      <c r="AD593" s="290"/>
      <c r="AE593" s="290"/>
      <c r="AF593" s="290"/>
      <c r="AG593" s="290"/>
      <c r="AH593" s="290"/>
      <c r="AI593" s="290"/>
      <c r="AJ593" s="290"/>
      <c r="AK593" s="290"/>
    </row>
    <row r="594" spans="11:37" x14ac:dyDescent="0.2">
      <c r="K594" s="290"/>
      <c r="L594" s="290"/>
      <c r="M594" s="290"/>
      <c r="N594" s="290"/>
      <c r="O594" s="290"/>
      <c r="P594" s="290"/>
      <c r="Q594" s="290"/>
      <c r="R594" s="290"/>
      <c r="S594" s="290"/>
      <c r="T594" s="290"/>
      <c r="U594" s="290"/>
      <c r="V594" s="290"/>
      <c r="W594" s="290"/>
      <c r="X594" s="290"/>
      <c r="Y594" s="290"/>
      <c r="Z594" s="290"/>
      <c r="AA594" s="290"/>
      <c r="AB594" s="290"/>
      <c r="AC594" s="290"/>
      <c r="AD594" s="290"/>
      <c r="AE594" s="290"/>
      <c r="AF594" s="290"/>
      <c r="AG594" s="290"/>
      <c r="AH594" s="290"/>
      <c r="AI594" s="290"/>
      <c r="AJ594" s="290"/>
      <c r="AK594" s="290"/>
    </row>
    <row r="595" spans="11:37" x14ac:dyDescent="0.2">
      <c r="K595" s="290"/>
      <c r="L595" s="290"/>
      <c r="M595" s="290"/>
      <c r="N595" s="290"/>
      <c r="O595" s="290"/>
      <c r="P595" s="290"/>
      <c r="Q595" s="290"/>
      <c r="R595" s="290"/>
      <c r="S595" s="290"/>
      <c r="T595" s="290"/>
      <c r="U595" s="290"/>
      <c r="V595" s="290"/>
      <c r="W595" s="290"/>
      <c r="X595" s="290"/>
      <c r="Y595" s="290"/>
      <c r="Z595" s="290"/>
      <c r="AA595" s="290"/>
      <c r="AB595" s="290"/>
      <c r="AC595" s="290"/>
      <c r="AD595" s="290"/>
      <c r="AE595" s="290"/>
      <c r="AF595" s="290"/>
      <c r="AG595" s="290"/>
      <c r="AH595" s="290"/>
      <c r="AI595" s="290"/>
      <c r="AJ595" s="290"/>
      <c r="AK595" s="290"/>
    </row>
    <row r="596" spans="11:37" x14ac:dyDescent="0.2">
      <c r="K596" s="290"/>
      <c r="L596" s="290"/>
      <c r="M596" s="290"/>
      <c r="N596" s="290"/>
      <c r="O596" s="290"/>
      <c r="P596" s="290"/>
      <c r="Q596" s="290"/>
      <c r="R596" s="290"/>
      <c r="S596" s="290"/>
      <c r="T596" s="290"/>
      <c r="U596" s="290"/>
      <c r="V596" s="290"/>
      <c r="W596" s="290"/>
      <c r="X596" s="290"/>
      <c r="Y596" s="290"/>
      <c r="Z596" s="290"/>
      <c r="AA596" s="290"/>
      <c r="AB596" s="290"/>
      <c r="AC596" s="290"/>
      <c r="AD596" s="290"/>
      <c r="AE596" s="290"/>
      <c r="AF596" s="290"/>
      <c r="AG596" s="290"/>
      <c r="AH596" s="290"/>
      <c r="AI596" s="290"/>
      <c r="AJ596" s="290"/>
      <c r="AK596" s="290"/>
    </row>
    <row r="597" spans="11:37" x14ac:dyDescent="0.2">
      <c r="K597" s="290"/>
      <c r="L597" s="290"/>
      <c r="M597" s="290"/>
      <c r="N597" s="290"/>
      <c r="O597" s="290"/>
      <c r="P597" s="290"/>
      <c r="Q597" s="290"/>
      <c r="R597" s="290"/>
      <c r="S597" s="290"/>
      <c r="T597" s="290"/>
      <c r="U597" s="290"/>
      <c r="V597" s="290"/>
      <c r="W597" s="290"/>
      <c r="X597" s="290"/>
      <c r="Y597" s="290"/>
      <c r="Z597" s="290"/>
      <c r="AA597" s="290"/>
      <c r="AB597" s="290"/>
      <c r="AC597" s="290"/>
      <c r="AD597" s="290"/>
      <c r="AE597" s="290"/>
      <c r="AF597" s="290"/>
      <c r="AG597" s="290"/>
      <c r="AH597" s="290"/>
      <c r="AI597" s="290"/>
      <c r="AJ597" s="290"/>
      <c r="AK597" s="290"/>
    </row>
    <row r="598" spans="11:37" x14ac:dyDescent="0.2">
      <c r="K598" s="290"/>
      <c r="L598" s="290"/>
      <c r="M598" s="290"/>
      <c r="N598" s="290"/>
      <c r="O598" s="290"/>
      <c r="P598" s="290"/>
      <c r="Q598" s="290"/>
      <c r="R598" s="290"/>
      <c r="S598" s="290"/>
      <c r="T598" s="290"/>
      <c r="U598" s="290"/>
      <c r="V598" s="290"/>
      <c r="W598" s="290"/>
      <c r="X598" s="290"/>
      <c r="Y598" s="290"/>
      <c r="Z598" s="290"/>
      <c r="AA598" s="290"/>
      <c r="AB598" s="290"/>
      <c r="AC598" s="290"/>
      <c r="AD598" s="290"/>
      <c r="AE598" s="290"/>
      <c r="AF598" s="290"/>
      <c r="AG598" s="290"/>
      <c r="AH598" s="290"/>
      <c r="AI598" s="290"/>
      <c r="AJ598" s="290"/>
      <c r="AK598" s="290"/>
    </row>
    <row r="599" spans="11:37" x14ac:dyDescent="0.2">
      <c r="K599" s="290"/>
      <c r="L599" s="290"/>
      <c r="M599" s="290"/>
      <c r="N599" s="290"/>
      <c r="O599" s="290"/>
      <c r="P599" s="290"/>
      <c r="Q599" s="290"/>
      <c r="R599" s="290"/>
      <c r="S599" s="290"/>
      <c r="T599" s="290"/>
      <c r="U599" s="290"/>
      <c r="V599" s="290"/>
      <c r="W599" s="290"/>
      <c r="X599" s="290"/>
      <c r="Y599" s="290"/>
      <c r="Z599" s="290"/>
      <c r="AA599" s="290"/>
      <c r="AB599" s="290"/>
      <c r="AC599" s="290"/>
      <c r="AD599" s="290"/>
      <c r="AE599" s="290"/>
      <c r="AF599" s="290"/>
      <c r="AG599" s="290"/>
      <c r="AH599" s="290"/>
      <c r="AI599" s="290"/>
      <c r="AJ599" s="290"/>
      <c r="AK599" s="290"/>
    </row>
    <row r="600" spans="11:37" x14ac:dyDescent="0.2">
      <c r="K600" s="290"/>
      <c r="L600" s="290"/>
      <c r="M600" s="290"/>
      <c r="N600" s="290"/>
      <c r="O600" s="290"/>
      <c r="P600" s="290"/>
      <c r="Q600" s="290"/>
      <c r="R600" s="290"/>
      <c r="S600" s="290"/>
      <c r="T600" s="290"/>
      <c r="U600" s="290"/>
      <c r="V600" s="290"/>
      <c r="W600" s="290"/>
      <c r="X600" s="290"/>
      <c r="Y600" s="290"/>
      <c r="Z600" s="290"/>
      <c r="AA600" s="290"/>
      <c r="AB600" s="290"/>
      <c r="AC600" s="290"/>
      <c r="AD600" s="290"/>
      <c r="AE600" s="290"/>
      <c r="AF600" s="290"/>
      <c r="AG600" s="290"/>
      <c r="AH600" s="290"/>
      <c r="AI600" s="290"/>
      <c r="AJ600" s="290"/>
      <c r="AK600" s="290"/>
    </row>
    <row r="601" spans="11:37" x14ac:dyDescent="0.2">
      <c r="K601" s="290"/>
      <c r="L601" s="290"/>
      <c r="M601" s="290"/>
      <c r="N601" s="290"/>
      <c r="O601" s="290"/>
      <c r="P601" s="290"/>
      <c r="Q601" s="290"/>
      <c r="R601" s="290"/>
      <c r="S601" s="290"/>
      <c r="T601" s="290"/>
      <c r="U601" s="290"/>
      <c r="V601" s="290"/>
      <c r="W601" s="290"/>
      <c r="X601" s="290"/>
      <c r="Y601" s="290"/>
      <c r="Z601" s="290"/>
      <c r="AA601" s="290"/>
      <c r="AB601" s="290"/>
      <c r="AC601" s="290"/>
      <c r="AD601" s="290"/>
      <c r="AE601" s="290"/>
      <c r="AF601" s="290"/>
      <c r="AG601" s="290"/>
      <c r="AH601" s="290"/>
      <c r="AI601" s="290"/>
      <c r="AJ601" s="290"/>
      <c r="AK601" s="290"/>
    </row>
    <row r="602" spans="11:37" x14ac:dyDescent="0.2">
      <c r="K602" s="290"/>
      <c r="L602" s="290"/>
      <c r="M602" s="290"/>
      <c r="N602" s="290"/>
      <c r="O602" s="290"/>
      <c r="P602" s="290"/>
      <c r="Q602" s="290"/>
      <c r="R602" s="290"/>
      <c r="S602" s="290"/>
      <c r="T602" s="290"/>
      <c r="U602" s="290"/>
      <c r="V602" s="290"/>
      <c r="W602" s="290"/>
      <c r="X602" s="290"/>
      <c r="Y602" s="290"/>
      <c r="Z602" s="290"/>
      <c r="AA602" s="290"/>
      <c r="AB602" s="290"/>
      <c r="AC602" s="290"/>
      <c r="AD602" s="290"/>
      <c r="AE602" s="290"/>
      <c r="AF602" s="290"/>
      <c r="AG602" s="290"/>
      <c r="AH602" s="290"/>
      <c r="AI602" s="290"/>
      <c r="AJ602" s="290"/>
      <c r="AK602" s="290"/>
    </row>
    <row r="603" spans="11:37" x14ac:dyDescent="0.2">
      <c r="K603" s="290"/>
      <c r="L603" s="290"/>
      <c r="M603" s="290"/>
      <c r="N603" s="290"/>
      <c r="O603" s="290"/>
      <c r="P603" s="290"/>
      <c r="Q603" s="290"/>
      <c r="R603" s="290"/>
      <c r="S603" s="290"/>
      <c r="T603" s="290"/>
      <c r="U603" s="290"/>
      <c r="V603" s="290"/>
      <c r="W603" s="290"/>
      <c r="X603" s="290"/>
      <c r="Y603" s="290"/>
      <c r="Z603" s="290"/>
      <c r="AA603" s="290"/>
      <c r="AB603" s="290"/>
      <c r="AC603" s="290"/>
      <c r="AD603" s="290"/>
      <c r="AE603" s="290"/>
      <c r="AF603" s="290"/>
      <c r="AG603" s="290"/>
      <c r="AH603" s="290"/>
      <c r="AI603" s="290"/>
      <c r="AJ603" s="290"/>
      <c r="AK603" s="290"/>
    </row>
    <row r="604" spans="11:37" x14ac:dyDescent="0.2">
      <c r="K604" s="290"/>
      <c r="L604" s="290"/>
      <c r="M604" s="290"/>
      <c r="N604" s="290"/>
      <c r="O604" s="290"/>
      <c r="P604" s="290"/>
      <c r="Q604" s="290"/>
      <c r="R604" s="290"/>
      <c r="S604" s="290"/>
      <c r="T604" s="290"/>
      <c r="U604" s="290"/>
      <c r="V604" s="290"/>
      <c r="W604" s="290"/>
      <c r="X604" s="290"/>
      <c r="Y604" s="290"/>
      <c r="Z604" s="290"/>
      <c r="AA604" s="290"/>
      <c r="AB604" s="290"/>
      <c r="AC604" s="290"/>
      <c r="AD604" s="290"/>
      <c r="AE604" s="290"/>
      <c r="AF604" s="290"/>
      <c r="AG604" s="290"/>
      <c r="AH604" s="290"/>
      <c r="AI604" s="290"/>
      <c r="AJ604" s="290"/>
      <c r="AK604" s="290"/>
    </row>
    <row r="605" spans="11:37" x14ac:dyDescent="0.2">
      <c r="K605" s="290"/>
      <c r="L605" s="290"/>
      <c r="M605" s="290"/>
      <c r="N605" s="290"/>
      <c r="O605" s="290"/>
      <c r="P605" s="290"/>
      <c r="Q605" s="290"/>
      <c r="R605" s="290"/>
      <c r="S605" s="290"/>
      <c r="T605" s="290"/>
      <c r="U605" s="290"/>
      <c r="V605" s="290"/>
      <c r="W605" s="290"/>
      <c r="X605" s="290"/>
      <c r="Y605" s="290"/>
      <c r="Z605" s="290"/>
      <c r="AA605" s="290"/>
      <c r="AB605" s="290"/>
      <c r="AC605" s="290"/>
      <c r="AD605" s="290"/>
      <c r="AE605" s="290"/>
      <c r="AF605" s="290"/>
      <c r="AG605" s="290"/>
      <c r="AH605" s="290"/>
      <c r="AI605" s="290"/>
      <c r="AJ605" s="290"/>
      <c r="AK605" s="290"/>
    </row>
    <row r="606" spans="11:37" x14ac:dyDescent="0.2">
      <c r="K606" s="290"/>
      <c r="L606" s="290"/>
      <c r="M606" s="290"/>
      <c r="N606" s="290"/>
      <c r="O606" s="290"/>
      <c r="P606" s="290"/>
      <c r="Q606" s="290"/>
      <c r="R606" s="290"/>
      <c r="S606" s="290"/>
      <c r="T606" s="290"/>
      <c r="U606" s="290"/>
      <c r="V606" s="290"/>
      <c r="W606" s="290"/>
      <c r="X606" s="290"/>
      <c r="Y606" s="290"/>
      <c r="Z606" s="290"/>
      <c r="AA606" s="290"/>
      <c r="AB606" s="290"/>
      <c r="AC606" s="290"/>
      <c r="AD606" s="290"/>
      <c r="AE606" s="290"/>
      <c r="AF606" s="290"/>
      <c r="AG606" s="290"/>
      <c r="AH606" s="290"/>
      <c r="AI606" s="290"/>
      <c r="AJ606" s="290"/>
      <c r="AK606" s="290"/>
    </row>
    <row r="607" spans="11:37" x14ac:dyDescent="0.2">
      <c r="K607" s="290"/>
      <c r="L607" s="290"/>
      <c r="M607" s="290"/>
      <c r="N607" s="290"/>
      <c r="O607" s="290"/>
      <c r="P607" s="290"/>
      <c r="Q607" s="290"/>
      <c r="R607" s="290"/>
      <c r="S607" s="290"/>
      <c r="T607" s="290"/>
      <c r="U607" s="290"/>
      <c r="V607" s="290"/>
      <c r="W607" s="290"/>
      <c r="X607" s="290"/>
      <c r="Y607" s="290"/>
      <c r="Z607" s="290"/>
      <c r="AA607" s="290"/>
      <c r="AB607" s="290"/>
      <c r="AC607" s="290"/>
      <c r="AD607" s="290"/>
      <c r="AE607" s="290"/>
      <c r="AF607" s="290"/>
      <c r="AG607" s="290"/>
      <c r="AH607" s="290"/>
      <c r="AI607" s="290"/>
      <c r="AJ607" s="290"/>
      <c r="AK607" s="290"/>
    </row>
    <row r="608" spans="11:37" x14ac:dyDescent="0.2">
      <c r="K608" s="290"/>
      <c r="L608" s="290"/>
      <c r="M608" s="290"/>
      <c r="N608" s="290"/>
      <c r="O608" s="290"/>
      <c r="P608" s="290"/>
      <c r="Q608" s="290"/>
      <c r="R608" s="290"/>
      <c r="S608" s="290"/>
      <c r="T608" s="290"/>
      <c r="U608" s="290"/>
      <c r="V608" s="290"/>
      <c r="W608" s="290"/>
      <c r="X608" s="290"/>
      <c r="Y608" s="290"/>
      <c r="Z608" s="290"/>
      <c r="AA608" s="290"/>
      <c r="AB608" s="290"/>
      <c r="AC608" s="290"/>
      <c r="AD608" s="290"/>
      <c r="AE608" s="290"/>
      <c r="AF608" s="290"/>
      <c r="AG608" s="290"/>
      <c r="AH608" s="290"/>
      <c r="AI608" s="290"/>
      <c r="AJ608" s="290"/>
      <c r="AK608" s="290"/>
    </row>
    <row r="609" spans="11:37" x14ac:dyDescent="0.2">
      <c r="K609" s="290"/>
      <c r="L609" s="290"/>
      <c r="M609" s="290"/>
      <c r="N609" s="290"/>
      <c r="O609" s="290"/>
      <c r="P609" s="290"/>
      <c r="Q609" s="290"/>
      <c r="R609" s="290"/>
      <c r="S609" s="290"/>
      <c r="T609" s="290"/>
      <c r="U609" s="290"/>
      <c r="V609" s="290"/>
      <c r="W609" s="290"/>
      <c r="X609" s="290"/>
      <c r="Y609" s="290"/>
      <c r="Z609" s="290"/>
      <c r="AA609" s="290"/>
      <c r="AB609" s="290"/>
      <c r="AC609" s="290"/>
      <c r="AD609" s="290"/>
      <c r="AE609" s="290"/>
      <c r="AF609" s="290"/>
      <c r="AG609" s="290"/>
      <c r="AH609" s="290"/>
      <c r="AI609" s="290"/>
      <c r="AJ609" s="290"/>
      <c r="AK609" s="290"/>
    </row>
    <row r="610" spans="11:37" x14ac:dyDescent="0.2">
      <c r="K610" s="290"/>
      <c r="L610" s="290"/>
      <c r="M610" s="290"/>
      <c r="N610" s="290"/>
      <c r="O610" s="290"/>
      <c r="P610" s="290"/>
      <c r="Q610" s="290"/>
      <c r="R610" s="290"/>
      <c r="S610" s="290"/>
      <c r="T610" s="290"/>
      <c r="U610" s="290"/>
      <c r="V610" s="290"/>
      <c r="W610" s="290"/>
      <c r="X610" s="290"/>
      <c r="Y610" s="290"/>
      <c r="Z610" s="290"/>
      <c r="AA610" s="290"/>
      <c r="AB610" s="290"/>
      <c r="AC610" s="290"/>
      <c r="AD610" s="290"/>
      <c r="AE610" s="290"/>
      <c r="AF610" s="290"/>
      <c r="AG610" s="290"/>
      <c r="AH610" s="290"/>
      <c r="AI610" s="290"/>
      <c r="AJ610" s="290"/>
      <c r="AK610" s="290"/>
    </row>
    <row r="611" spans="11:37" x14ac:dyDescent="0.2">
      <c r="K611" s="290"/>
      <c r="L611" s="290"/>
      <c r="M611" s="290"/>
      <c r="N611" s="290"/>
      <c r="O611" s="290"/>
      <c r="P611" s="290"/>
      <c r="Q611" s="290"/>
      <c r="R611" s="290"/>
      <c r="S611" s="290"/>
      <c r="T611" s="290"/>
      <c r="U611" s="290"/>
      <c r="V611" s="290"/>
      <c r="W611" s="290"/>
      <c r="X611" s="290"/>
      <c r="Y611" s="290"/>
      <c r="Z611" s="290"/>
      <c r="AA611" s="290"/>
      <c r="AB611" s="290"/>
      <c r="AC611" s="290"/>
      <c r="AD611" s="290"/>
      <c r="AE611" s="290"/>
      <c r="AF611" s="290"/>
      <c r="AG611" s="290"/>
      <c r="AH611" s="290"/>
      <c r="AI611" s="290"/>
      <c r="AJ611" s="290"/>
      <c r="AK611" s="290"/>
    </row>
    <row r="612" spans="11:37" x14ac:dyDescent="0.2">
      <c r="K612" s="290"/>
      <c r="L612" s="290"/>
      <c r="M612" s="290"/>
      <c r="N612" s="290"/>
      <c r="O612" s="290"/>
      <c r="P612" s="290"/>
      <c r="Q612" s="290"/>
      <c r="R612" s="290"/>
      <c r="S612" s="290"/>
      <c r="T612" s="290"/>
      <c r="U612" s="290"/>
      <c r="V612" s="290"/>
      <c r="W612" s="290"/>
      <c r="X612" s="290"/>
      <c r="Y612" s="290"/>
      <c r="Z612" s="290"/>
      <c r="AA612" s="290"/>
      <c r="AB612" s="290"/>
      <c r="AC612" s="290"/>
      <c r="AD612" s="290"/>
      <c r="AE612" s="290"/>
      <c r="AF612" s="290"/>
      <c r="AG612" s="290"/>
      <c r="AH612" s="290"/>
      <c r="AI612" s="290"/>
      <c r="AJ612" s="290"/>
      <c r="AK612" s="290"/>
    </row>
    <row r="613" spans="11:37" x14ac:dyDescent="0.2">
      <c r="K613" s="290"/>
      <c r="L613" s="290"/>
      <c r="M613" s="290"/>
      <c r="N613" s="290"/>
      <c r="O613" s="290"/>
      <c r="P613" s="290"/>
      <c r="Q613" s="290"/>
      <c r="R613" s="290"/>
      <c r="S613" s="290"/>
      <c r="T613" s="290"/>
      <c r="U613" s="290"/>
      <c r="V613" s="290"/>
      <c r="W613" s="290"/>
      <c r="X613" s="290"/>
      <c r="Y613" s="290"/>
      <c r="Z613" s="290"/>
      <c r="AA613" s="290"/>
      <c r="AB613" s="290"/>
      <c r="AC613" s="290"/>
      <c r="AD613" s="290"/>
      <c r="AE613" s="290"/>
      <c r="AF613" s="290"/>
      <c r="AG613" s="290"/>
      <c r="AH613" s="290"/>
      <c r="AI613" s="290"/>
      <c r="AJ613" s="290"/>
      <c r="AK613" s="290"/>
    </row>
    <row r="614" spans="11:37" x14ac:dyDescent="0.2">
      <c r="K614" s="290"/>
      <c r="L614" s="290"/>
      <c r="M614" s="290"/>
      <c r="N614" s="290"/>
      <c r="O614" s="290"/>
      <c r="P614" s="290"/>
      <c r="Q614" s="290"/>
      <c r="R614" s="290"/>
      <c r="S614" s="290"/>
      <c r="T614" s="290"/>
      <c r="U614" s="290"/>
      <c r="V614" s="290"/>
      <c r="W614" s="290"/>
      <c r="X614" s="290"/>
      <c r="Y614" s="290"/>
      <c r="Z614" s="290"/>
      <c r="AA614" s="290"/>
      <c r="AB614" s="290"/>
      <c r="AC614" s="290"/>
      <c r="AD614" s="290"/>
      <c r="AE614" s="290"/>
      <c r="AF614" s="290"/>
      <c r="AG614" s="290"/>
      <c r="AH614" s="290"/>
      <c r="AI614" s="290"/>
      <c r="AJ614" s="290"/>
      <c r="AK614" s="290"/>
    </row>
    <row r="615" spans="11:37" x14ac:dyDescent="0.2">
      <c r="K615" s="290"/>
      <c r="L615" s="290"/>
      <c r="M615" s="290"/>
      <c r="N615" s="290"/>
      <c r="O615" s="290"/>
      <c r="P615" s="290"/>
      <c r="Q615" s="290"/>
      <c r="R615" s="290"/>
      <c r="S615" s="290"/>
      <c r="T615" s="290"/>
      <c r="U615" s="290"/>
      <c r="V615" s="290"/>
      <c r="W615" s="290"/>
      <c r="X615" s="290"/>
      <c r="Y615" s="290"/>
      <c r="Z615" s="290"/>
      <c r="AA615" s="290"/>
      <c r="AB615" s="290"/>
      <c r="AC615" s="290"/>
      <c r="AD615" s="290"/>
      <c r="AE615" s="290"/>
      <c r="AF615" s="290"/>
      <c r="AG615" s="290"/>
      <c r="AH615" s="290"/>
      <c r="AI615" s="290"/>
      <c r="AJ615" s="290"/>
      <c r="AK615" s="290"/>
    </row>
    <row r="616" spans="11:37" x14ac:dyDescent="0.2">
      <c r="K616" s="290"/>
      <c r="L616" s="290"/>
      <c r="M616" s="290"/>
      <c r="N616" s="290"/>
      <c r="O616" s="290"/>
      <c r="P616" s="290"/>
      <c r="Q616" s="290"/>
      <c r="R616" s="290"/>
      <c r="S616" s="290"/>
      <c r="T616" s="290"/>
      <c r="U616" s="290"/>
      <c r="V616" s="290"/>
      <c r="W616" s="290"/>
      <c r="X616" s="290"/>
      <c r="Y616" s="290"/>
      <c r="Z616" s="290"/>
      <c r="AA616" s="290"/>
      <c r="AB616" s="290"/>
      <c r="AC616" s="290"/>
      <c r="AD616" s="290"/>
      <c r="AE616" s="290"/>
      <c r="AF616" s="290"/>
      <c r="AG616" s="290"/>
      <c r="AH616" s="290"/>
      <c r="AI616" s="290"/>
      <c r="AJ616" s="290"/>
      <c r="AK616" s="290"/>
    </row>
    <row r="617" spans="11:37" x14ac:dyDescent="0.2">
      <c r="K617" s="290"/>
      <c r="L617" s="290"/>
      <c r="M617" s="290"/>
      <c r="N617" s="290"/>
      <c r="O617" s="290"/>
      <c r="P617" s="290"/>
      <c r="Q617" s="290"/>
      <c r="R617" s="290"/>
      <c r="S617" s="290"/>
      <c r="T617" s="290"/>
      <c r="U617" s="290"/>
      <c r="V617" s="290"/>
      <c r="W617" s="290"/>
      <c r="X617" s="290"/>
      <c r="Y617" s="290"/>
      <c r="Z617" s="290"/>
      <c r="AA617" s="290"/>
      <c r="AB617" s="290"/>
      <c r="AC617" s="290"/>
      <c r="AD617" s="290"/>
      <c r="AE617" s="290"/>
      <c r="AF617" s="290"/>
      <c r="AG617" s="290"/>
      <c r="AH617" s="290"/>
      <c r="AI617" s="290"/>
      <c r="AJ617" s="290"/>
      <c r="AK617" s="290"/>
    </row>
    <row r="618" spans="11:37" x14ac:dyDescent="0.2">
      <c r="K618" s="290"/>
      <c r="L618" s="290"/>
      <c r="M618" s="290"/>
      <c r="N618" s="290"/>
      <c r="O618" s="290"/>
      <c r="P618" s="290"/>
      <c r="Q618" s="290"/>
      <c r="R618" s="290"/>
      <c r="S618" s="290"/>
      <c r="T618" s="290"/>
      <c r="U618" s="290"/>
      <c r="V618" s="290"/>
      <c r="W618" s="290"/>
      <c r="X618" s="290"/>
      <c r="Y618" s="290"/>
      <c r="Z618" s="290"/>
      <c r="AA618" s="290"/>
      <c r="AB618" s="290"/>
      <c r="AC618" s="290"/>
      <c r="AD618" s="290"/>
      <c r="AE618" s="290"/>
      <c r="AF618" s="290"/>
      <c r="AG618" s="290"/>
      <c r="AH618" s="290"/>
      <c r="AI618" s="290"/>
      <c r="AJ618" s="290"/>
      <c r="AK618" s="290"/>
    </row>
    <row r="619" spans="11:37" x14ac:dyDescent="0.2">
      <c r="K619" s="290"/>
      <c r="L619" s="290"/>
      <c r="M619" s="290"/>
      <c r="N619" s="290"/>
      <c r="O619" s="290"/>
      <c r="P619" s="290"/>
      <c r="Q619" s="290"/>
      <c r="R619" s="290"/>
      <c r="S619" s="290"/>
      <c r="T619" s="290"/>
      <c r="U619" s="290"/>
      <c r="V619" s="290"/>
      <c r="W619" s="290"/>
      <c r="X619" s="290"/>
      <c r="Y619" s="290"/>
      <c r="Z619" s="290"/>
      <c r="AA619" s="290"/>
      <c r="AB619" s="290"/>
      <c r="AC619" s="290"/>
      <c r="AD619" s="290"/>
      <c r="AE619" s="290"/>
      <c r="AF619" s="290"/>
      <c r="AG619" s="290"/>
      <c r="AH619" s="290"/>
      <c r="AI619" s="290"/>
      <c r="AJ619" s="290"/>
      <c r="AK619" s="290"/>
    </row>
    <row r="620" spans="11:37" x14ac:dyDescent="0.2">
      <c r="K620" s="290"/>
      <c r="L620" s="290"/>
      <c r="M620" s="290"/>
      <c r="N620" s="290"/>
      <c r="O620" s="290"/>
      <c r="P620" s="290"/>
      <c r="Q620" s="290"/>
      <c r="R620" s="290"/>
      <c r="S620" s="290"/>
      <c r="T620" s="290"/>
      <c r="U620" s="290"/>
      <c r="V620" s="290"/>
      <c r="W620" s="290"/>
      <c r="X620" s="290"/>
      <c r="Y620" s="290"/>
      <c r="Z620" s="290"/>
      <c r="AA620" s="290"/>
      <c r="AB620" s="290"/>
      <c r="AC620" s="290"/>
      <c r="AD620" s="290"/>
      <c r="AE620" s="290"/>
      <c r="AF620" s="290"/>
      <c r="AG620" s="290"/>
      <c r="AH620" s="290"/>
      <c r="AI620" s="290"/>
      <c r="AJ620" s="290"/>
      <c r="AK620" s="290"/>
    </row>
    <row r="621" spans="11:37" x14ac:dyDescent="0.2">
      <c r="K621" s="290"/>
      <c r="L621" s="290"/>
      <c r="M621" s="290"/>
      <c r="N621" s="290"/>
      <c r="O621" s="290"/>
      <c r="P621" s="290"/>
      <c r="Q621" s="290"/>
      <c r="R621" s="290"/>
      <c r="S621" s="290"/>
      <c r="T621" s="290"/>
      <c r="U621" s="290"/>
      <c r="V621" s="290"/>
      <c r="W621" s="290"/>
      <c r="X621" s="290"/>
      <c r="Y621" s="290"/>
      <c r="Z621" s="290"/>
      <c r="AA621" s="290"/>
      <c r="AB621" s="290"/>
      <c r="AC621" s="290"/>
      <c r="AD621" s="290"/>
      <c r="AE621" s="290"/>
      <c r="AF621" s="290"/>
      <c r="AG621" s="290"/>
      <c r="AH621" s="290"/>
      <c r="AI621" s="290"/>
      <c r="AJ621" s="290"/>
      <c r="AK621" s="290"/>
    </row>
    <row r="622" spans="11:37" x14ac:dyDescent="0.2">
      <c r="K622" s="290"/>
      <c r="L622" s="290"/>
      <c r="M622" s="290"/>
      <c r="N622" s="290"/>
      <c r="O622" s="290"/>
      <c r="P622" s="290"/>
      <c r="Q622" s="290"/>
      <c r="R622" s="290"/>
      <c r="S622" s="290"/>
      <c r="T622" s="290"/>
      <c r="U622" s="290"/>
      <c r="V622" s="290"/>
      <c r="W622" s="290"/>
      <c r="X622" s="290"/>
      <c r="Y622" s="290"/>
      <c r="Z622" s="290"/>
      <c r="AA622" s="290"/>
      <c r="AB622" s="290"/>
      <c r="AC622" s="290"/>
      <c r="AD622" s="290"/>
      <c r="AE622" s="290"/>
      <c r="AF622" s="290"/>
      <c r="AG622" s="290"/>
      <c r="AH622" s="290"/>
      <c r="AI622" s="290"/>
      <c r="AJ622" s="290"/>
      <c r="AK622" s="290"/>
    </row>
    <row r="623" spans="11:37" x14ac:dyDescent="0.2">
      <c r="K623" s="290"/>
      <c r="L623" s="290"/>
      <c r="M623" s="290"/>
      <c r="N623" s="290"/>
      <c r="O623" s="290"/>
      <c r="P623" s="290"/>
      <c r="Q623" s="290"/>
      <c r="R623" s="290"/>
      <c r="S623" s="290"/>
      <c r="T623" s="290"/>
      <c r="U623" s="290"/>
      <c r="V623" s="290"/>
      <c r="W623" s="290"/>
      <c r="X623" s="290"/>
      <c r="Y623" s="290"/>
      <c r="Z623" s="290"/>
      <c r="AA623" s="290"/>
      <c r="AB623" s="290"/>
      <c r="AC623" s="290"/>
      <c r="AD623" s="290"/>
      <c r="AE623" s="290"/>
      <c r="AF623" s="290"/>
      <c r="AG623" s="290"/>
      <c r="AH623" s="290"/>
      <c r="AI623" s="290"/>
      <c r="AJ623" s="290"/>
      <c r="AK623" s="290"/>
    </row>
    <row r="624" spans="11:37" x14ac:dyDescent="0.2">
      <c r="K624" s="290"/>
      <c r="L624" s="290"/>
      <c r="M624" s="290"/>
      <c r="N624" s="290"/>
      <c r="O624" s="290"/>
      <c r="P624" s="290"/>
      <c r="Q624" s="290"/>
      <c r="R624" s="290"/>
      <c r="S624" s="290"/>
      <c r="T624" s="290"/>
      <c r="U624" s="290"/>
      <c r="V624" s="290"/>
      <c r="W624" s="290"/>
      <c r="X624" s="290"/>
      <c r="Y624" s="290"/>
      <c r="Z624" s="290"/>
      <c r="AA624" s="290"/>
      <c r="AB624" s="290"/>
      <c r="AC624" s="290"/>
      <c r="AD624" s="290"/>
      <c r="AE624" s="290"/>
      <c r="AF624" s="290"/>
      <c r="AG624" s="290"/>
      <c r="AH624" s="290"/>
      <c r="AI624" s="290"/>
      <c r="AJ624" s="290"/>
      <c r="AK624" s="290"/>
    </row>
    <row r="625" spans="11:37" x14ac:dyDescent="0.2">
      <c r="K625" s="290"/>
      <c r="L625" s="290"/>
      <c r="M625" s="290"/>
      <c r="N625" s="290"/>
      <c r="O625" s="290"/>
      <c r="P625" s="290"/>
      <c r="Q625" s="290"/>
      <c r="R625" s="290"/>
      <c r="S625" s="290"/>
      <c r="T625" s="290"/>
      <c r="U625" s="290"/>
      <c r="V625" s="290"/>
      <c r="W625" s="290"/>
      <c r="X625" s="290"/>
      <c r="Y625" s="290"/>
      <c r="Z625" s="290"/>
      <c r="AA625" s="290"/>
      <c r="AB625" s="290"/>
      <c r="AC625" s="290"/>
      <c r="AD625" s="290"/>
      <c r="AE625" s="290"/>
      <c r="AF625" s="290"/>
      <c r="AG625" s="290"/>
      <c r="AH625" s="290"/>
      <c r="AI625" s="290"/>
      <c r="AJ625" s="290"/>
      <c r="AK625" s="290"/>
    </row>
    <row r="626" spans="11:37" x14ac:dyDescent="0.2">
      <c r="K626" s="290"/>
      <c r="L626" s="290"/>
      <c r="M626" s="290"/>
      <c r="N626" s="290"/>
      <c r="O626" s="290"/>
      <c r="P626" s="290"/>
      <c r="Q626" s="290"/>
      <c r="R626" s="290"/>
      <c r="S626" s="290"/>
      <c r="T626" s="290"/>
      <c r="U626" s="290"/>
      <c r="V626" s="290"/>
      <c r="W626" s="290"/>
      <c r="X626" s="290"/>
      <c r="Y626" s="290"/>
      <c r="Z626" s="290"/>
      <c r="AA626" s="290"/>
      <c r="AB626" s="290"/>
      <c r="AC626" s="290"/>
      <c r="AD626" s="290"/>
      <c r="AE626" s="290"/>
      <c r="AF626" s="290"/>
      <c r="AG626" s="290"/>
      <c r="AH626" s="290"/>
      <c r="AI626" s="290"/>
      <c r="AJ626" s="290"/>
      <c r="AK626" s="290"/>
    </row>
    <row r="627" spans="11:37" x14ac:dyDescent="0.2">
      <c r="K627" s="290"/>
      <c r="L627" s="290"/>
      <c r="M627" s="290"/>
      <c r="N627" s="290"/>
      <c r="O627" s="290"/>
      <c r="P627" s="290"/>
      <c r="Q627" s="290"/>
      <c r="R627" s="290"/>
      <c r="S627" s="290"/>
      <c r="T627" s="290"/>
      <c r="U627" s="290"/>
      <c r="V627" s="290"/>
      <c r="W627" s="290"/>
      <c r="X627" s="290"/>
      <c r="Y627" s="290"/>
      <c r="Z627" s="290"/>
      <c r="AA627" s="290"/>
      <c r="AB627" s="290"/>
      <c r="AC627" s="290"/>
      <c r="AD627" s="290"/>
      <c r="AE627" s="290"/>
      <c r="AF627" s="290"/>
      <c r="AG627" s="290"/>
      <c r="AH627" s="290"/>
      <c r="AI627" s="290"/>
      <c r="AJ627" s="290"/>
      <c r="AK627" s="290"/>
    </row>
    <row r="628" spans="11:37" x14ac:dyDescent="0.2">
      <c r="K628" s="290"/>
      <c r="L628" s="290"/>
      <c r="M628" s="290"/>
      <c r="N628" s="290"/>
      <c r="O628" s="290"/>
      <c r="P628" s="290"/>
      <c r="Q628" s="290"/>
      <c r="R628" s="290"/>
      <c r="S628" s="290"/>
      <c r="T628" s="290"/>
      <c r="U628" s="290"/>
      <c r="V628" s="290"/>
      <c r="W628" s="290"/>
      <c r="X628" s="290"/>
      <c r="Y628" s="290"/>
      <c r="Z628" s="290"/>
      <c r="AA628" s="290"/>
      <c r="AB628" s="290"/>
      <c r="AC628" s="290"/>
      <c r="AD628" s="290"/>
      <c r="AE628" s="290"/>
      <c r="AF628" s="290"/>
      <c r="AG628" s="290"/>
      <c r="AH628" s="290"/>
      <c r="AI628" s="290"/>
      <c r="AJ628" s="290"/>
      <c r="AK628" s="290"/>
    </row>
    <row r="629" spans="11:37" x14ac:dyDescent="0.2">
      <c r="K629" s="290"/>
      <c r="L629" s="290"/>
      <c r="M629" s="290"/>
      <c r="N629" s="290"/>
      <c r="O629" s="290"/>
      <c r="P629" s="290"/>
      <c r="Q629" s="290"/>
      <c r="R629" s="290"/>
      <c r="S629" s="290"/>
      <c r="T629" s="290"/>
      <c r="U629" s="290"/>
      <c r="V629" s="290"/>
      <c r="W629" s="290"/>
      <c r="X629" s="290"/>
      <c r="Y629" s="290"/>
      <c r="Z629" s="290"/>
      <c r="AA629" s="290"/>
      <c r="AB629" s="290"/>
      <c r="AC629" s="290"/>
      <c r="AD629" s="290"/>
      <c r="AE629" s="290"/>
      <c r="AF629" s="290"/>
      <c r="AG629" s="290"/>
      <c r="AH629" s="290"/>
      <c r="AI629" s="290"/>
      <c r="AJ629" s="290"/>
      <c r="AK629" s="290"/>
    </row>
    <row r="630" spans="11:37" x14ac:dyDescent="0.2">
      <c r="K630" s="290"/>
      <c r="L630" s="290"/>
      <c r="M630" s="290"/>
      <c r="N630" s="290"/>
      <c r="O630" s="290"/>
      <c r="P630" s="290"/>
      <c r="Q630" s="290"/>
      <c r="R630" s="290"/>
      <c r="S630" s="290"/>
      <c r="T630" s="290"/>
      <c r="U630" s="290"/>
      <c r="V630" s="290"/>
      <c r="W630" s="290"/>
      <c r="X630" s="290"/>
      <c r="Y630" s="290"/>
      <c r="Z630" s="290"/>
      <c r="AA630" s="290"/>
      <c r="AB630" s="290"/>
      <c r="AC630" s="290"/>
      <c r="AD630" s="290"/>
      <c r="AE630" s="290"/>
      <c r="AF630" s="290"/>
      <c r="AG630" s="290"/>
      <c r="AH630" s="290"/>
      <c r="AI630" s="290"/>
      <c r="AJ630" s="290"/>
      <c r="AK630" s="290"/>
    </row>
    <row r="631" spans="11:37" x14ac:dyDescent="0.2">
      <c r="K631" s="290"/>
      <c r="L631" s="290"/>
      <c r="M631" s="290"/>
      <c r="N631" s="290"/>
      <c r="O631" s="290"/>
      <c r="P631" s="290"/>
      <c r="Q631" s="290"/>
      <c r="R631" s="290"/>
      <c r="S631" s="290"/>
      <c r="T631" s="290"/>
      <c r="U631" s="290"/>
      <c r="V631" s="290"/>
      <c r="W631" s="290"/>
      <c r="X631" s="290"/>
      <c r="Y631" s="290"/>
      <c r="Z631" s="290"/>
      <c r="AA631" s="290"/>
      <c r="AB631" s="290"/>
      <c r="AC631" s="290"/>
      <c r="AD631" s="290"/>
      <c r="AE631" s="290"/>
      <c r="AF631" s="290"/>
      <c r="AG631" s="290"/>
      <c r="AH631" s="290"/>
      <c r="AI631" s="290"/>
      <c r="AJ631" s="290"/>
      <c r="AK631" s="290"/>
    </row>
    <row r="632" spans="11:37" x14ac:dyDescent="0.2">
      <c r="K632" s="290"/>
      <c r="L632" s="290"/>
      <c r="M632" s="290"/>
      <c r="N632" s="290"/>
      <c r="O632" s="290"/>
      <c r="P632" s="290"/>
      <c r="Q632" s="290"/>
      <c r="R632" s="290"/>
      <c r="S632" s="290"/>
      <c r="T632" s="290"/>
      <c r="U632" s="290"/>
      <c r="V632" s="290"/>
      <c r="W632" s="290"/>
      <c r="X632" s="290"/>
      <c r="Y632" s="290"/>
      <c r="Z632" s="290"/>
      <c r="AA632" s="290"/>
      <c r="AB632" s="290"/>
      <c r="AC632" s="290"/>
      <c r="AD632" s="290"/>
      <c r="AE632" s="290"/>
      <c r="AF632" s="290"/>
      <c r="AG632" s="290"/>
      <c r="AH632" s="290"/>
      <c r="AI632" s="290"/>
      <c r="AJ632" s="290"/>
      <c r="AK632" s="290"/>
    </row>
    <row r="633" spans="11:37" x14ac:dyDescent="0.2">
      <c r="K633" s="290"/>
      <c r="L633" s="290"/>
      <c r="M633" s="290"/>
      <c r="N633" s="290"/>
      <c r="O633" s="290"/>
      <c r="P633" s="290"/>
      <c r="Q633" s="290"/>
      <c r="R633" s="290"/>
      <c r="S633" s="290"/>
      <c r="T633" s="290"/>
      <c r="U633" s="290"/>
      <c r="V633" s="290"/>
      <c r="W633" s="290"/>
      <c r="X633" s="290"/>
      <c r="Y633" s="290"/>
      <c r="Z633" s="290"/>
      <c r="AA633" s="290"/>
      <c r="AB633" s="290"/>
      <c r="AC633" s="290"/>
      <c r="AD633" s="290"/>
      <c r="AE633" s="290"/>
      <c r="AF633" s="290"/>
      <c r="AG633" s="290"/>
      <c r="AH633" s="290"/>
      <c r="AI633" s="290"/>
      <c r="AJ633" s="290"/>
      <c r="AK633" s="290"/>
    </row>
    <row r="634" spans="11:37" x14ac:dyDescent="0.2">
      <c r="K634" s="290"/>
      <c r="L634" s="290"/>
      <c r="M634" s="290"/>
      <c r="N634" s="290"/>
      <c r="O634" s="290"/>
      <c r="P634" s="290"/>
      <c r="Q634" s="290"/>
      <c r="R634" s="290"/>
      <c r="S634" s="290"/>
      <c r="T634" s="290"/>
      <c r="U634" s="290"/>
      <c r="V634" s="290"/>
      <c r="W634" s="290"/>
      <c r="X634" s="290"/>
      <c r="Y634" s="290"/>
      <c r="Z634" s="290"/>
      <c r="AA634" s="290"/>
      <c r="AB634" s="290"/>
      <c r="AC634" s="290"/>
      <c r="AD634" s="290"/>
      <c r="AE634" s="290"/>
      <c r="AF634" s="290"/>
      <c r="AG634" s="290"/>
      <c r="AH634" s="290"/>
      <c r="AI634" s="290"/>
      <c r="AJ634" s="290"/>
      <c r="AK634" s="290"/>
    </row>
    <row r="635" spans="11:37" x14ac:dyDescent="0.2">
      <c r="K635" s="290"/>
      <c r="L635" s="290"/>
      <c r="M635" s="290"/>
      <c r="N635" s="290"/>
      <c r="O635" s="290"/>
      <c r="P635" s="290"/>
      <c r="Q635" s="290"/>
      <c r="R635" s="290"/>
      <c r="S635" s="290"/>
      <c r="T635" s="290"/>
      <c r="U635" s="290"/>
      <c r="V635" s="290"/>
      <c r="W635" s="290"/>
      <c r="X635" s="290"/>
      <c r="Y635" s="290"/>
      <c r="Z635" s="290"/>
      <c r="AA635" s="290"/>
      <c r="AB635" s="290"/>
      <c r="AC635" s="290"/>
      <c r="AD635" s="290"/>
      <c r="AE635" s="290"/>
      <c r="AF635" s="290"/>
      <c r="AG635" s="290"/>
      <c r="AH635" s="290"/>
      <c r="AI635" s="290"/>
      <c r="AJ635" s="290"/>
      <c r="AK635" s="290"/>
    </row>
    <row r="636" spans="11:37" x14ac:dyDescent="0.2">
      <c r="K636" s="290"/>
      <c r="L636" s="290"/>
      <c r="M636" s="290"/>
      <c r="N636" s="290"/>
      <c r="O636" s="290"/>
      <c r="P636" s="290"/>
      <c r="Q636" s="290"/>
      <c r="R636" s="290"/>
      <c r="S636" s="290"/>
      <c r="T636" s="290"/>
      <c r="U636" s="290"/>
      <c r="V636" s="290"/>
      <c r="W636" s="290"/>
      <c r="X636" s="290"/>
      <c r="Y636" s="290"/>
      <c r="Z636" s="290"/>
      <c r="AA636" s="290"/>
      <c r="AB636" s="290"/>
      <c r="AC636" s="290"/>
      <c r="AD636" s="290"/>
      <c r="AE636" s="290"/>
      <c r="AF636" s="290"/>
      <c r="AG636" s="290"/>
      <c r="AH636" s="290"/>
      <c r="AI636" s="290"/>
      <c r="AJ636" s="290"/>
      <c r="AK636" s="290"/>
    </row>
    <row r="637" spans="11:37" x14ac:dyDescent="0.2">
      <c r="K637" s="290"/>
      <c r="L637" s="290"/>
      <c r="M637" s="290"/>
      <c r="N637" s="290"/>
      <c r="O637" s="290"/>
      <c r="P637" s="290"/>
      <c r="Q637" s="290"/>
      <c r="R637" s="290"/>
      <c r="S637" s="290"/>
      <c r="T637" s="290"/>
      <c r="U637" s="290"/>
      <c r="V637" s="290"/>
      <c r="W637" s="290"/>
      <c r="X637" s="290"/>
      <c r="Y637" s="290"/>
      <c r="Z637" s="290"/>
      <c r="AA637" s="290"/>
      <c r="AB637" s="290"/>
      <c r="AC637" s="290"/>
      <c r="AD637" s="290"/>
      <c r="AE637" s="290"/>
      <c r="AF637" s="290"/>
      <c r="AG637" s="290"/>
      <c r="AH637" s="290"/>
      <c r="AI637" s="290"/>
      <c r="AJ637" s="290"/>
      <c r="AK637" s="290"/>
    </row>
    <row r="638" spans="11:37" x14ac:dyDescent="0.2">
      <c r="K638" s="290"/>
      <c r="L638" s="290"/>
      <c r="M638" s="290"/>
      <c r="N638" s="290"/>
      <c r="O638" s="290"/>
      <c r="P638" s="290"/>
      <c r="Q638" s="290"/>
      <c r="R638" s="290"/>
      <c r="S638" s="290"/>
      <c r="T638" s="290"/>
      <c r="U638" s="290"/>
      <c r="V638" s="290"/>
      <c r="W638" s="290"/>
      <c r="X638" s="290"/>
      <c r="Y638" s="290"/>
      <c r="Z638" s="290"/>
      <c r="AA638" s="290"/>
      <c r="AB638" s="290"/>
      <c r="AC638" s="290"/>
      <c r="AD638" s="290"/>
      <c r="AE638" s="290"/>
      <c r="AF638" s="290"/>
      <c r="AG638" s="290"/>
      <c r="AH638" s="290"/>
      <c r="AI638" s="290"/>
      <c r="AJ638" s="290"/>
      <c r="AK638" s="290"/>
    </row>
    <row r="639" spans="11:37" x14ac:dyDescent="0.2">
      <c r="K639" s="290"/>
      <c r="L639" s="290"/>
      <c r="M639" s="290"/>
      <c r="N639" s="290"/>
      <c r="O639" s="290"/>
      <c r="P639" s="290"/>
      <c r="Q639" s="290"/>
      <c r="R639" s="290"/>
      <c r="S639" s="290"/>
      <c r="T639" s="290"/>
      <c r="U639" s="290"/>
      <c r="V639" s="290"/>
      <c r="W639" s="290"/>
      <c r="X639" s="290"/>
      <c r="Y639" s="290"/>
      <c r="Z639" s="290"/>
      <c r="AA639" s="290"/>
      <c r="AB639" s="290"/>
      <c r="AC639" s="290"/>
      <c r="AD639" s="290"/>
      <c r="AE639" s="290"/>
      <c r="AF639" s="290"/>
      <c r="AG639" s="290"/>
      <c r="AH639" s="290"/>
      <c r="AI639" s="290"/>
      <c r="AJ639" s="290"/>
      <c r="AK639" s="290"/>
    </row>
    <row r="640" spans="11:37" x14ac:dyDescent="0.2">
      <c r="K640" s="290"/>
      <c r="L640" s="290"/>
      <c r="M640" s="290"/>
      <c r="N640" s="290"/>
      <c r="O640" s="290"/>
      <c r="P640" s="290"/>
      <c r="Q640" s="290"/>
      <c r="R640" s="290"/>
      <c r="S640" s="290"/>
      <c r="T640" s="290"/>
      <c r="U640" s="290"/>
      <c r="V640" s="290"/>
      <c r="W640" s="290"/>
      <c r="X640" s="290"/>
      <c r="Y640" s="290"/>
      <c r="Z640" s="290"/>
      <c r="AA640" s="290"/>
      <c r="AB640" s="290"/>
      <c r="AC640" s="290"/>
      <c r="AD640" s="290"/>
      <c r="AE640" s="290"/>
      <c r="AF640" s="290"/>
      <c r="AG640" s="290"/>
      <c r="AH640" s="290"/>
      <c r="AI640" s="290"/>
      <c r="AJ640" s="290"/>
      <c r="AK640" s="290"/>
    </row>
    <row r="641" spans="11:37" x14ac:dyDescent="0.2">
      <c r="K641" s="290"/>
      <c r="L641" s="290"/>
      <c r="M641" s="290"/>
      <c r="N641" s="290"/>
      <c r="O641" s="290"/>
      <c r="P641" s="290"/>
      <c r="Q641" s="290"/>
      <c r="R641" s="290"/>
      <c r="S641" s="290"/>
      <c r="T641" s="290"/>
      <c r="U641" s="290"/>
      <c r="V641" s="290"/>
      <c r="W641" s="290"/>
      <c r="X641" s="290"/>
      <c r="Y641" s="290"/>
      <c r="Z641" s="290"/>
      <c r="AA641" s="290"/>
      <c r="AB641" s="290"/>
      <c r="AC641" s="290"/>
      <c r="AD641" s="290"/>
      <c r="AE641" s="290"/>
      <c r="AF641" s="290"/>
      <c r="AG641" s="290"/>
      <c r="AH641" s="290"/>
      <c r="AI641" s="290"/>
      <c r="AJ641" s="290"/>
      <c r="AK641" s="290"/>
    </row>
    <row r="642" spans="11:37" x14ac:dyDescent="0.2">
      <c r="K642" s="290"/>
      <c r="L642" s="290"/>
      <c r="M642" s="290"/>
      <c r="N642" s="290"/>
      <c r="O642" s="290"/>
      <c r="P642" s="290"/>
      <c r="Q642" s="290"/>
      <c r="R642" s="290"/>
      <c r="S642" s="290"/>
      <c r="T642" s="290"/>
      <c r="U642" s="290"/>
      <c r="V642" s="290"/>
      <c r="W642" s="290"/>
      <c r="X642" s="290"/>
      <c r="Y642" s="290"/>
      <c r="Z642" s="290"/>
      <c r="AA642" s="290"/>
      <c r="AB642" s="290"/>
      <c r="AC642" s="290"/>
      <c r="AD642" s="290"/>
      <c r="AE642" s="290"/>
      <c r="AF642" s="290"/>
      <c r="AG642" s="290"/>
      <c r="AH642" s="290"/>
      <c r="AI642" s="290"/>
      <c r="AJ642" s="290"/>
      <c r="AK642" s="290"/>
    </row>
    <row r="643" spans="11:37" x14ac:dyDescent="0.2">
      <c r="K643" s="290"/>
      <c r="L643" s="290"/>
      <c r="M643" s="290"/>
      <c r="N643" s="290"/>
      <c r="O643" s="290"/>
      <c r="P643" s="290"/>
      <c r="Q643" s="290"/>
      <c r="R643" s="290"/>
      <c r="S643" s="290"/>
      <c r="T643" s="290"/>
      <c r="U643" s="290"/>
      <c r="V643" s="290"/>
      <c r="W643" s="290"/>
      <c r="X643" s="290"/>
      <c r="Y643" s="290"/>
      <c r="Z643" s="290"/>
      <c r="AA643" s="290"/>
      <c r="AB643" s="290"/>
      <c r="AC643" s="290"/>
      <c r="AD643" s="290"/>
      <c r="AE643" s="290"/>
      <c r="AF643" s="290"/>
      <c r="AG643" s="290"/>
      <c r="AH643" s="290"/>
      <c r="AI643" s="290"/>
      <c r="AJ643" s="290"/>
      <c r="AK643" s="290"/>
    </row>
    <row r="644" spans="11:37" x14ac:dyDescent="0.2">
      <c r="K644" s="290"/>
      <c r="L644" s="290"/>
      <c r="M644" s="290"/>
      <c r="N644" s="290"/>
      <c r="O644" s="290"/>
      <c r="P644" s="290"/>
      <c r="Q644" s="290"/>
      <c r="R644" s="290"/>
      <c r="S644" s="290"/>
      <c r="T644" s="290"/>
      <c r="U644" s="290"/>
      <c r="V644" s="290"/>
      <c r="W644" s="290"/>
      <c r="X644" s="290"/>
      <c r="Y644" s="290"/>
      <c r="Z644" s="290"/>
      <c r="AA644" s="290"/>
      <c r="AB644" s="290"/>
      <c r="AC644" s="290"/>
      <c r="AD644" s="290"/>
      <c r="AE644" s="290"/>
      <c r="AF644" s="290"/>
      <c r="AG644" s="290"/>
      <c r="AH644" s="290"/>
      <c r="AI644" s="290"/>
      <c r="AJ644" s="290"/>
      <c r="AK644" s="290"/>
    </row>
    <row r="645" spans="11:37" x14ac:dyDescent="0.2">
      <c r="K645" s="290"/>
      <c r="L645" s="290"/>
      <c r="M645" s="290"/>
      <c r="N645" s="290"/>
      <c r="O645" s="290"/>
      <c r="P645" s="290"/>
      <c r="Q645" s="290"/>
      <c r="R645" s="290"/>
      <c r="S645" s="290"/>
      <c r="T645" s="290"/>
      <c r="U645" s="290"/>
      <c r="V645" s="290"/>
      <c r="W645" s="290"/>
      <c r="X645" s="290"/>
      <c r="Y645" s="290"/>
      <c r="Z645" s="290"/>
      <c r="AA645" s="290"/>
      <c r="AB645" s="290"/>
      <c r="AC645" s="290"/>
      <c r="AD645" s="290"/>
      <c r="AE645" s="290"/>
      <c r="AF645" s="290"/>
      <c r="AG645" s="290"/>
      <c r="AH645" s="290"/>
      <c r="AI645" s="290"/>
      <c r="AJ645" s="290"/>
      <c r="AK645" s="290"/>
    </row>
    <row r="646" spans="11:37" x14ac:dyDescent="0.2">
      <c r="K646" s="290"/>
      <c r="L646" s="290"/>
      <c r="M646" s="290"/>
      <c r="N646" s="290"/>
      <c r="O646" s="290"/>
      <c r="P646" s="290"/>
      <c r="Q646" s="290"/>
      <c r="R646" s="290"/>
      <c r="S646" s="290"/>
      <c r="T646" s="290"/>
      <c r="U646" s="290"/>
      <c r="V646" s="290"/>
      <c r="W646" s="290"/>
      <c r="X646" s="290"/>
      <c r="Y646" s="290"/>
      <c r="Z646" s="290"/>
      <c r="AA646" s="290"/>
      <c r="AB646" s="290"/>
      <c r="AC646" s="290"/>
      <c r="AD646" s="290"/>
      <c r="AE646" s="290"/>
      <c r="AF646" s="290"/>
      <c r="AG646" s="290"/>
      <c r="AH646" s="290"/>
      <c r="AI646" s="290"/>
      <c r="AJ646" s="290"/>
      <c r="AK646" s="290"/>
    </row>
    <row r="647" spans="11:37" x14ac:dyDescent="0.2">
      <c r="K647" s="290"/>
      <c r="L647" s="290"/>
      <c r="M647" s="290"/>
      <c r="N647" s="290"/>
      <c r="O647" s="290"/>
      <c r="P647" s="290"/>
      <c r="Q647" s="290"/>
      <c r="R647" s="290"/>
      <c r="S647" s="290"/>
      <c r="T647" s="290"/>
      <c r="U647" s="290"/>
      <c r="V647" s="290"/>
      <c r="W647" s="290"/>
      <c r="X647" s="290"/>
      <c r="Y647" s="290"/>
      <c r="Z647" s="290"/>
      <c r="AA647" s="290"/>
      <c r="AB647" s="290"/>
      <c r="AC647" s="290"/>
      <c r="AD647" s="290"/>
      <c r="AE647" s="290"/>
      <c r="AF647" s="290"/>
      <c r="AG647" s="290"/>
      <c r="AH647" s="290"/>
      <c r="AI647" s="290"/>
      <c r="AJ647" s="290"/>
      <c r="AK647" s="290"/>
    </row>
    <row r="648" spans="11:37" x14ac:dyDescent="0.2">
      <c r="K648" s="290"/>
      <c r="L648" s="290"/>
      <c r="M648" s="290"/>
      <c r="N648" s="290"/>
      <c r="O648" s="290"/>
      <c r="P648" s="290"/>
      <c r="Q648" s="290"/>
      <c r="R648" s="290"/>
      <c r="S648" s="290"/>
      <c r="T648" s="290"/>
      <c r="U648" s="290"/>
      <c r="V648" s="290"/>
      <c r="W648" s="290"/>
      <c r="X648" s="290"/>
      <c r="Y648" s="290"/>
      <c r="Z648" s="290"/>
      <c r="AA648" s="290"/>
      <c r="AB648" s="290"/>
      <c r="AC648" s="290"/>
      <c r="AD648" s="290"/>
      <c r="AE648" s="290"/>
      <c r="AF648" s="290"/>
      <c r="AG648" s="290"/>
      <c r="AH648" s="290"/>
      <c r="AI648" s="290"/>
      <c r="AJ648" s="290"/>
      <c r="AK648" s="290"/>
    </row>
    <row r="649" spans="11:37" x14ac:dyDescent="0.2">
      <c r="K649" s="290"/>
      <c r="L649" s="290"/>
      <c r="M649" s="290"/>
      <c r="N649" s="290"/>
      <c r="O649" s="290"/>
      <c r="P649" s="290"/>
      <c r="Q649" s="290"/>
      <c r="R649" s="290"/>
      <c r="S649" s="290"/>
      <c r="T649" s="290"/>
      <c r="U649" s="290"/>
      <c r="V649" s="290"/>
      <c r="W649" s="290"/>
      <c r="X649" s="290"/>
      <c r="Y649" s="290"/>
      <c r="Z649" s="290"/>
      <c r="AA649" s="290"/>
      <c r="AB649" s="290"/>
      <c r="AC649" s="290"/>
      <c r="AD649" s="290"/>
      <c r="AE649" s="290"/>
      <c r="AF649" s="290"/>
      <c r="AG649" s="290"/>
      <c r="AH649" s="290"/>
      <c r="AI649" s="290"/>
      <c r="AJ649" s="290"/>
      <c r="AK649" s="290"/>
    </row>
    <row r="650" spans="11:37" x14ac:dyDescent="0.2">
      <c r="K650" s="290"/>
      <c r="L650" s="290"/>
      <c r="M650" s="290"/>
      <c r="N650" s="290"/>
      <c r="O650" s="290"/>
      <c r="P650" s="290"/>
      <c r="Q650" s="290"/>
      <c r="R650" s="290"/>
      <c r="S650" s="290"/>
      <c r="T650" s="290"/>
      <c r="U650" s="290"/>
      <c r="V650" s="290"/>
      <c r="W650" s="290"/>
      <c r="X650" s="290"/>
      <c r="Y650" s="290"/>
      <c r="Z650" s="290"/>
      <c r="AA650" s="290"/>
      <c r="AB650" s="290"/>
      <c r="AC650" s="290"/>
      <c r="AD650" s="290"/>
      <c r="AE650" s="290"/>
      <c r="AF650" s="290"/>
      <c r="AG650" s="290"/>
      <c r="AH650" s="290"/>
      <c r="AI650" s="290"/>
      <c r="AJ650" s="290"/>
      <c r="AK650" s="290"/>
    </row>
    <row r="651" spans="11:37" x14ac:dyDescent="0.2">
      <c r="K651" s="290"/>
      <c r="L651" s="290"/>
      <c r="M651" s="290"/>
      <c r="N651" s="290"/>
      <c r="O651" s="290"/>
      <c r="P651" s="290"/>
      <c r="Q651" s="290"/>
      <c r="R651" s="290"/>
      <c r="S651" s="290"/>
      <c r="T651" s="290"/>
      <c r="U651" s="290"/>
      <c r="V651" s="290"/>
      <c r="W651" s="290"/>
      <c r="X651" s="290"/>
      <c r="Y651" s="290"/>
      <c r="Z651" s="290"/>
      <c r="AA651" s="290"/>
      <c r="AB651" s="290"/>
      <c r="AC651" s="290"/>
      <c r="AD651" s="290"/>
      <c r="AE651" s="290"/>
      <c r="AF651" s="290"/>
      <c r="AG651" s="290"/>
      <c r="AH651" s="290"/>
      <c r="AI651" s="290"/>
      <c r="AJ651" s="290"/>
      <c r="AK651" s="290"/>
    </row>
    <row r="652" spans="11:37" x14ac:dyDescent="0.2">
      <c r="K652" s="290"/>
      <c r="L652" s="290"/>
      <c r="M652" s="290"/>
      <c r="N652" s="290"/>
      <c r="O652" s="290"/>
      <c r="P652" s="290"/>
      <c r="Q652" s="290"/>
      <c r="R652" s="290"/>
      <c r="S652" s="290"/>
      <c r="T652" s="290"/>
      <c r="U652" s="290"/>
      <c r="V652" s="290"/>
      <c r="W652" s="290"/>
      <c r="X652" s="290"/>
      <c r="Y652" s="290"/>
      <c r="Z652" s="290"/>
      <c r="AA652" s="290"/>
      <c r="AB652" s="290"/>
      <c r="AC652" s="290"/>
      <c r="AD652" s="290"/>
      <c r="AE652" s="290"/>
      <c r="AF652" s="290"/>
      <c r="AG652" s="290"/>
      <c r="AH652" s="290"/>
      <c r="AI652" s="290"/>
      <c r="AJ652" s="290"/>
      <c r="AK652" s="290"/>
    </row>
    <row r="653" spans="11:37" x14ac:dyDescent="0.2">
      <c r="K653" s="290"/>
      <c r="L653" s="290"/>
      <c r="M653" s="290"/>
      <c r="N653" s="290"/>
      <c r="O653" s="290"/>
      <c r="P653" s="290"/>
      <c r="Q653" s="290"/>
      <c r="R653" s="290"/>
      <c r="S653" s="290"/>
      <c r="T653" s="290"/>
      <c r="U653" s="290"/>
      <c r="V653" s="290"/>
      <c r="W653" s="290"/>
      <c r="X653" s="290"/>
      <c r="Y653" s="290"/>
      <c r="Z653" s="290"/>
      <c r="AA653" s="290"/>
      <c r="AB653" s="290"/>
      <c r="AC653" s="290"/>
      <c r="AD653" s="290"/>
      <c r="AE653" s="290"/>
      <c r="AF653" s="290"/>
      <c r="AG653" s="290"/>
      <c r="AH653" s="290"/>
      <c r="AI653" s="290"/>
      <c r="AJ653" s="290"/>
      <c r="AK653" s="290"/>
    </row>
    <row r="654" spans="11:37" x14ac:dyDescent="0.2">
      <c r="K654" s="290"/>
      <c r="L654" s="290"/>
      <c r="M654" s="290"/>
      <c r="N654" s="290"/>
      <c r="O654" s="290"/>
      <c r="P654" s="290"/>
      <c r="Q654" s="290"/>
      <c r="R654" s="290"/>
      <c r="S654" s="290"/>
      <c r="T654" s="290"/>
      <c r="U654" s="290"/>
      <c r="V654" s="290"/>
      <c r="W654" s="290"/>
      <c r="X654" s="290"/>
      <c r="Y654" s="290"/>
      <c r="Z654" s="290"/>
      <c r="AA654" s="290"/>
      <c r="AB654" s="290"/>
      <c r="AC654" s="290"/>
      <c r="AD654" s="290"/>
      <c r="AE654" s="290"/>
      <c r="AF654" s="290"/>
      <c r="AG654" s="290"/>
      <c r="AH654" s="290"/>
      <c r="AI654" s="290"/>
      <c r="AJ654" s="290"/>
      <c r="AK654" s="290"/>
    </row>
    <row r="655" spans="11:37" x14ac:dyDescent="0.2">
      <c r="K655" s="290"/>
      <c r="L655" s="290"/>
      <c r="M655" s="290"/>
      <c r="N655" s="290"/>
      <c r="O655" s="290"/>
      <c r="P655" s="290"/>
      <c r="Q655" s="290"/>
      <c r="R655" s="290"/>
      <c r="S655" s="290"/>
      <c r="T655" s="290"/>
      <c r="U655" s="290"/>
      <c r="V655" s="290"/>
      <c r="W655" s="290"/>
      <c r="X655" s="290"/>
      <c r="Y655" s="290"/>
      <c r="Z655" s="290"/>
      <c r="AA655" s="290"/>
      <c r="AB655" s="290"/>
      <c r="AC655" s="290"/>
      <c r="AD655" s="290"/>
      <c r="AE655" s="290"/>
      <c r="AF655" s="290"/>
      <c r="AG655" s="290"/>
      <c r="AH655" s="290"/>
      <c r="AI655" s="290"/>
      <c r="AJ655" s="290"/>
      <c r="AK655" s="290"/>
    </row>
    <row r="656" spans="11:37" x14ac:dyDescent="0.2">
      <c r="K656" s="290"/>
      <c r="L656" s="290"/>
      <c r="M656" s="290"/>
      <c r="N656" s="290"/>
      <c r="O656" s="290"/>
      <c r="P656" s="290"/>
      <c r="Q656" s="290"/>
      <c r="R656" s="290"/>
      <c r="S656" s="290"/>
      <c r="T656" s="290"/>
      <c r="U656" s="290"/>
      <c r="V656" s="290"/>
      <c r="W656" s="290"/>
      <c r="X656" s="290"/>
      <c r="Y656" s="290"/>
      <c r="Z656" s="290"/>
      <c r="AA656" s="290"/>
      <c r="AB656" s="290"/>
      <c r="AC656" s="290"/>
      <c r="AD656" s="290"/>
      <c r="AE656" s="290"/>
      <c r="AF656" s="290"/>
      <c r="AG656" s="290"/>
      <c r="AH656" s="290"/>
      <c r="AI656" s="290"/>
      <c r="AJ656" s="290"/>
      <c r="AK656" s="290"/>
    </row>
    <row r="657" spans="11:37" x14ac:dyDescent="0.2">
      <c r="K657" s="290"/>
      <c r="L657" s="290"/>
      <c r="M657" s="290"/>
      <c r="N657" s="290"/>
      <c r="O657" s="290"/>
      <c r="P657" s="290"/>
      <c r="Q657" s="290"/>
      <c r="R657" s="290"/>
      <c r="S657" s="290"/>
      <c r="T657" s="290"/>
      <c r="U657" s="290"/>
      <c r="V657" s="290"/>
      <c r="W657" s="290"/>
      <c r="X657" s="290"/>
      <c r="Y657" s="290"/>
      <c r="Z657" s="290"/>
      <c r="AA657" s="290"/>
      <c r="AB657" s="290"/>
      <c r="AC657" s="290"/>
      <c r="AD657" s="290"/>
      <c r="AE657" s="290"/>
      <c r="AF657" s="290"/>
      <c r="AG657" s="290"/>
      <c r="AH657" s="290"/>
      <c r="AI657" s="290"/>
      <c r="AJ657" s="290"/>
      <c r="AK657" s="290"/>
    </row>
    <row r="658" spans="11:37" x14ac:dyDescent="0.2">
      <c r="K658" s="290"/>
      <c r="L658" s="290"/>
      <c r="M658" s="290"/>
      <c r="N658" s="290"/>
      <c r="O658" s="290"/>
      <c r="P658" s="290"/>
      <c r="Q658" s="290"/>
      <c r="R658" s="290"/>
      <c r="S658" s="290"/>
      <c r="T658" s="290"/>
      <c r="U658" s="290"/>
      <c r="V658" s="290"/>
      <c r="W658" s="290"/>
      <c r="X658" s="290"/>
      <c r="Y658" s="290"/>
      <c r="Z658" s="290"/>
      <c r="AA658" s="290"/>
      <c r="AB658" s="290"/>
      <c r="AC658" s="290"/>
      <c r="AD658" s="290"/>
      <c r="AE658" s="290"/>
      <c r="AF658" s="290"/>
      <c r="AG658" s="290"/>
      <c r="AH658" s="290"/>
      <c r="AI658" s="290"/>
      <c r="AJ658" s="290"/>
      <c r="AK658" s="290"/>
    </row>
    <row r="659" spans="11:37" x14ac:dyDescent="0.2">
      <c r="K659" s="290"/>
      <c r="L659" s="290"/>
      <c r="M659" s="290"/>
      <c r="N659" s="290"/>
      <c r="O659" s="290"/>
      <c r="P659" s="290"/>
      <c r="Q659" s="290"/>
      <c r="R659" s="290"/>
      <c r="S659" s="290"/>
      <c r="T659" s="290"/>
      <c r="U659" s="290"/>
      <c r="V659" s="290"/>
      <c r="W659" s="290"/>
      <c r="X659" s="290"/>
      <c r="Y659" s="290"/>
      <c r="Z659" s="290"/>
      <c r="AA659" s="290"/>
      <c r="AB659" s="290"/>
      <c r="AC659" s="290"/>
      <c r="AD659" s="290"/>
      <c r="AE659" s="290"/>
      <c r="AF659" s="290"/>
      <c r="AG659" s="290"/>
      <c r="AH659" s="290"/>
      <c r="AI659" s="290"/>
      <c r="AJ659" s="290"/>
      <c r="AK659" s="290"/>
    </row>
    <row r="660" spans="11:37" x14ac:dyDescent="0.2">
      <c r="K660" s="290"/>
      <c r="L660" s="290"/>
      <c r="M660" s="290"/>
      <c r="N660" s="290"/>
      <c r="O660" s="290"/>
      <c r="P660" s="290"/>
      <c r="Q660" s="290"/>
      <c r="R660" s="290"/>
      <c r="S660" s="290"/>
      <c r="T660" s="290"/>
      <c r="U660" s="290"/>
      <c r="V660" s="290"/>
      <c r="W660" s="290"/>
      <c r="X660" s="290"/>
      <c r="Y660" s="290"/>
      <c r="Z660" s="290"/>
      <c r="AA660" s="290"/>
      <c r="AB660" s="290"/>
      <c r="AC660" s="290"/>
      <c r="AD660" s="290"/>
      <c r="AE660" s="290"/>
      <c r="AF660" s="290"/>
      <c r="AG660" s="290"/>
      <c r="AH660" s="290"/>
      <c r="AI660" s="290"/>
      <c r="AJ660" s="290"/>
      <c r="AK660" s="290"/>
    </row>
    <row r="661" spans="11:37" x14ac:dyDescent="0.2">
      <c r="K661" s="290"/>
      <c r="L661" s="290"/>
      <c r="M661" s="290"/>
      <c r="N661" s="290"/>
      <c r="O661" s="290"/>
      <c r="P661" s="290"/>
      <c r="Q661" s="290"/>
      <c r="R661" s="290"/>
      <c r="S661" s="290"/>
      <c r="T661" s="290"/>
      <c r="U661" s="290"/>
      <c r="V661" s="290"/>
      <c r="W661" s="290"/>
      <c r="X661" s="290"/>
      <c r="Y661" s="290"/>
      <c r="Z661" s="290"/>
      <c r="AA661" s="290"/>
      <c r="AB661" s="290"/>
      <c r="AC661" s="290"/>
      <c r="AD661" s="290"/>
      <c r="AE661" s="290"/>
      <c r="AF661" s="290"/>
      <c r="AG661" s="290"/>
      <c r="AH661" s="290"/>
      <c r="AI661" s="290"/>
      <c r="AJ661" s="290"/>
      <c r="AK661" s="290"/>
    </row>
    <row r="662" spans="11:37" x14ac:dyDescent="0.2">
      <c r="K662" s="290"/>
      <c r="L662" s="290"/>
      <c r="M662" s="290"/>
      <c r="N662" s="290"/>
      <c r="O662" s="290"/>
      <c r="P662" s="290"/>
      <c r="Q662" s="290"/>
      <c r="R662" s="290"/>
      <c r="S662" s="290"/>
      <c r="T662" s="290"/>
      <c r="U662" s="290"/>
      <c r="V662" s="290"/>
      <c r="W662" s="290"/>
      <c r="X662" s="290"/>
      <c r="Y662" s="290"/>
      <c r="Z662" s="290"/>
      <c r="AA662" s="290"/>
      <c r="AB662" s="290"/>
      <c r="AC662" s="290"/>
      <c r="AD662" s="290"/>
      <c r="AE662" s="290"/>
      <c r="AF662" s="290"/>
      <c r="AG662" s="290"/>
      <c r="AH662" s="290"/>
      <c r="AI662" s="290"/>
      <c r="AJ662" s="290"/>
      <c r="AK662" s="290"/>
    </row>
    <row r="663" spans="11:37" x14ac:dyDescent="0.2">
      <c r="K663" s="290"/>
      <c r="L663" s="290"/>
      <c r="M663" s="290"/>
      <c r="N663" s="290"/>
      <c r="O663" s="290"/>
      <c r="P663" s="290"/>
      <c r="Q663" s="290"/>
      <c r="R663" s="290"/>
      <c r="S663" s="290"/>
      <c r="T663" s="290"/>
      <c r="U663" s="290"/>
      <c r="V663" s="290"/>
      <c r="W663" s="290"/>
      <c r="X663" s="290"/>
      <c r="Y663" s="290"/>
      <c r="Z663" s="290"/>
      <c r="AA663" s="290"/>
      <c r="AB663" s="290"/>
      <c r="AC663" s="290"/>
      <c r="AD663" s="290"/>
      <c r="AE663" s="290"/>
      <c r="AF663" s="290"/>
      <c r="AG663" s="290"/>
      <c r="AH663" s="290"/>
      <c r="AI663" s="290"/>
      <c r="AJ663" s="290"/>
      <c r="AK663" s="290"/>
    </row>
    <row r="664" spans="11:37" x14ac:dyDescent="0.2">
      <c r="K664" s="290"/>
      <c r="L664" s="290"/>
      <c r="M664" s="290"/>
      <c r="N664" s="290"/>
      <c r="O664" s="290"/>
      <c r="P664" s="290"/>
      <c r="Q664" s="290"/>
      <c r="R664" s="290"/>
      <c r="S664" s="290"/>
      <c r="T664" s="290"/>
      <c r="U664" s="290"/>
      <c r="V664" s="290"/>
      <c r="W664" s="290"/>
      <c r="X664" s="290"/>
      <c r="Y664" s="290"/>
      <c r="Z664" s="290"/>
      <c r="AA664" s="290"/>
      <c r="AB664" s="290"/>
      <c r="AC664" s="290"/>
      <c r="AD664" s="290"/>
      <c r="AE664" s="290"/>
      <c r="AF664" s="290"/>
      <c r="AG664" s="290"/>
      <c r="AH664" s="290"/>
      <c r="AI664" s="290"/>
      <c r="AJ664" s="290"/>
      <c r="AK664" s="290"/>
    </row>
    <row r="665" spans="11:37" x14ac:dyDescent="0.2">
      <c r="K665" s="290"/>
      <c r="L665" s="290"/>
      <c r="M665" s="290"/>
      <c r="N665" s="290"/>
      <c r="O665" s="290"/>
      <c r="P665" s="290"/>
      <c r="Q665" s="290"/>
      <c r="R665" s="290"/>
      <c r="S665" s="290"/>
      <c r="T665" s="290"/>
      <c r="U665" s="290"/>
      <c r="V665" s="290"/>
      <c r="W665" s="290"/>
      <c r="X665" s="290"/>
      <c r="Y665" s="290"/>
      <c r="Z665" s="290"/>
      <c r="AA665" s="290"/>
      <c r="AB665" s="290"/>
      <c r="AC665" s="290"/>
      <c r="AD665" s="290"/>
      <c r="AE665" s="290"/>
      <c r="AF665" s="290"/>
      <c r="AG665" s="290"/>
      <c r="AH665" s="290"/>
      <c r="AI665" s="290"/>
      <c r="AJ665" s="290"/>
      <c r="AK665" s="290"/>
    </row>
    <row r="666" spans="11:37" x14ac:dyDescent="0.2">
      <c r="K666" s="290"/>
      <c r="L666" s="290"/>
      <c r="M666" s="290"/>
      <c r="N666" s="290"/>
      <c r="O666" s="290"/>
      <c r="P666" s="290"/>
      <c r="Q666" s="290"/>
      <c r="R666" s="290"/>
      <c r="S666" s="290"/>
      <c r="T666" s="290"/>
      <c r="U666" s="290"/>
      <c r="V666" s="290"/>
      <c r="W666" s="290"/>
      <c r="X666" s="290"/>
      <c r="Y666" s="290"/>
      <c r="Z666" s="290"/>
      <c r="AA666" s="290"/>
      <c r="AB666" s="290"/>
      <c r="AC666" s="290"/>
      <c r="AD666" s="290"/>
      <c r="AE666" s="290"/>
      <c r="AF666" s="290"/>
      <c r="AG666" s="290"/>
      <c r="AH666" s="290"/>
      <c r="AI666" s="290"/>
      <c r="AJ666" s="290"/>
      <c r="AK666" s="290"/>
    </row>
    <row r="667" spans="11:37" x14ac:dyDescent="0.2">
      <c r="K667" s="290"/>
      <c r="L667" s="290"/>
      <c r="M667" s="290"/>
      <c r="N667" s="290"/>
      <c r="O667" s="290"/>
      <c r="P667" s="290"/>
      <c r="Q667" s="290"/>
      <c r="R667" s="290"/>
      <c r="S667" s="290"/>
      <c r="T667" s="290"/>
      <c r="U667" s="290"/>
      <c r="V667" s="290"/>
      <c r="W667" s="290"/>
      <c r="X667" s="290"/>
      <c r="Y667" s="290"/>
      <c r="Z667" s="290"/>
      <c r="AA667" s="290"/>
      <c r="AB667" s="290"/>
      <c r="AC667" s="290"/>
      <c r="AD667" s="290"/>
      <c r="AE667" s="290"/>
      <c r="AF667" s="290"/>
      <c r="AG667" s="290"/>
      <c r="AH667" s="290"/>
      <c r="AI667" s="290"/>
      <c r="AJ667" s="290"/>
      <c r="AK667" s="290"/>
    </row>
    <row r="668" spans="11:37" x14ac:dyDescent="0.2">
      <c r="K668" s="290"/>
      <c r="L668" s="290"/>
      <c r="M668" s="290"/>
      <c r="N668" s="290"/>
      <c r="O668" s="290"/>
      <c r="P668" s="290"/>
      <c r="Q668" s="290"/>
      <c r="R668" s="290"/>
      <c r="S668" s="290"/>
      <c r="T668" s="290"/>
      <c r="U668" s="290"/>
      <c r="V668" s="290"/>
      <c r="W668" s="290"/>
      <c r="X668" s="290"/>
      <c r="Y668" s="290"/>
      <c r="Z668" s="290"/>
      <c r="AA668" s="290"/>
      <c r="AB668" s="290"/>
      <c r="AC668" s="290"/>
      <c r="AD668" s="290"/>
      <c r="AE668" s="290"/>
      <c r="AF668" s="290"/>
      <c r="AG668" s="290"/>
      <c r="AH668" s="290"/>
      <c r="AI668" s="290"/>
      <c r="AJ668" s="290"/>
      <c r="AK668" s="290"/>
    </row>
    <row r="669" spans="11:37" x14ac:dyDescent="0.2">
      <c r="K669" s="290"/>
      <c r="L669" s="290"/>
      <c r="M669" s="290"/>
      <c r="N669" s="290"/>
      <c r="O669" s="290"/>
      <c r="P669" s="290"/>
      <c r="Q669" s="290"/>
      <c r="R669" s="290"/>
      <c r="S669" s="290"/>
      <c r="T669" s="290"/>
      <c r="U669" s="290"/>
      <c r="V669" s="290"/>
      <c r="W669" s="290"/>
      <c r="X669" s="290"/>
      <c r="Y669" s="290"/>
      <c r="Z669" s="290"/>
      <c r="AA669" s="290"/>
      <c r="AB669" s="290"/>
      <c r="AC669" s="290"/>
      <c r="AD669" s="290"/>
      <c r="AE669" s="290"/>
      <c r="AF669" s="290"/>
      <c r="AG669" s="290"/>
      <c r="AH669" s="290"/>
      <c r="AI669" s="290"/>
      <c r="AJ669" s="290"/>
      <c r="AK669" s="290"/>
    </row>
    <row r="670" spans="11:37" x14ac:dyDescent="0.2">
      <c r="K670" s="290"/>
      <c r="L670" s="290"/>
      <c r="M670" s="290"/>
      <c r="N670" s="290"/>
      <c r="O670" s="290"/>
      <c r="P670" s="290"/>
      <c r="Q670" s="290"/>
      <c r="R670" s="290"/>
      <c r="S670" s="290"/>
      <c r="T670" s="290"/>
      <c r="U670" s="290"/>
      <c r="V670" s="290"/>
      <c r="W670" s="290"/>
      <c r="X670" s="290"/>
      <c r="Y670" s="290"/>
      <c r="Z670" s="290"/>
      <c r="AA670" s="290"/>
      <c r="AB670" s="290"/>
      <c r="AC670" s="290"/>
      <c r="AD670" s="290"/>
      <c r="AE670" s="290"/>
      <c r="AF670" s="290"/>
      <c r="AG670" s="290"/>
      <c r="AH670" s="290"/>
      <c r="AI670" s="290"/>
      <c r="AJ670" s="290"/>
      <c r="AK670" s="290"/>
    </row>
    <row r="671" spans="11:37" x14ac:dyDescent="0.2">
      <c r="K671" s="290"/>
      <c r="L671" s="290"/>
      <c r="M671" s="290"/>
      <c r="N671" s="290"/>
      <c r="O671" s="290"/>
      <c r="P671" s="290"/>
      <c r="Q671" s="290"/>
      <c r="R671" s="290"/>
      <c r="S671" s="290"/>
      <c r="T671" s="290"/>
      <c r="U671" s="290"/>
      <c r="V671" s="290"/>
      <c r="W671" s="290"/>
      <c r="X671" s="290"/>
      <c r="Y671" s="290"/>
      <c r="Z671" s="290"/>
      <c r="AA671" s="290"/>
      <c r="AB671" s="290"/>
      <c r="AC671" s="290"/>
      <c r="AD671" s="290"/>
      <c r="AE671" s="290"/>
      <c r="AF671" s="290"/>
      <c r="AG671" s="290"/>
      <c r="AH671" s="290"/>
      <c r="AI671" s="290"/>
      <c r="AJ671" s="290"/>
      <c r="AK671" s="290"/>
    </row>
    <row r="672" spans="11:37" x14ac:dyDescent="0.2">
      <c r="K672" s="290"/>
      <c r="L672" s="290"/>
      <c r="M672" s="290"/>
      <c r="N672" s="290"/>
      <c r="O672" s="290"/>
      <c r="P672" s="290"/>
      <c r="Q672" s="290"/>
      <c r="R672" s="290"/>
      <c r="S672" s="290"/>
      <c r="T672" s="290"/>
      <c r="U672" s="290"/>
      <c r="V672" s="290"/>
      <c r="W672" s="290"/>
      <c r="X672" s="290"/>
      <c r="Y672" s="290"/>
      <c r="Z672" s="290"/>
      <c r="AA672" s="290"/>
      <c r="AB672" s="290"/>
      <c r="AC672" s="290"/>
      <c r="AD672" s="290"/>
      <c r="AE672" s="290"/>
      <c r="AF672" s="290"/>
      <c r="AG672" s="290"/>
      <c r="AH672" s="290"/>
      <c r="AI672" s="290"/>
      <c r="AJ672" s="290"/>
      <c r="AK672" s="290"/>
    </row>
    <row r="673" spans="11:37" x14ac:dyDescent="0.2">
      <c r="K673" s="290"/>
      <c r="L673" s="290"/>
      <c r="M673" s="290"/>
      <c r="N673" s="290"/>
      <c r="O673" s="290"/>
      <c r="P673" s="290"/>
      <c r="Q673" s="290"/>
      <c r="R673" s="290"/>
      <c r="S673" s="290"/>
      <c r="T673" s="290"/>
      <c r="U673" s="290"/>
      <c r="V673" s="290"/>
      <c r="W673" s="290"/>
      <c r="X673" s="290"/>
      <c r="Y673" s="290"/>
      <c r="Z673" s="290"/>
      <c r="AA673" s="290"/>
      <c r="AB673" s="290"/>
      <c r="AC673" s="290"/>
      <c r="AD673" s="290"/>
      <c r="AE673" s="290"/>
      <c r="AF673" s="290"/>
      <c r="AG673" s="290"/>
      <c r="AH673" s="290"/>
      <c r="AI673" s="290"/>
      <c r="AJ673" s="290"/>
      <c r="AK673" s="290"/>
    </row>
    <row r="674" spans="11:37" x14ac:dyDescent="0.2">
      <c r="K674" s="290"/>
      <c r="L674" s="290"/>
      <c r="M674" s="290"/>
      <c r="N674" s="290"/>
      <c r="O674" s="290"/>
      <c r="P674" s="290"/>
      <c r="Q674" s="290"/>
      <c r="R674" s="290"/>
      <c r="S674" s="290"/>
      <c r="T674" s="290"/>
      <c r="U674" s="290"/>
      <c r="V674" s="290"/>
      <c r="W674" s="290"/>
      <c r="X674" s="290"/>
      <c r="Y674" s="290"/>
      <c r="Z674" s="290"/>
      <c r="AA674" s="290"/>
      <c r="AB674" s="290"/>
      <c r="AC674" s="290"/>
      <c r="AD674" s="290"/>
      <c r="AE674" s="290"/>
      <c r="AF674" s="290"/>
      <c r="AG674" s="290"/>
      <c r="AH674" s="290"/>
      <c r="AI674" s="290"/>
      <c r="AJ674" s="290"/>
      <c r="AK674" s="290"/>
    </row>
    <row r="675" spans="11:37" x14ac:dyDescent="0.2">
      <c r="K675" s="290"/>
      <c r="L675" s="290"/>
      <c r="M675" s="290"/>
      <c r="N675" s="290"/>
      <c r="O675" s="290"/>
      <c r="P675" s="290"/>
      <c r="Q675" s="290"/>
      <c r="R675" s="290"/>
      <c r="S675" s="290"/>
      <c r="T675" s="290"/>
      <c r="U675" s="290"/>
      <c r="V675" s="290"/>
      <c r="W675" s="290"/>
      <c r="X675" s="290"/>
      <c r="Y675" s="290"/>
      <c r="Z675" s="290"/>
      <c r="AA675" s="290"/>
      <c r="AB675" s="290"/>
      <c r="AC675" s="290"/>
      <c r="AD675" s="290"/>
      <c r="AE675" s="290"/>
      <c r="AF675" s="290"/>
      <c r="AG675" s="290"/>
      <c r="AH675" s="290"/>
      <c r="AI675" s="290"/>
      <c r="AJ675" s="290"/>
      <c r="AK675" s="290"/>
    </row>
    <row r="676" spans="11:37" x14ac:dyDescent="0.2">
      <c r="K676" s="290"/>
      <c r="L676" s="290"/>
      <c r="M676" s="290"/>
      <c r="N676" s="290"/>
      <c r="O676" s="290"/>
      <c r="P676" s="290"/>
      <c r="Q676" s="290"/>
      <c r="R676" s="290"/>
      <c r="S676" s="290"/>
      <c r="T676" s="290"/>
      <c r="U676" s="290"/>
      <c r="V676" s="290"/>
      <c r="W676" s="290"/>
      <c r="X676" s="290"/>
      <c r="Y676" s="290"/>
      <c r="Z676" s="290"/>
      <c r="AA676" s="290"/>
      <c r="AB676" s="290"/>
      <c r="AC676" s="290"/>
      <c r="AD676" s="290"/>
      <c r="AE676" s="290"/>
      <c r="AF676" s="290"/>
      <c r="AG676" s="290"/>
      <c r="AH676" s="290"/>
      <c r="AI676" s="290"/>
      <c r="AJ676" s="290"/>
      <c r="AK676" s="290"/>
    </row>
    <row r="677" spans="11:37" x14ac:dyDescent="0.2">
      <c r="K677" s="290"/>
      <c r="L677" s="290"/>
      <c r="M677" s="290"/>
      <c r="N677" s="290"/>
      <c r="O677" s="290"/>
      <c r="P677" s="290"/>
      <c r="Q677" s="290"/>
      <c r="R677" s="290"/>
      <c r="S677" s="290"/>
      <c r="T677" s="290"/>
      <c r="U677" s="290"/>
      <c r="V677" s="290"/>
      <c r="W677" s="290"/>
      <c r="X677" s="290"/>
      <c r="Y677" s="290"/>
      <c r="Z677" s="290"/>
      <c r="AA677" s="290"/>
      <c r="AB677" s="290"/>
      <c r="AC677" s="290"/>
      <c r="AD677" s="290"/>
      <c r="AE677" s="290"/>
      <c r="AF677" s="290"/>
      <c r="AG677" s="290"/>
      <c r="AH677" s="290"/>
      <c r="AI677" s="290"/>
      <c r="AJ677" s="290"/>
      <c r="AK677" s="290"/>
    </row>
    <row r="678" spans="11:37" x14ac:dyDescent="0.2">
      <c r="K678" s="290"/>
      <c r="L678" s="290"/>
      <c r="M678" s="290"/>
      <c r="N678" s="290"/>
      <c r="O678" s="290"/>
      <c r="P678" s="290"/>
      <c r="Q678" s="290"/>
      <c r="R678" s="290"/>
      <c r="S678" s="290"/>
      <c r="T678" s="290"/>
      <c r="U678" s="290"/>
      <c r="V678" s="290"/>
      <c r="W678" s="290"/>
      <c r="X678" s="290"/>
      <c r="Y678" s="290"/>
      <c r="Z678" s="290"/>
      <c r="AA678" s="290"/>
      <c r="AB678" s="290"/>
      <c r="AC678" s="290"/>
      <c r="AD678" s="290"/>
      <c r="AE678" s="290"/>
      <c r="AF678" s="290"/>
      <c r="AG678" s="290"/>
      <c r="AH678" s="290"/>
      <c r="AI678" s="290"/>
      <c r="AJ678" s="290"/>
      <c r="AK678" s="290"/>
    </row>
    <row r="679" spans="11:37" x14ac:dyDescent="0.2">
      <c r="K679" s="290"/>
      <c r="L679" s="290"/>
      <c r="M679" s="290"/>
      <c r="N679" s="290"/>
      <c r="O679" s="290"/>
      <c r="P679" s="290"/>
      <c r="Q679" s="290"/>
      <c r="R679" s="290"/>
      <c r="S679" s="290"/>
      <c r="T679" s="290"/>
      <c r="U679" s="290"/>
      <c r="V679" s="290"/>
      <c r="W679" s="290"/>
      <c r="X679" s="290"/>
      <c r="Y679" s="290"/>
      <c r="Z679" s="290"/>
      <c r="AA679" s="290"/>
      <c r="AB679" s="290"/>
      <c r="AC679" s="290"/>
      <c r="AD679" s="290"/>
      <c r="AE679" s="290"/>
      <c r="AF679" s="290"/>
      <c r="AG679" s="290"/>
      <c r="AH679" s="290"/>
      <c r="AI679" s="290"/>
      <c r="AJ679" s="290"/>
      <c r="AK679" s="290"/>
    </row>
    <row r="680" spans="11:37" x14ac:dyDescent="0.2">
      <c r="K680" s="290"/>
      <c r="L680" s="290"/>
      <c r="M680" s="290"/>
      <c r="N680" s="290"/>
      <c r="O680" s="290"/>
      <c r="P680" s="290"/>
      <c r="Q680" s="290"/>
      <c r="R680" s="290"/>
      <c r="S680" s="290"/>
      <c r="T680" s="290"/>
      <c r="U680" s="290"/>
      <c r="V680" s="290"/>
      <c r="W680" s="290"/>
      <c r="X680" s="290"/>
      <c r="Y680" s="290"/>
      <c r="Z680" s="290"/>
      <c r="AA680" s="290"/>
      <c r="AB680" s="290"/>
      <c r="AC680" s="290"/>
      <c r="AD680" s="290"/>
      <c r="AE680" s="290"/>
      <c r="AF680" s="290"/>
      <c r="AG680" s="290"/>
      <c r="AH680" s="290"/>
      <c r="AI680" s="290"/>
      <c r="AJ680" s="290"/>
      <c r="AK680" s="290"/>
    </row>
    <row r="681" spans="11:37" x14ac:dyDescent="0.2">
      <c r="K681" s="290"/>
      <c r="L681" s="290"/>
      <c r="M681" s="290"/>
      <c r="N681" s="290"/>
      <c r="O681" s="290"/>
      <c r="P681" s="290"/>
      <c r="Q681" s="290"/>
      <c r="R681" s="290"/>
      <c r="S681" s="290"/>
      <c r="T681" s="290"/>
      <c r="U681" s="290"/>
      <c r="V681" s="290"/>
      <c r="W681" s="290"/>
      <c r="X681" s="290"/>
      <c r="Y681" s="290"/>
      <c r="Z681" s="290"/>
      <c r="AA681" s="290"/>
      <c r="AB681" s="290"/>
      <c r="AC681" s="290"/>
      <c r="AD681" s="290"/>
      <c r="AE681" s="290"/>
      <c r="AF681" s="290"/>
      <c r="AG681" s="290"/>
      <c r="AH681" s="290"/>
      <c r="AI681" s="290"/>
      <c r="AJ681" s="290"/>
      <c r="AK681" s="290"/>
    </row>
    <row r="682" spans="11:37" x14ac:dyDescent="0.2">
      <c r="K682" s="290"/>
      <c r="L682" s="290"/>
      <c r="M682" s="290"/>
      <c r="N682" s="290"/>
      <c r="O682" s="290"/>
      <c r="P682" s="290"/>
      <c r="Q682" s="290"/>
      <c r="R682" s="290"/>
      <c r="S682" s="290"/>
      <c r="T682" s="290"/>
      <c r="U682" s="290"/>
      <c r="V682" s="290"/>
      <c r="W682" s="290"/>
      <c r="X682" s="290"/>
      <c r="Y682" s="290"/>
      <c r="Z682" s="290"/>
      <c r="AA682" s="290"/>
      <c r="AB682" s="290"/>
      <c r="AC682" s="290"/>
      <c r="AD682" s="290"/>
      <c r="AE682" s="290"/>
      <c r="AF682" s="290"/>
      <c r="AG682" s="290"/>
      <c r="AH682" s="290"/>
      <c r="AI682" s="290"/>
      <c r="AJ682" s="290"/>
      <c r="AK682" s="290"/>
    </row>
    <row r="683" spans="11:37" x14ac:dyDescent="0.2">
      <c r="K683" s="290"/>
      <c r="L683" s="290"/>
      <c r="M683" s="290"/>
      <c r="N683" s="290"/>
      <c r="O683" s="290"/>
      <c r="P683" s="290"/>
      <c r="Q683" s="290"/>
      <c r="R683" s="290"/>
      <c r="S683" s="290"/>
      <c r="T683" s="290"/>
      <c r="U683" s="290"/>
      <c r="V683" s="290"/>
      <c r="W683" s="290"/>
      <c r="X683" s="290"/>
      <c r="Y683" s="290"/>
      <c r="Z683" s="290"/>
      <c r="AA683" s="290"/>
      <c r="AB683" s="290"/>
      <c r="AC683" s="290"/>
      <c r="AD683" s="290"/>
      <c r="AE683" s="290"/>
      <c r="AF683" s="290"/>
      <c r="AG683" s="290"/>
      <c r="AH683" s="290"/>
      <c r="AI683" s="290"/>
      <c r="AJ683" s="290"/>
      <c r="AK683" s="290"/>
    </row>
    <row r="684" spans="11:37" x14ac:dyDescent="0.2">
      <c r="K684" s="290"/>
      <c r="L684" s="290"/>
      <c r="M684" s="290"/>
      <c r="N684" s="290"/>
      <c r="O684" s="290"/>
      <c r="P684" s="290"/>
      <c r="Q684" s="290"/>
      <c r="R684" s="290"/>
      <c r="S684" s="290"/>
      <c r="T684" s="290"/>
      <c r="U684" s="290"/>
      <c r="V684" s="290"/>
      <c r="W684" s="290"/>
      <c r="X684" s="290"/>
      <c r="Y684" s="290"/>
      <c r="Z684" s="290"/>
      <c r="AA684" s="290"/>
      <c r="AB684" s="290"/>
      <c r="AC684" s="290"/>
      <c r="AD684" s="290"/>
      <c r="AE684" s="290"/>
      <c r="AF684" s="290"/>
      <c r="AG684" s="290"/>
      <c r="AH684" s="290"/>
      <c r="AI684" s="290"/>
      <c r="AJ684" s="290"/>
      <c r="AK684" s="290"/>
    </row>
    <row r="685" spans="11:37" x14ac:dyDescent="0.2">
      <c r="K685" s="290"/>
      <c r="L685" s="290"/>
      <c r="M685" s="290"/>
      <c r="N685" s="290"/>
      <c r="O685" s="290"/>
      <c r="P685" s="290"/>
      <c r="Q685" s="290"/>
      <c r="R685" s="290"/>
      <c r="S685" s="290"/>
      <c r="T685" s="290"/>
      <c r="U685" s="290"/>
      <c r="V685" s="290"/>
      <c r="W685" s="290"/>
      <c r="X685" s="290"/>
      <c r="Y685" s="290"/>
      <c r="Z685" s="290"/>
      <c r="AA685" s="290"/>
      <c r="AB685" s="290"/>
      <c r="AC685" s="290"/>
      <c r="AD685" s="290"/>
      <c r="AE685" s="290"/>
      <c r="AF685" s="290"/>
      <c r="AG685" s="290"/>
      <c r="AH685" s="290"/>
      <c r="AI685" s="290"/>
      <c r="AJ685" s="290"/>
      <c r="AK685" s="290"/>
    </row>
    <row r="686" spans="11:37" x14ac:dyDescent="0.2">
      <c r="K686" s="290"/>
      <c r="L686" s="290"/>
      <c r="M686" s="290"/>
      <c r="N686" s="290"/>
      <c r="O686" s="290"/>
      <c r="P686" s="290"/>
      <c r="Q686" s="290"/>
      <c r="R686" s="290"/>
      <c r="S686" s="290"/>
      <c r="T686" s="290"/>
      <c r="U686" s="290"/>
      <c r="V686" s="290"/>
      <c r="W686" s="290"/>
      <c r="X686" s="290"/>
      <c r="Y686" s="290"/>
      <c r="Z686" s="290"/>
      <c r="AA686" s="290"/>
      <c r="AB686" s="290"/>
      <c r="AC686" s="290"/>
      <c r="AD686" s="290"/>
      <c r="AE686" s="290"/>
      <c r="AF686" s="290"/>
      <c r="AG686" s="290"/>
      <c r="AH686" s="290"/>
      <c r="AI686" s="290"/>
      <c r="AJ686" s="290"/>
      <c r="AK686" s="290"/>
    </row>
    <row r="687" spans="11:37" x14ac:dyDescent="0.2">
      <c r="K687" s="290"/>
      <c r="L687" s="290"/>
      <c r="M687" s="290"/>
      <c r="N687" s="290"/>
      <c r="O687" s="290"/>
      <c r="P687" s="290"/>
      <c r="Q687" s="290"/>
      <c r="R687" s="290"/>
      <c r="S687" s="290"/>
      <c r="T687" s="290"/>
      <c r="U687" s="290"/>
      <c r="V687" s="290"/>
      <c r="W687" s="290"/>
      <c r="X687" s="290"/>
      <c r="Y687" s="290"/>
      <c r="Z687" s="290"/>
      <c r="AA687" s="290"/>
      <c r="AB687" s="290"/>
      <c r="AC687" s="290"/>
      <c r="AD687" s="290"/>
      <c r="AE687" s="290"/>
      <c r="AF687" s="290"/>
      <c r="AG687" s="290"/>
      <c r="AH687" s="290"/>
      <c r="AI687" s="290"/>
      <c r="AJ687" s="290"/>
      <c r="AK687" s="290"/>
    </row>
    <row r="688" spans="11:37" x14ac:dyDescent="0.2">
      <c r="K688" s="290"/>
      <c r="L688" s="290"/>
      <c r="M688" s="290"/>
      <c r="N688" s="290"/>
      <c r="O688" s="290"/>
      <c r="P688" s="290"/>
      <c r="Q688" s="290"/>
      <c r="R688" s="290"/>
      <c r="S688" s="290"/>
      <c r="T688" s="290"/>
      <c r="U688" s="290"/>
      <c r="V688" s="290"/>
      <c r="W688" s="290"/>
      <c r="X688" s="290"/>
      <c r="Y688" s="290"/>
      <c r="Z688" s="290"/>
      <c r="AA688" s="290"/>
      <c r="AB688" s="290"/>
      <c r="AC688" s="290"/>
      <c r="AD688" s="290"/>
      <c r="AE688" s="290"/>
      <c r="AF688" s="290"/>
      <c r="AG688" s="290"/>
      <c r="AH688" s="290"/>
      <c r="AI688" s="290"/>
      <c r="AJ688" s="290"/>
      <c r="AK688" s="290"/>
    </row>
    <row r="689" spans="11:37" x14ac:dyDescent="0.2">
      <c r="K689" s="290"/>
      <c r="L689" s="290"/>
      <c r="M689" s="290"/>
      <c r="N689" s="290"/>
      <c r="O689" s="290"/>
      <c r="P689" s="290"/>
      <c r="Q689" s="290"/>
      <c r="R689" s="290"/>
      <c r="S689" s="290"/>
      <c r="T689" s="290"/>
      <c r="U689" s="290"/>
      <c r="V689" s="290"/>
      <c r="W689" s="290"/>
      <c r="X689" s="290"/>
      <c r="Y689" s="290"/>
      <c r="Z689" s="290"/>
      <c r="AA689" s="290"/>
      <c r="AB689" s="290"/>
      <c r="AC689" s="290"/>
      <c r="AD689" s="290"/>
      <c r="AE689" s="290"/>
      <c r="AF689" s="290"/>
      <c r="AG689" s="290"/>
      <c r="AH689" s="290"/>
      <c r="AI689" s="290"/>
      <c r="AJ689" s="290"/>
      <c r="AK689" s="290"/>
    </row>
    <row r="690" spans="11:37" x14ac:dyDescent="0.2">
      <c r="K690" s="290"/>
      <c r="L690" s="290"/>
      <c r="M690" s="290"/>
      <c r="N690" s="290"/>
      <c r="O690" s="290"/>
      <c r="P690" s="290"/>
      <c r="Q690" s="290"/>
      <c r="R690" s="290"/>
      <c r="S690" s="290"/>
      <c r="T690" s="290"/>
      <c r="U690" s="290"/>
      <c r="V690" s="290"/>
      <c r="W690" s="290"/>
      <c r="X690" s="290"/>
      <c r="Y690" s="290"/>
      <c r="Z690" s="290"/>
      <c r="AA690" s="290"/>
      <c r="AB690" s="290"/>
      <c r="AC690" s="290"/>
      <c r="AD690" s="290"/>
      <c r="AE690" s="290"/>
      <c r="AF690" s="290"/>
      <c r="AG690" s="290"/>
      <c r="AH690" s="290"/>
      <c r="AI690" s="290"/>
      <c r="AJ690" s="290"/>
      <c r="AK690" s="290"/>
    </row>
    <row r="691" spans="11:37" x14ac:dyDescent="0.2">
      <c r="K691" s="290"/>
      <c r="L691" s="290"/>
      <c r="M691" s="290"/>
      <c r="N691" s="290"/>
      <c r="O691" s="290"/>
      <c r="P691" s="290"/>
      <c r="Q691" s="290"/>
      <c r="R691" s="290"/>
      <c r="S691" s="290"/>
      <c r="T691" s="290"/>
      <c r="U691" s="290"/>
      <c r="V691" s="290"/>
      <c r="W691" s="290"/>
      <c r="X691" s="290"/>
      <c r="Y691" s="290"/>
      <c r="Z691" s="290"/>
      <c r="AA691" s="290"/>
      <c r="AB691" s="290"/>
      <c r="AC691" s="290"/>
      <c r="AD691" s="290"/>
      <c r="AE691" s="290"/>
      <c r="AF691" s="290"/>
      <c r="AG691" s="290"/>
      <c r="AH691" s="290"/>
      <c r="AI691" s="290"/>
      <c r="AJ691" s="290"/>
      <c r="AK691" s="290"/>
    </row>
    <row r="692" spans="11:37" x14ac:dyDescent="0.2">
      <c r="K692" s="290"/>
      <c r="L692" s="290"/>
      <c r="M692" s="290"/>
      <c r="N692" s="290"/>
      <c r="O692" s="290"/>
      <c r="P692" s="290"/>
      <c r="Q692" s="290"/>
      <c r="R692" s="290"/>
      <c r="S692" s="290"/>
      <c r="T692" s="290"/>
      <c r="U692" s="290"/>
      <c r="V692" s="290"/>
      <c r="W692" s="290"/>
      <c r="X692" s="290"/>
      <c r="Y692" s="290"/>
      <c r="Z692" s="290"/>
      <c r="AA692" s="290"/>
      <c r="AB692" s="290"/>
      <c r="AC692" s="290"/>
      <c r="AD692" s="290"/>
      <c r="AE692" s="290"/>
      <c r="AF692" s="290"/>
      <c r="AG692" s="290"/>
      <c r="AH692" s="290"/>
      <c r="AI692" s="290"/>
      <c r="AJ692" s="290"/>
      <c r="AK692" s="290"/>
    </row>
    <row r="693" spans="11:37" x14ac:dyDescent="0.2">
      <c r="K693" s="290"/>
      <c r="L693" s="290"/>
      <c r="M693" s="290"/>
      <c r="N693" s="290"/>
      <c r="O693" s="290"/>
      <c r="P693" s="290"/>
      <c r="Q693" s="290"/>
      <c r="R693" s="290"/>
      <c r="S693" s="290"/>
      <c r="T693" s="290"/>
      <c r="U693" s="290"/>
      <c r="V693" s="290"/>
      <c r="W693" s="290"/>
      <c r="X693" s="290"/>
      <c r="Y693" s="290"/>
      <c r="Z693" s="290"/>
      <c r="AA693" s="290"/>
      <c r="AB693" s="290"/>
      <c r="AC693" s="290"/>
      <c r="AD693" s="290"/>
      <c r="AE693" s="290"/>
      <c r="AF693" s="290"/>
      <c r="AG693" s="290"/>
      <c r="AH693" s="290"/>
      <c r="AI693" s="290"/>
      <c r="AJ693" s="290"/>
      <c r="AK693" s="290"/>
    </row>
    <row r="694" spans="11:37" x14ac:dyDescent="0.2">
      <c r="K694" s="290"/>
      <c r="L694" s="290"/>
      <c r="M694" s="290"/>
      <c r="N694" s="290"/>
      <c r="O694" s="290"/>
      <c r="P694" s="290"/>
      <c r="Q694" s="290"/>
      <c r="R694" s="290"/>
      <c r="S694" s="290"/>
      <c r="T694" s="290"/>
      <c r="U694" s="290"/>
      <c r="V694" s="290"/>
      <c r="W694" s="290"/>
      <c r="X694" s="290"/>
      <c r="Y694" s="290"/>
      <c r="Z694" s="290"/>
      <c r="AA694" s="290"/>
      <c r="AB694" s="290"/>
      <c r="AC694" s="290"/>
      <c r="AD694" s="290"/>
      <c r="AE694" s="290"/>
      <c r="AF694" s="290"/>
      <c r="AG694" s="290"/>
      <c r="AH694" s="290"/>
      <c r="AI694" s="290"/>
      <c r="AJ694" s="290"/>
      <c r="AK694" s="290"/>
    </row>
    <row r="695" spans="11:37" x14ac:dyDescent="0.2">
      <c r="K695" s="290"/>
      <c r="L695" s="290"/>
      <c r="M695" s="290"/>
      <c r="N695" s="290"/>
      <c r="O695" s="290"/>
      <c r="P695" s="290"/>
      <c r="Q695" s="290"/>
      <c r="R695" s="290"/>
      <c r="S695" s="290"/>
      <c r="T695" s="290"/>
      <c r="U695" s="290"/>
      <c r="V695" s="290"/>
      <c r="W695" s="290"/>
      <c r="X695" s="290"/>
      <c r="Y695" s="290"/>
      <c r="Z695" s="290"/>
      <c r="AA695" s="290"/>
      <c r="AB695" s="290"/>
      <c r="AC695" s="290"/>
      <c r="AD695" s="290"/>
      <c r="AE695" s="290"/>
      <c r="AF695" s="290"/>
      <c r="AG695" s="290"/>
      <c r="AH695" s="290"/>
      <c r="AI695" s="290"/>
      <c r="AJ695" s="290"/>
      <c r="AK695" s="290"/>
    </row>
    <row r="696" spans="11:37" x14ac:dyDescent="0.2">
      <c r="K696" s="290"/>
      <c r="L696" s="290"/>
      <c r="M696" s="290"/>
      <c r="N696" s="290"/>
      <c r="O696" s="290"/>
      <c r="P696" s="290"/>
      <c r="Q696" s="290"/>
      <c r="R696" s="290"/>
      <c r="S696" s="290"/>
      <c r="T696" s="290"/>
      <c r="U696" s="290"/>
      <c r="V696" s="290"/>
      <c r="W696" s="290"/>
      <c r="X696" s="290"/>
      <c r="Y696" s="290"/>
      <c r="Z696" s="290"/>
      <c r="AA696" s="290"/>
      <c r="AB696" s="290"/>
      <c r="AC696" s="290"/>
      <c r="AD696" s="290"/>
      <c r="AE696" s="290"/>
      <c r="AF696" s="290"/>
      <c r="AG696" s="290"/>
      <c r="AH696" s="290"/>
      <c r="AI696" s="290"/>
      <c r="AJ696" s="290"/>
      <c r="AK696" s="290"/>
    </row>
    <row r="697" spans="11:37" x14ac:dyDescent="0.2">
      <c r="K697" s="290"/>
      <c r="L697" s="290"/>
      <c r="M697" s="290"/>
      <c r="N697" s="290"/>
      <c r="O697" s="290"/>
      <c r="P697" s="290"/>
      <c r="Q697" s="290"/>
      <c r="R697" s="290"/>
      <c r="S697" s="290"/>
      <c r="T697" s="290"/>
      <c r="U697" s="290"/>
      <c r="V697" s="290"/>
      <c r="W697" s="290"/>
      <c r="X697" s="290"/>
      <c r="Y697" s="290"/>
      <c r="Z697" s="290"/>
      <c r="AA697" s="290"/>
      <c r="AB697" s="290"/>
      <c r="AC697" s="290"/>
      <c r="AD697" s="290"/>
      <c r="AE697" s="290"/>
      <c r="AF697" s="290"/>
      <c r="AG697" s="290"/>
      <c r="AH697" s="290"/>
      <c r="AI697" s="290"/>
      <c r="AJ697" s="290"/>
      <c r="AK697" s="290"/>
    </row>
    <row r="698" spans="11:37" x14ac:dyDescent="0.2">
      <c r="K698" s="290"/>
      <c r="L698" s="290"/>
      <c r="M698" s="290"/>
      <c r="N698" s="290"/>
      <c r="O698" s="290"/>
      <c r="P698" s="290"/>
      <c r="Q698" s="290"/>
      <c r="R698" s="290"/>
      <c r="S698" s="290"/>
      <c r="T698" s="290"/>
      <c r="U698" s="290"/>
      <c r="V698" s="290"/>
      <c r="W698" s="290"/>
      <c r="X698" s="290"/>
      <c r="Y698" s="290"/>
      <c r="Z698" s="290"/>
      <c r="AA698" s="290"/>
      <c r="AB698" s="290"/>
      <c r="AC698" s="290"/>
      <c r="AD698" s="290"/>
      <c r="AE698" s="290"/>
      <c r="AF698" s="290"/>
      <c r="AG698" s="290"/>
      <c r="AH698" s="290"/>
      <c r="AI698" s="290"/>
      <c r="AJ698" s="290"/>
      <c r="AK698" s="290"/>
    </row>
    <row r="699" spans="11:37" x14ac:dyDescent="0.2">
      <c r="K699" s="290"/>
      <c r="L699" s="290"/>
      <c r="M699" s="290"/>
      <c r="N699" s="290"/>
      <c r="O699" s="290"/>
      <c r="P699" s="290"/>
      <c r="Q699" s="290"/>
      <c r="R699" s="290"/>
      <c r="S699" s="290"/>
      <c r="T699" s="290"/>
      <c r="U699" s="290"/>
      <c r="V699" s="290"/>
      <c r="W699" s="290"/>
      <c r="X699" s="290"/>
      <c r="Y699" s="290"/>
      <c r="Z699" s="290"/>
      <c r="AA699" s="290"/>
      <c r="AB699" s="290"/>
      <c r="AC699" s="290"/>
      <c r="AD699" s="290"/>
      <c r="AE699" s="290"/>
      <c r="AF699" s="290"/>
      <c r="AG699" s="290"/>
      <c r="AH699" s="290"/>
      <c r="AI699" s="290"/>
      <c r="AJ699" s="290"/>
      <c r="AK699" s="290"/>
    </row>
    <row r="700" spans="11:37" x14ac:dyDescent="0.2">
      <c r="K700" s="290"/>
      <c r="L700" s="290"/>
      <c r="M700" s="290"/>
      <c r="N700" s="290"/>
      <c r="O700" s="290"/>
      <c r="P700" s="290"/>
      <c r="Q700" s="290"/>
      <c r="R700" s="290"/>
      <c r="S700" s="290"/>
      <c r="T700" s="290"/>
      <c r="U700" s="290"/>
      <c r="V700" s="290"/>
      <c r="W700" s="290"/>
      <c r="X700" s="290"/>
      <c r="Y700" s="290"/>
      <c r="Z700" s="290"/>
      <c r="AA700" s="290"/>
      <c r="AB700" s="290"/>
      <c r="AC700" s="290"/>
      <c r="AD700" s="290"/>
      <c r="AE700" s="290"/>
      <c r="AF700" s="290"/>
      <c r="AG700" s="290"/>
      <c r="AH700" s="290"/>
      <c r="AI700" s="290"/>
      <c r="AJ700" s="290"/>
      <c r="AK700" s="290"/>
    </row>
    <row r="701" spans="11:37" x14ac:dyDescent="0.2">
      <c r="K701" s="290"/>
      <c r="L701" s="290"/>
      <c r="M701" s="290"/>
      <c r="N701" s="290"/>
      <c r="O701" s="290"/>
      <c r="P701" s="290"/>
      <c r="Q701" s="290"/>
      <c r="R701" s="290"/>
      <c r="S701" s="290"/>
      <c r="T701" s="290"/>
      <c r="U701" s="290"/>
      <c r="V701" s="290"/>
      <c r="W701" s="290"/>
      <c r="X701" s="290"/>
      <c r="Y701" s="290"/>
      <c r="Z701" s="290"/>
      <c r="AA701" s="290"/>
      <c r="AB701" s="290"/>
      <c r="AC701" s="290"/>
      <c r="AD701" s="290"/>
      <c r="AE701" s="290"/>
      <c r="AF701" s="290"/>
      <c r="AG701" s="290"/>
      <c r="AH701" s="290"/>
      <c r="AI701" s="290"/>
      <c r="AJ701" s="290"/>
      <c r="AK701" s="290"/>
    </row>
    <row r="702" spans="11:37" x14ac:dyDescent="0.2">
      <c r="K702" s="290"/>
      <c r="L702" s="290"/>
      <c r="M702" s="290"/>
      <c r="N702" s="290"/>
      <c r="O702" s="290"/>
      <c r="P702" s="290"/>
      <c r="Q702" s="290"/>
      <c r="R702" s="290"/>
      <c r="S702" s="290"/>
      <c r="T702" s="290"/>
      <c r="U702" s="290"/>
      <c r="V702" s="290"/>
      <c r="W702" s="290"/>
      <c r="X702" s="290"/>
      <c r="Y702" s="290"/>
      <c r="Z702" s="290"/>
      <c r="AA702" s="290"/>
      <c r="AB702" s="290"/>
      <c r="AC702" s="290"/>
      <c r="AD702" s="290"/>
      <c r="AE702" s="290"/>
      <c r="AF702" s="290"/>
      <c r="AG702" s="290"/>
      <c r="AH702" s="290"/>
      <c r="AI702" s="290"/>
      <c r="AJ702" s="290"/>
      <c r="AK702" s="290"/>
    </row>
    <row r="703" spans="11:37" x14ac:dyDescent="0.2">
      <c r="K703" s="290"/>
      <c r="L703" s="290"/>
      <c r="M703" s="290"/>
      <c r="N703" s="290"/>
      <c r="O703" s="290"/>
      <c r="P703" s="290"/>
      <c r="Q703" s="290"/>
      <c r="R703" s="290"/>
      <c r="S703" s="290"/>
      <c r="T703" s="290"/>
      <c r="U703" s="290"/>
      <c r="V703" s="290"/>
      <c r="W703" s="290"/>
      <c r="X703" s="290"/>
      <c r="Y703" s="290"/>
      <c r="Z703" s="290"/>
      <c r="AA703" s="290"/>
      <c r="AB703" s="290"/>
      <c r="AC703" s="290"/>
      <c r="AD703" s="290"/>
      <c r="AE703" s="290"/>
      <c r="AF703" s="290"/>
      <c r="AG703" s="290"/>
      <c r="AH703" s="290"/>
      <c r="AI703" s="290"/>
      <c r="AJ703" s="290"/>
      <c r="AK703" s="290"/>
    </row>
    <row r="704" spans="11:37" x14ac:dyDescent="0.2">
      <c r="K704" s="290"/>
      <c r="L704" s="290"/>
      <c r="M704" s="290"/>
      <c r="N704" s="290"/>
      <c r="O704" s="290"/>
      <c r="P704" s="290"/>
      <c r="Q704" s="290"/>
      <c r="R704" s="290"/>
      <c r="S704" s="290"/>
      <c r="T704" s="290"/>
      <c r="U704" s="290"/>
      <c r="V704" s="290"/>
      <c r="W704" s="290"/>
      <c r="X704" s="290"/>
      <c r="Y704" s="290"/>
      <c r="Z704" s="290"/>
      <c r="AA704" s="290"/>
      <c r="AB704" s="290"/>
      <c r="AC704" s="290"/>
      <c r="AD704" s="290"/>
      <c r="AE704" s="290"/>
      <c r="AF704" s="290"/>
      <c r="AG704" s="290"/>
      <c r="AH704" s="290"/>
      <c r="AI704" s="290"/>
      <c r="AJ704" s="290"/>
      <c r="AK704" s="290"/>
    </row>
    <row r="705" spans="11:37" x14ac:dyDescent="0.2">
      <c r="K705" s="290"/>
      <c r="L705" s="290"/>
      <c r="M705" s="290"/>
      <c r="N705" s="290"/>
      <c r="O705" s="290"/>
      <c r="P705" s="290"/>
      <c r="Q705" s="290"/>
      <c r="R705" s="290"/>
      <c r="S705" s="290"/>
      <c r="T705" s="290"/>
      <c r="U705" s="290"/>
      <c r="V705" s="290"/>
      <c r="W705" s="290"/>
      <c r="X705" s="290"/>
      <c r="Y705" s="290"/>
      <c r="Z705" s="290"/>
      <c r="AA705" s="290"/>
      <c r="AB705" s="290"/>
      <c r="AC705" s="290"/>
      <c r="AD705" s="290"/>
      <c r="AE705" s="290"/>
      <c r="AF705" s="290"/>
      <c r="AG705" s="290"/>
      <c r="AH705" s="290"/>
      <c r="AI705" s="290"/>
      <c r="AJ705" s="290"/>
      <c r="AK705" s="290"/>
    </row>
    <row r="706" spans="11:37" x14ac:dyDescent="0.2">
      <c r="K706" s="290"/>
      <c r="L706" s="290"/>
      <c r="M706" s="290"/>
      <c r="N706" s="290"/>
      <c r="O706" s="290"/>
      <c r="P706" s="290"/>
      <c r="Q706" s="290"/>
      <c r="R706" s="290"/>
      <c r="S706" s="290"/>
      <c r="T706" s="290"/>
      <c r="U706" s="290"/>
      <c r="V706" s="290"/>
      <c r="W706" s="290"/>
      <c r="X706" s="290"/>
      <c r="Y706" s="290"/>
      <c r="Z706" s="290"/>
      <c r="AA706" s="290"/>
      <c r="AB706" s="290"/>
      <c r="AC706" s="290"/>
      <c r="AD706" s="290"/>
      <c r="AE706" s="290"/>
      <c r="AF706" s="290"/>
      <c r="AG706" s="290"/>
      <c r="AH706" s="290"/>
      <c r="AI706" s="290"/>
      <c r="AJ706" s="290"/>
      <c r="AK706" s="290"/>
    </row>
    <row r="707" spans="11:37" x14ac:dyDescent="0.2">
      <c r="K707" s="290"/>
      <c r="L707" s="290"/>
      <c r="M707" s="290"/>
      <c r="N707" s="290"/>
      <c r="O707" s="290"/>
      <c r="P707" s="290"/>
      <c r="Q707" s="290"/>
      <c r="R707" s="290"/>
      <c r="S707" s="290"/>
      <c r="T707" s="290"/>
      <c r="U707" s="290"/>
      <c r="V707" s="290"/>
      <c r="W707" s="290"/>
      <c r="X707" s="290"/>
      <c r="Y707" s="290"/>
      <c r="Z707" s="290"/>
      <c r="AA707" s="290"/>
      <c r="AB707" s="290"/>
      <c r="AC707" s="290"/>
      <c r="AD707" s="290"/>
      <c r="AE707" s="290"/>
      <c r="AF707" s="290"/>
      <c r="AG707" s="290"/>
      <c r="AH707" s="290"/>
      <c r="AI707" s="290"/>
      <c r="AJ707" s="290"/>
      <c r="AK707" s="290"/>
    </row>
    <row r="708" spans="11:37" x14ac:dyDescent="0.2">
      <c r="K708" s="290"/>
      <c r="L708" s="290"/>
      <c r="M708" s="290"/>
      <c r="N708" s="290"/>
      <c r="O708" s="290"/>
      <c r="P708" s="290"/>
      <c r="Q708" s="290"/>
      <c r="R708" s="290"/>
      <c r="S708" s="290"/>
      <c r="T708" s="290"/>
      <c r="U708" s="290"/>
      <c r="V708" s="290"/>
      <c r="W708" s="290"/>
      <c r="X708" s="290"/>
      <c r="Y708" s="290"/>
      <c r="Z708" s="290"/>
      <c r="AA708" s="290"/>
      <c r="AB708" s="290"/>
      <c r="AC708" s="290"/>
      <c r="AD708" s="290"/>
      <c r="AE708" s="290"/>
      <c r="AF708" s="290"/>
      <c r="AG708" s="290"/>
      <c r="AH708" s="290"/>
      <c r="AI708" s="290"/>
      <c r="AJ708" s="290"/>
      <c r="AK708" s="290"/>
    </row>
    <row r="709" spans="11:37" x14ac:dyDescent="0.2">
      <c r="K709" s="290"/>
      <c r="L709" s="290"/>
      <c r="M709" s="290"/>
      <c r="N709" s="290"/>
      <c r="O709" s="290"/>
      <c r="P709" s="290"/>
      <c r="Q709" s="290"/>
      <c r="R709" s="290"/>
      <c r="S709" s="290"/>
      <c r="T709" s="290"/>
      <c r="U709" s="290"/>
      <c r="V709" s="290"/>
      <c r="W709" s="290"/>
      <c r="X709" s="290"/>
      <c r="Y709" s="290"/>
      <c r="Z709" s="290"/>
      <c r="AA709" s="290"/>
      <c r="AB709" s="290"/>
      <c r="AC709" s="290"/>
      <c r="AD709" s="290"/>
      <c r="AE709" s="290"/>
      <c r="AF709" s="290"/>
      <c r="AG709" s="290"/>
      <c r="AH709" s="290"/>
      <c r="AI709" s="290"/>
      <c r="AJ709" s="290"/>
      <c r="AK709" s="290"/>
    </row>
    <row r="710" spans="11:37" x14ac:dyDescent="0.2">
      <c r="K710" s="290"/>
      <c r="L710" s="290"/>
      <c r="M710" s="290"/>
      <c r="N710" s="290"/>
      <c r="O710" s="290"/>
      <c r="P710" s="290"/>
      <c r="Q710" s="290"/>
      <c r="R710" s="290"/>
      <c r="S710" s="290"/>
      <c r="T710" s="290"/>
      <c r="U710" s="290"/>
      <c r="V710" s="290"/>
      <c r="W710" s="290"/>
      <c r="X710" s="290"/>
      <c r="Y710" s="290"/>
      <c r="Z710" s="290"/>
      <c r="AA710" s="290"/>
      <c r="AB710" s="290"/>
      <c r="AC710" s="290"/>
      <c r="AD710" s="290"/>
      <c r="AE710" s="290"/>
      <c r="AF710" s="290"/>
      <c r="AG710" s="290"/>
      <c r="AH710" s="290"/>
      <c r="AI710" s="290"/>
      <c r="AJ710" s="290"/>
      <c r="AK710" s="290"/>
    </row>
    <row r="711" spans="11:37" x14ac:dyDescent="0.2">
      <c r="K711" s="290"/>
      <c r="L711" s="290"/>
      <c r="M711" s="290"/>
      <c r="N711" s="290"/>
      <c r="O711" s="290"/>
      <c r="P711" s="290"/>
      <c r="Q711" s="290"/>
      <c r="R711" s="290"/>
      <c r="S711" s="290"/>
      <c r="T711" s="290"/>
      <c r="U711" s="290"/>
      <c r="V711" s="290"/>
      <c r="W711" s="290"/>
      <c r="X711" s="290"/>
      <c r="Y711" s="290"/>
      <c r="Z711" s="290"/>
      <c r="AA711" s="290"/>
      <c r="AB711" s="290"/>
      <c r="AC711" s="290"/>
      <c r="AD711" s="290"/>
      <c r="AE711" s="290"/>
      <c r="AF711" s="290"/>
      <c r="AG711" s="290"/>
      <c r="AH711" s="290"/>
      <c r="AI711" s="290"/>
      <c r="AJ711" s="290"/>
      <c r="AK711" s="290"/>
    </row>
    <row r="712" spans="11:37" x14ac:dyDescent="0.2">
      <c r="K712" s="290"/>
      <c r="L712" s="290"/>
      <c r="M712" s="290"/>
      <c r="N712" s="290"/>
      <c r="O712" s="290"/>
      <c r="P712" s="290"/>
      <c r="Q712" s="290"/>
      <c r="R712" s="290"/>
      <c r="S712" s="290"/>
      <c r="T712" s="290"/>
      <c r="U712" s="290"/>
      <c r="V712" s="290"/>
      <c r="W712" s="290"/>
      <c r="X712" s="290"/>
      <c r="Y712" s="290"/>
      <c r="Z712" s="290"/>
      <c r="AA712" s="290"/>
      <c r="AB712" s="290"/>
      <c r="AC712" s="290"/>
      <c r="AD712" s="290"/>
      <c r="AE712" s="290"/>
      <c r="AF712" s="290"/>
      <c r="AG712" s="290"/>
      <c r="AH712" s="290"/>
      <c r="AI712" s="290"/>
      <c r="AJ712" s="290"/>
      <c r="AK712" s="290"/>
    </row>
    <row r="713" spans="11:37" x14ac:dyDescent="0.2">
      <c r="K713" s="290"/>
      <c r="L713" s="290"/>
      <c r="M713" s="290"/>
      <c r="N713" s="290"/>
      <c r="O713" s="290"/>
      <c r="P713" s="290"/>
      <c r="Q713" s="290"/>
      <c r="R713" s="290"/>
      <c r="S713" s="290"/>
      <c r="T713" s="290"/>
      <c r="U713" s="290"/>
      <c r="V713" s="290"/>
      <c r="W713" s="290"/>
      <c r="X713" s="290"/>
      <c r="Y713" s="290"/>
      <c r="Z713" s="290"/>
      <c r="AA713" s="290"/>
      <c r="AB713" s="290"/>
      <c r="AC713" s="290"/>
      <c r="AD713" s="290"/>
      <c r="AE713" s="290"/>
      <c r="AF713" s="290"/>
      <c r="AG713" s="290"/>
      <c r="AH713" s="290"/>
      <c r="AI713" s="290"/>
      <c r="AJ713" s="290"/>
      <c r="AK713" s="290"/>
    </row>
    <row r="714" spans="11:37" x14ac:dyDescent="0.2">
      <c r="K714" s="290"/>
      <c r="L714" s="290"/>
      <c r="M714" s="290"/>
      <c r="N714" s="290"/>
      <c r="O714" s="290"/>
      <c r="P714" s="290"/>
      <c r="Q714" s="290"/>
      <c r="R714" s="290"/>
      <c r="S714" s="290"/>
      <c r="T714" s="290"/>
      <c r="U714" s="290"/>
      <c r="V714" s="290"/>
      <c r="W714" s="290"/>
      <c r="X714" s="290"/>
      <c r="Y714" s="290"/>
      <c r="Z714" s="290"/>
      <c r="AA714" s="290"/>
      <c r="AB714" s="290"/>
      <c r="AC714" s="290"/>
      <c r="AD714" s="290"/>
      <c r="AE714" s="290"/>
      <c r="AF714" s="290"/>
      <c r="AG714" s="290"/>
      <c r="AH714" s="290"/>
      <c r="AI714" s="290"/>
      <c r="AJ714" s="290"/>
      <c r="AK714" s="290"/>
    </row>
    <row r="715" spans="11:37" x14ac:dyDescent="0.2">
      <c r="K715" s="290"/>
      <c r="L715" s="290"/>
      <c r="M715" s="290"/>
      <c r="N715" s="290"/>
      <c r="O715" s="290"/>
      <c r="P715" s="290"/>
      <c r="Q715" s="290"/>
      <c r="R715" s="290"/>
      <c r="S715" s="290"/>
      <c r="T715" s="290"/>
      <c r="U715" s="290"/>
      <c r="V715" s="290"/>
      <c r="W715" s="290"/>
      <c r="X715" s="290"/>
      <c r="Y715" s="290"/>
      <c r="Z715" s="290"/>
      <c r="AA715" s="290"/>
      <c r="AB715" s="290"/>
      <c r="AC715" s="290"/>
      <c r="AD715" s="290"/>
      <c r="AE715" s="290"/>
      <c r="AF715" s="290"/>
      <c r="AG715" s="290"/>
      <c r="AH715" s="290"/>
      <c r="AI715" s="290"/>
      <c r="AJ715" s="290"/>
      <c r="AK715" s="290"/>
    </row>
    <row r="716" spans="11:37" x14ac:dyDescent="0.2">
      <c r="K716" s="290"/>
      <c r="L716" s="290"/>
      <c r="M716" s="290"/>
      <c r="N716" s="290"/>
      <c r="O716" s="290"/>
      <c r="P716" s="290"/>
      <c r="Q716" s="290"/>
      <c r="R716" s="290"/>
      <c r="S716" s="290"/>
      <c r="T716" s="290"/>
      <c r="U716" s="290"/>
      <c r="V716" s="290"/>
      <c r="W716" s="290"/>
      <c r="X716" s="290"/>
      <c r="Y716" s="290"/>
      <c r="Z716" s="290"/>
      <c r="AA716" s="290"/>
      <c r="AB716" s="290"/>
      <c r="AC716" s="290"/>
      <c r="AD716" s="290"/>
      <c r="AE716" s="290"/>
      <c r="AF716" s="290"/>
      <c r="AG716" s="290"/>
      <c r="AH716" s="290"/>
      <c r="AI716" s="290"/>
      <c r="AJ716" s="290"/>
      <c r="AK716" s="290"/>
    </row>
    <row r="717" spans="11:37" x14ac:dyDescent="0.2">
      <c r="K717" s="290"/>
      <c r="L717" s="290"/>
      <c r="M717" s="290"/>
      <c r="N717" s="290"/>
      <c r="O717" s="290"/>
      <c r="P717" s="290"/>
      <c r="Q717" s="290"/>
      <c r="R717" s="290"/>
      <c r="S717" s="290"/>
      <c r="T717" s="290"/>
      <c r="U717" s="290"/>
      <c r="V717" s="290"/>
      <c r="W717" s="290"/>
      <c r="X717" s="290"/>
      <c r="Y717" s="290"/>
      <c r="Z717" s="290"/>
      <c r="AA717" s="290"/>
      <c r="AB717" s="290"/>
      <c r="AC717" s="290"/>
      <c r="AD717" s="290"/>
      <c r="AE717" s="290"/>
      <c r="AF717" s="290"/>
      <c r="AG717" s="290"/>
      <c r="AH717" s="290"/>
      <c r="AI717" s="290"/>
      <c r="AJ717" s="290"/>
      <c r="AK717" s="290"/>
    </row>
    <row r="718" spans="11:37" x14ac:dyDescent="0.2">
      <c r="K718" s="290"/>
      <c r="L718" s="290"/>
      <c r="M718" s="290"/>
      <c r="N718" s="290"/>
      <c r="O718" s="290"/>
      <c r="P718" s="290"/>
      <c r="Q718" s="290"/>
      <c r="R718" s="290"/>
      <c r="S718" s="290"/>
      <c r="T718" s="290"/>
      <c r="U718" s="290"/>
      <c r="V718" s="290"/>
      <c r="W718" s="290"/>
      <c r="X718" s="290"/>
      <c r="Y718" s="290"/>
      <c r="Z718" s="290"/>
      <c r="AA718" s="290"/>
      <c r="AB718" s="290"/>
      <c r="AC718" s="290"/>
      <c r="AD718" s="290"/>
      <c r="AE718" s="290"/>
      <c r="AF718" s="290"/>
      <c r="AG718" s="290"/>
      <c r="AH718" s="290"/>
      <c r="AI718" s="290"/>
      <c r="AJ718" s="290"/>
      <c r="AK718" s="290"/>
    </row>
    <row r="719" spans="11:37" x14ac:dyDescent="0.2">
      <c r="K719" s="290"/>
      <c r="L719" s="290"/>
      <c r="M719" s="290"/>
      <c r="N719" s="290"/>
      <c r="O719" s="290"/>
      <c r="P719" s="290"/>
      <c r="Q719" s="290"/>
      <c r="R719" s="290"/>
      <c r="S719" s="290"/>
      <c r="T719" s="290"/>
      <c r="U719" s="290"/>
      <c r="V719" s="290"/>
      <c r="W719" s="290"/>
      <c r="X719" s="290"/>
      <c r="Y719" s="290"/>
      <c r="Z719" s="290"/>
      <c r="AA719" s="290"/>
      <c r="AB719" s="290"/>
      <c r="AC719" s="290"/>
      <c r="AD719" s="290"/>
      <c r="AE719" s="290"/>
      <c r="AF719" s="290"/>
      <c r="AG719" s="290"/>
      <c r="AH719" s="290"/>
      <c r="AI719" s="290"/>
      <c r="AJ719" s="290"/>
      <c r="AK719" s="290"/>
    </row>
    <row r="720" spans="11:37" x14ac:dyDescent="0.2">
      <c r="K720" s="290"/>
      <c r="L720" s="290"/>
      <c r="M720" s="290"/>
      <c r="N720" s="290"/>
      <c r="O720" s="290"/>
      <c r="P720" s="290"/>
      <c r="Q720" s="290"/>
      <c r="R720" s="290"/>
      <c r="S720" s="290"/>
      <c r="T720" s="290"/>
      <c r="U720" s="290"/>
      <c r="V720" s="290"/>
      <c r="W720" s="290"/>
      <c r="X720" s="290"/>
      <c r="Y720" s="290"/>
      <c r="Z720" s="290"/>
      <c r="AA720" s="290"/>
      <c r="AB720" s="290"/>
      <c r="AC720" s="290"/>
      <c r="AD720" s="290"/>
      <c r="AE720" s="290"/>
      <c r="AF720" s="290"/>
      <c r="AG720" s="290"/>
      <c r="AH720" s="290"/>
      <c r="AI720" s="290"/>
      <c r="AJ720" s="290"/>
      <c r="AK720" s="290"/>
    </row>
    <row r="721" spans="11:37" x14ac:dyDescent="0.2">
      <c r="K721" s="290"/>
      <c r="L721" s="290"/>
      <c r="M721" s="290"/>
      <c r="N721" s="290"/>
      <c r="O721" s="290"/>
      <c r="P721" s="290"/>
      <c r="Q721" s="290"/>
      <c r="R721" s="290"/>
      <c r="S721" s="290"/>
      <c r="T721" s="290"/>
      <c r="U721" s="290"/>
      <c r="V721" s="290"/>
      <c r="W721" s="290"/>
      <c r="X721" s="290"/>
      <c r="Y721" s="290"/>
      <c r="Z721" s="290"/>
      <c r="AA721" s="290"/>
      <c r="AB721" s="290"/>
      <c r="AC721" s="290"/>
      <c r="AD721" s="290"/>
      <c r="AE721" s="290"/>
      <c r="AF721" s="290"/>
      <c r="AG721" s="290"/>
      <c r="AH721" s="290"/>
      <c r="AI721" s="290"/>
      <c r="AJ721" s="290"/>
      <c r="AK721" s="290"/>
    </row>
    <row r="722" spans="11:37" x14ac:dyDescent="0.2">
      <c r="K722" s="290"/>
      <c r="L722" s="290"/>
      <c r="M722" s="290"/>
      <c r="N722" s="290"/>
      <c r="O722" s="290"/>
      <c r="P722" s="290"/>
      <c r="Q722" s="290"/>
      <c r="R722" s="290"/>
      <c r="S722" s="290"/>
      <c r="T722" s="290"/>
      <c r="U722" s="290"/>
      <c r="V722" s="290"/>
      <c r="W722" s="290"/>
      <c r="X722" s="290"/>
      <c r="Y722" s="290"/>
      <c r="Z722" s="290"/>
      <c r="AA722" s="290"/>
      <c r="AB722" s="290"/>
      <c r="AC722" s="290"/>
      <c r="AD722" s="290"/>
      <c r="AE722" s="290"/>
      <c r="AF722" s="290"/>
      <c r="AG722" s="290"/>
      <c r="AH722" s="290"/>
      <c r="AI722" s="290"/>
      <c r="AJ722" s="290"/>
      <c r="AK722" s="290"/>
    </row>
    <row r="723" spans="11:37" x14ac:dyDescent="0.2">
      <c r="K723" s="290"/>
      <c r="L723" s="290"/>
      <c r="M723" s="290"/>
      <c r="N723" s="290"/>
      <c r="O723" s="290"/>
      <c r="P723" s="290"/>
      <c r="Q723" s="290"/>
      <c r="R723" s="290"/>
      <c r="S723" s="290"/>
      <c r="T723" s="290"/>
      <c r="U723" s="290"/>
      <c r="V723" s="290"/>
      <c r="W723" s="290"/>
      <c r="X723" s="290"/>
      <c r="Y723" s="290"/>
      <c r="Z723" s="290"/>
      <c r="AA723" s="290"/>
      <c r="AB723" s="290"/>
      <c r="AC723" s="290"/>
      <c r="AD723" s="290"/>
      <c r="AE723" s="290"/>
      <c r="AF723" s="290"/>
      <c r="AG723" s="290"/>
      <c r="AH723" s="290"/>
      <c r="AI723" s="290"/>
      <c r="AJ723" s="290"/>
      <c r="AK723" s="290"/>
    </row>
    <row r="724" spans="11:37" x14ac:dyDescent="0.2">
      <c r="K724" s="290"/>
      <c r="L724" s="290"/>
      <c r="M724" s="290"/>
      <c r="N724" s="290"/>
      <c r="O724" s="290"/>
      <c r="P724" s="290"/>
      <c r="Q724" s="290"/>
      <c r="R724" s="290"/>
      <c r="S724" s="290"/>
      <c r="T724" s="290"/>
      <c r="U724" s="290"/>
      <c r="V724" s="290"/>
      <c r="W724" s="290"/>
      <c r="X724" s="290"/>
      <c r="Y724" s="290"/>
      <c r="Z724" s="290"/>
      <c r="AA724" s="290"/>
      <c r="AB724" s="290"/>
      <c r="AC724" s="290"/>
      <c r="AD724" s="290"/>
      <c r="AE724" s="290"/>
      <c r="AF724" s="290"/>
      <c r="AG724" s="290"/>
      <c r="AH724" s="290"/>
      <c r="AI724" s="290"/>
      <c r="AJ724" s="290"/>
      <c r="AK724" s="290"/>
    </row>
    <row r="725" spans="11:37" x14ac:dyDescent="0.2">
      <c r="K725" s="290"/>
      <c r="L725" s="290"/>
      <c r="M725" s="290"/>
      <c r="N725" s="290"/>
      <c r="O725" s="290"/>
      <c r="P725" s="290"/>
      <c r="Q725" s="290"/>
      <c r="R725" s="290"/>
      <c r="S725" s="290"/>
      <c r="T725" s="290"/>
      <c r="U725" s="290"/>
      <c r="V725" s="290"/>
      <c r="W725" s="290"/>
      <c r="X725" s="290"/>
      <c r="Y725" s="290"/>
      <c r="Z725" s="290"/>
      <c r="AA725" s="290"/>
      <c r="AB725" s="290"/>
      <c r="AC725" s="290"/>
      <c r="AD725" s="290"/>
      <c r="AE725" s="290"/>
      <c r="AF725" s="290"/>
      <c r="AG725" s="290"/>
      <c r="AH725" s="290"/>
      <c r="AI725" s="290"/>
      <c r="AJ725" s="290"/>
      <c r="AK725" s="290"/>
    </row>
    <row r="726" spans="11:37" x14ac:dyDescent="0.2">
      <c r="K726" s="290"/>
      <c r="L726" s="290"/>
      <c r="M726" s="290"/>
      <c r="N726" s="290"/>
      <c r="O726" s="290"/>
      <c r="P726" s="290"/>
      <c r="Q726" s="290"/>
      <c r="R726" s="290"/>
      <c r="S726" s="290"/>
      <c r="T726" s="290"/>
      <c r="U726" s="290"/>
      <c r="V726" s="290"/>
      <c r="W726" s="290"/>
      <c r="X726" s="290"/>
      <c r="Y726" s="290"/>
      <c r="Z726" s="290"/>
      <c r="AA726" s="290"/>
      <c r="AB726" s="290"/>
      <c r="AC726" s="290"/>
      <c r="AD726" s="290"/>
      <c r="AE726" s="290"/>
      <c r="AF726" s="290"/>
      <c r="AG726" s="290"/>
      <c r="AH726" s="290"/>
      <c r="AI726" s="290"/>
      <c r="AJ726" s="290"/>
      <c r="AK726" s="290"/>
    </row>
    <row r="727" spans="11:37" x14ac:dyDescent="0.2">
      <c r="K727" s="290"/>
      <c r="L727" s="290"/>
      <c r="M727" s="290"/>
      <c r="N727" s="290"/>
      <c r="O727" s="290"/>
      <c r="P727" s="290"/>
      <c r="Q727" s="290"/>
      <c r="R727" s="290"/>
      <c r="S727" s="290"/>
      <c r="T727" s="290"/>
      <c r="U727" s="290"/>
      <c r="V727" s="290"/>
      <c r="W727" s="290"/>
      <c r="X727" s="290"/>
      <c r="Y727" s="290"/>
      <c r="Z727" s="290"/>
      <c r="AA727" s="290"/>
      <c r="AB727" s="290"/>
      <c r="AC727" s="290"/>
      <c r="AD727" s="290"/>
      <c r="AE727" s="290"/>
      <c r="AF727" s="290"/>
      <c r="AG727" s="290"/>
      <c r="AH727" s="290"/>
      <c r="AI727" s="290"/>
      <c r="AJ727" s="290"/>
      <c r="AK727" s="290"/>
    </row>
    <row r="728" spans="11:37" x14ac:dyDescent="0.2">
      <c r="K728" s="290"/>
      <c r="L728" s="290"/>
      <c r="M728" s="290"/>
      <c r="N728" s="290"/>
      <c r="O728" s="290"/>
      <c r="P728" s="290"/>
      <c r="Q728" s="290"/>
      <c r="R728" s="290"/>
      <c r="S728" s="290"/>
      <c r="T728" s="290"/>
      <c r="U728" s="290"/>
      <c r="V728" s="290"/>
      <c r="W728" s="290"/>
      <c r="X728" s="290"/>
      <c r="Y728" s="290"/>
      <c r="Z728" s="290"/>
      <c r="AA728" s="290"/>
      <c r="AB728" s="290"/>
      <c r="AC728" s="290"/>
      <c r="AD728" s="290"/>
      <c r="AE728" s="290"/>
      <c r="AF728" s="290"/>
      <c r="AG728" s="290"/>
      <c r="AH728" s="290"/>
      <c r="AI728" s="290"/>
      <c r="AJ728" s="290"/>
      <c r="AK728" s="290"/>
    </row>
    <row r="729" spans="11:37" x14ac:dyDescent="0.2">
      <c r="K729" s="290"/>
      <c r="L729" s="290"/>
      <c r="M729" s="290"/>
      <c r="N729" s="290"/>
      <c r="O729" s="290"/>
      <c r="P729" s="290"/>
      <c r="Q729" s="290"/>
      <c r="R729" s="290"/>
      <c r="S729" s="290"/>
      <c r="T729" s="290"/>
      <c r="U729" s="290"/>
      <c r="V729" s="290"/>
      <c r="W729" s="290"/>
      <c r="X729" s="290"/>
      <c r="Y729" s="290"/>
      <c r="Z729" s="290"/>
      <c r="AA729" s="290"/>
      <c r="AB729" s="290"/>
      <c r="AC729" s="290"/>
      <c r="AD729" s="290"/>
      <c r="AE729" s="290"/>
      <c r="AF729" s="290"/>
      <c r="AG729" s="290"/>
      <c r="AH729" s="290"/>
      <c r="AI729" s="290"/>
      <c r="AJ729" s="290"/>
      <c r="AK729" s="290"/>
    </row>
    <row r="730" spans="11:37" x14ac:dyDescent="0.2">
      <c r="K730" s="290"/>
      <c r="L730" s="290"/>
      <c r="M730" s="290"/>
      <c r="N730" s="290"/>
      <c r="O730" s="290"/>
      <c r="P730" s="290"/>
      <c r="Q730" s="290"/>
      <c r="R730" s="290"/>
      <c r="S730" s="290"/>
      <c r="T730" s="290"/>
      <c r="U730" s="290"/>
      <c r="V730" s="290"/>
      <c r="W730" s="290"/>
      <c r="X730" s="290"/>
      <c r="Y730" s="290"/>
      <c r="Z730" s="290"/>
      <c r="AA730" s="290"/>
      <c r="AB730" s="290"/>
      <c r="AC730" s="290"/>
      <c r="AD730" s="290"/>
      <c r="AE730" s="290"/>
      <c r="AF730" s="290"/>
      <c r="AG730" s="290"/>
      <c r="AH730" s="290"/>
      <c r="AI730" s="290"/>
      <c r="AJ730" s="290"/>
      <c r="AK730" s="290"/>
    </row>
    <row r="731" spans="11:37" x14ac:dyDescent="0.2">
      <c r="K731" s="290"/>
      <c r="L731" s="290"/>
      <c r="M731" s="290"/>
      <c r="N731" s="290"/>
      <c r="O731" s="290"/>
      <c r="P731" s="290"/>
      <c r="Q731" s="290"/>
      <c r="R731" s="290"/>
      <c r="S731" s="290"/>
      <c r="T731" s="290"/>
      <c r="U731" s="290"/>
      <c r="V731" s="290"/>
      <c r="W731" s="290"/>
      <c r="X731" s="290"/>
      <c r="Y731" s="290"/>
      <c r="Z731" s="290"/>
      <c r="AA731" s="290"/>
      <c r="AB731" s="290"/>
      <c r="AC731" s="290"/>
      <c r="AD731" s="290"/>
      <c r="AE731" s="290"/>
      <c r="AF731" s="290"/>
      <c r="AG731" s="290"/>
      <c r="AH731" s="290"/>
      <c r="AI731" s="290"/>
      <c r="AJ731" s="290"/>
      <c r="AK731" s="290"/>
    </row>
    <row r="732" spans="11:37" x14ac:dyDescent="0.2">
      <c r="K732" s="290"/>
      <c r="L732" s="290"/>
      <c r="M732" s="290"/>
      <c r="N732" s="290"/>
      <c r="O732" s="290"/>
      <c r="P732" s="290"/>
      <c r="Q732" s="290"/>
      <c r="R732" s="290"/>
      <c r="S732" s="290"/>
      <c r="T732" s="290"/>
      <c r="U732" s="290"/>
      <c r="V732" s="290"/>
      <c r="W732" s="290"/>
      <c r="X732" s="290"/>
      <c r="Y732" s="290"/>
      <c r="Z732" s="290"/>
      <c r="AA732" s="290"/>
      <c r="AB732" s="290"/>
      <c r="AC732" s="290"/>
      <c r="AD732" s="290"/>
      <c r="AE732" s="290"/>
      <c r="AF732" s="290"/>
      <c r="AG732" s="290"/>
      <c r="AH732" s="290"/>
      <c r="AI732" s="290"/>
      <c r="AJ732" s="290"/>
      <c r="AK732" s="290"/>
    </row>
    <row r="733" spans="11:37" x14ac:dyDescent="0.2">
      <c r="K733" s="290"/>
      <c r="L733" s="290"/>
      <c r="M733" s="290"/>
      <c r="N733" s="290"/>
      <c r="O733" s="290"/>
      <c r="P733" s="290"/>
      <c r="Q733" s="290"/>
      <c r="R733" s="290"/>
      <c r="S733" s="290"/>
      <c r="T733" s="290"/>
      <c r="U733" s="290"/>
      <c r="V733" s="290"/>
      <c r="W733" s="290"/>
      <c r="X733" s="290"/>
      <c r="Y733" s="290"/>
      <c r="Z733" s="290"/>
      <c r="AA733" s="290"/>
      <c r="AB733" s="290"/>
      <c r="AC733" s="290"/>
      <c r="AD733" s="290"/>
      <c r="AE733" s="290"/>
      <c r="AF733" s="290"/>
      <c r="AG733" s="290"/>
      <c r="AH733" s="290"/>
      <c r="AI733" s="290"/>
      <c r="AJ733" s="290"/>
      <c r="AK733" s="290"/>
    </row>
    <row r="734" spans="11:37" x14ac:dyDescent="0.2">
      <c r="K734" s="290"/>
      <c r="L734" s="290"/>
      <c r="M734" s="290"/>
      <c r="N734" s="290"/>
      <c r="O734" s="290"/>
      <c r="P734" s="290"/>
      <c r="Q734" s="290"/>
      <c r="R734" s="290"/>
      <c r="S734" s="290"/>
      <c r="T734" s="290"/>
      <c r="U734" s="290"/>
      <c r="V734" s="290"/>
      <c r="W734" s="290"/>
      <c r="X734" s="290"/>
      <c r="Y734" s="290"/>
      <c r="Z734" s="290"/>
      <c r="AA734" s="290"/>
      <c r="AB734" s="290"/>
      <c r="AC734" s="290"/>
      <c r="AD734" s="290"/>
      <c r="AE734" s="290"/>
      <c r="AF734" s="290"/>
      <c r="AG734" s="290"/>
      <c r="AH734" s="290"/>
      <c r="AI734" s="290"/>
      <c r="AJ734" s="290"/>
      <c r="AK734" s="290"/>
    </row>
    <row r="735" spans="11:37" x14ac:dyDescent="0.2">
      <c r="K735" s="290"/>
      <c r="L735" s="290"/>
      <c r="M735" s="290"/>
      <c r="N735" s="290"/>
      <c r="O735" s="290"/>
      <c r="P735" s="290"/>
      <c r="Q735" s="290"/>
      <c r="R735" s="290"/>
      <c r="S735" s="290"/>
      <c r="T735" s="290"/>
      <c r="U735" s="290"/>
      <c r="V735" s="290"/>
      <c r="W735" s="290"/>
      <c r="X735" s="290"/>
      <c r="Y735" s="290"/>
      <c r="Z735" s="290"/>
      <c r="AA735" s="290"/>
      <c r="AB735" s="290"/>
      <c r="AC735" s="290"/>
      <c r="AD735" s="290"/>
      <c r="AE735" s="290"/>
      <c r="AF735" s="290"/>
      <c r="AG735" s="290"/>
      <c r="AH735" s="290"/>
      <c r="AI735" s="290"/>
      <c r="AJ735" s="290"/>
      <c r="AK735" s="290"/>
    </row>
    <row r="736" spans="11:37" x14ac:dyDescent="0.2">
      <c r="K736" s="290"/>
      <c r="L736" s="290"/>
      <c r="M736" s="290"/>
      <c r="N736" s="290"/>
      <c r="O736" s="290"/>
      <c r="P736" s="290"/>
      <c r="Q736" s="290"/>
      <c r="R736" s="290"/>
      <c r="S736" s="290"/>
      <c r="T736" s="290"/>
      <c r="U736" s="290"/>
      <c r="V736" s="290"/>
      <c r="W736" s="290"/>
      <c r="X736" s="290"/>
      <c r="Y736" s="290"/>
      <c r="Z736" s="290"/>
      <c r="AA736" s="290"/>
      <c r="AB736" s="290"/>
      <c r="AC736" s="290"/>
      <c r="AD736" s="290"/>
      <c r="AE736" s="290"/>
      <c r="AF736" s="290"/>
      <c r="AG736" s="290"/>
      <c r="AH736" s="290"/>
      <c r="AI736" s="290"/>
      <c r="AJ736" s="290"/>
      <c r="AK736" s="290"/>
    </row>
    <row r="737" spans="11:37" x14ac:dyDescent="0.2">
      <c r="K737" s="290"/>
      <c r="L737" s="290"/>
      <c r="M737" s="290"/>
      <c r="N737" s="290"/>
      <c r="O737" s="290"/>
      <c r="P737" s="290"/>
      <c r="Q737" s="290"/>
      <c r="R737" s="290"/>
      <c r="S737" s="290"/>
      <c r="T737" s="290"/>
      <c r="U737" s="290"/>
      <c r="V737" s="290"/>
      <c r="W737" s="290"/>
      <c r="X737" s="290"/>
      <c r="Y737" s="290"/>
      <c r="Z737" s="290"/>
      <c r="AA737" s="290"/>
      <c r="AB737" s="290"/>
      <c r="AC737" s="290"/>
      <c r="AD737" s="290"/>
      <c r="AE737" s="290"/>
      <c r="AF737" s="290"/>
      <c r="AG737" s="290"/>
      <c r="AH737" s="290"/>
      <c r="AI737" s="290"/>
      <c r="AJ737" s="290"/>
      <c r="AK737" s="290"/>
    </row>
    <row r="738" spans="11:37" x14ac:dyDescent="0.2">
      <c r="K738" s="290"/>
      <c r="L738" s="290"/>
      <c r="M738" s="290"/>
      <c r="N738" s="290"/>
      <c r="O738" s="290"/>
      <c r="P738" s="290"/>
      <c r="Q738" s="290"/>
      <c r="R738" s="290"/>
      <c r="S738" s="290"/>
      <c r="T738" s="290"/>
      <c r="U738" s="290"/>
      <c r="V738" s="290"/>
      <c r="W738" s="290"/>
      <c r="X738" s="290"/>
      <c r="Y738" s="290"/>
      <c r="Z738" s="290"/>
      <c r="AA738" s="290"/>
      <c r="AB738" s="290"/>
      <c r="AC738" s="290"/>
      <c r="AD738" s="290"/>
      <c r="AE738" s="290"/>
      <c r="AF738" s="290"/>
      <c r="AG738" s="290"/>
      <c r="AH738" s="290"/>
      <c r="AI738" s="290"/>
      <c r="AJ738" s="290"/>
      <c r="AK738" s="290"/>
    </row>
  </sheetData>
  <sheetProtection deleteRows="0"/>
  <mergeCells count="9">
    <mergeCell ref="O1:P1"/>
    <mergeCell ref="T1:U1"/>
    <mergeCell ref="R1:S1"/>
    <mergeCell ref="B33:E33"/>
    <mergeCell ref="A1:E1"/>
    <mergeCell ref="G1:J1"/>
    <mergeCell ref="M1:N1"/>
    <mergeCell ref="B31:E31"/>
    <mergeCell ref="B32:E32"/>
  </mergeCells>
  <pageMargins left="0.70866141732283472" right="0.70866141732283472" top="0.74803149606299213" bottom="0.74803149606299213" header="0.31496062992125984" footer="0.31496062992125984"/>
  <pageSetup paperSize="9" scale="90" orientation="landscape" horizontalDpi="360" verticalDpi="360" r:id="rId1"/>
  <colBreaks count="1" manualBreakCount="1">
    <brk id="11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15"/>
  <dimension ref="A1:AK747"/>
  <sheetViews>
    <sheetView rightToLeft="1" zoomScaleNormal="100" workbookViewId="0">
      <pane ySplit="2" topLeftCell="A3" activePane="bottomLeft" state="frozen"/>
      <selection activeCell="AL8" sqref="AL8"/>
      <selection pane="bottomLeft" activeCell="AL8" sqref="AL8"/>
    </sheetView>
  </sheetViews>
  <sheetFormatPr defaultRowHeight="12.75" x14ac:dyDescent="0.2"/>
  <cols>
    <col min="1" max="1" width="7" style="292" customWidth="1"/>
    <col min="2" max="2" width="17.5703125" style="292" customWidth="1"/>
    <col min="3" max="3" width="21.7109375" style="292" customWidth="1"/>
    <col min="4" max="4" width="21.5703125" style="292" customWidth="1"/>
    <col min="5" max="5" width="21.28515625" style="292" customWidth="1"/>
    <col min="6" max="6" width="17.7109375" style="292" customWidth="1"/>
    <col min="7" max="7" width="10.7109375" style="292" customWidth="1"/>
    <col min="8" max="8" width="3.7109375" style="292" customWidth="1"/>
    <col min="9" max="9" width="10.7109375" style="292" customWidth="1"/>
    <col min="10" max="10" width="12.28515625" style="292" customWidth="1"/>
    <col min="11" max="11" width="8.140625" style="321" customWidth="1"/>
    <col min="12" max="12" width="9.140625" style="292"/>
    <col min="13" max="13" width="58.5703125" style="292" customWidth="1"/>
    <col min="14" max="16384" width="9.140625" style="292"/>
  </cols>
  <sheetData>
    <row r="1" spans="1:37" ht="57" customHeight="1" thickBot="1" x14ac:dyDescent="0.25">
      <c r="A1" s="1090" t="s">
        <v>779</v>
      </c>
      <c r="B1" s="1090"/>
      <c r="C1" s="1090"/>
      <c r="D1" s="1090"/>
      <c r="E1" s="1090"/>
      <c r="F1" s="1090"/>
      <c r="G1" s="1090"/>
      <c r="H1" s="290"/>
      <c r="I1" s="289">
        <f>INT('נתוני יסוד'!B5)</f>
        <v>65</v>
      </c>
      <c r="J1" s="290"/>
      <c r="K1" s="290"/>
      <c r="L1" s="291"/>
      <c r="M1" s="1092"/>
      <c r="N1" s="1092"/>
      <c r="O1" s="290"/>
      <c r="P1" s="290"/>
      <c r="Q1" s="290"/>
      <c r="R1" s="290"/>
      <c r="S1" s="290"/>
      <c r="T1" s="290"/>
      <c r="U1" s="290"/>
      <c r="V1" s="290"/>
      <c r="W1" s="290"/>
      <c r="X1" s="290"/>
      <c r="Y1" s="290"/>
      <c r="Z1" s="290"/>
      <c r="AA1" s="290"/>
      <c r="AB1" s="290"/>
      <c r="AC1" s="290"/>
      <c r="AD1" s="290"/>
      <c r="AE1" s="290"/>
      <c r="AF1" s="290"/>
      <c r="AG1" s="290"/>
      <c r="AH1" s="290"/>
      <c r="AI1" s="290"/>
      <c r="AJ1" s="290"/>
      <c r="AK1" s="290"/>
    </row>
    <row r="2" spans="1:37" s="297" customFormat="1" ht="57" customHeight="1" thickBot="1" x14ac:dyDescent="0.25">
      <c r="A2" s="184" t="s">
        <v>493</v>
      </c>
      <c r="B2" s="293" t="s">
        <v>494</v>
      </c>
      <c r="C2" s="293" t="s">
        <v>228</v>
      </c>
      <c r="D2" s="293" t="s">
        <v>495</v>
      </c>
      <c r="E2" s="184" t="s">
        <v>496</v>
      </c>
      <c r="F2" s="293" t="s">
        <v>497</v>
      </c>
      <c r="G2" s="184" t="s">
        <v>619</v>
      </c>
      <c r="H2" s="293" t="s">
        <v>620</v>
      </c>
      <c r="I2" s="597" t="s">
        <v>264</v>
      </c>
      <c r="J2" s="158" t="s">
        <v>780</v>
      </c>
      <c r="K2" s="294" t="s">
        <v>502</v>
      </c>
      <c r="L2" s="598"/>
      <c r="M2" s="598"/>
      <c r="N2" s="598"/>
      <c r="O2" s="598"/>
      <c r="P2" s="598"/>
      <c r="Q2" s="598"/>
      <c r="R2" s="598"/>
      <c r="S2" s="598"/>
      <c r="T2" s="598"/>
      <c r="U2" s="598"/>
      <c r="V2" s="598"/>
      <c r="W2" s="598"/>
      <c r="X2" s="598"/>
      <c r="Y2" s="598"/>
      <c r="Z2" s="596"/>
      <c r="AA2" s="596"/>
      <c r="AB2" s="596"/>
      <c r="AC2" s="596"/>
      <c r="AD2" s="596"/>
      <c r="AE2" s="596"/>
      <c r="AF2" s="596"/>
      <c r="AG2" s="596"/>
      <c r="AH2" s="596"/>
      <c r="AI2" s="596"/>
      <c r="AJ2" s="596"/>
      <c r="AK2" s="596"/>
    </row>
    <row r="3" spans="1:37" s="302" customFormat="1" ht="50.1" customHeight="1" x14ac:dyDescent="0.3">
      <c r="A3" s="164">
        <f>IF(main!A9&gt;0,main!A9,"")</f>
        <v>1</v>
      </c>
      <c r="B3" s="165" t="str">
        <f>IF(main!A9&gt;0,main!B9,"")</f>
        <v>1595222</v>
      </c>
      <c r="C3" s="164" t="str">
        <f>IF(main!A9&gt;0,main!D9,"")</f>
        <v>כלל</v>
      </c>
      <c r="D3" s="164">
        <f>IF(main!A9&gt;0,main!E9,"")</f>
        <v>0</v>
      </c>
      <c r="E3" s="164">
        <f>IF(main!A9&gt;0,main!C9,"")</f>
        <v>0</v>
      </c>
      <c r="F3" s="298" t="str">
        <f>IF(main!A9&gt;0,main!R9,"")</f>
        <v>01/01/1900</v>
      </c>
      <c r="G3" s="164">
        <f>main!BG9</f>
        <v>0</v>
      </c>
      <c r="H3" s="164" t="s">
        <v>620</v>
      </c>
      <c r="I3" s="164">
        <f>main!BK9</f>
        <v>0</v>
      </c>
      <c r="J3" s="599">
        <f>IF(I3&lt;&gt;"",IF(main!EH9=1,I3,IF('נתוני יסוד'!$B$2="אשה",I3*0.3,I3*0.6)),0)</f>
        <v>0</v>
      </c>
      <c r="K3" s="299"/>
      <c r="L3" s="300"/>
      <c r="M3" s="300"/>
      <c r="N3" s="300"/>
      <c r="O3" s="300"/>
      <c r="P3" s="301"/>
      <c r="Q3" s="301"/>
      <c r="R3" s="301"/>
      <c r="S3" s="301"/>
      <c r="T3" s="301"/>
      <c r="U3" s="301"/>
      <c r="V3" s="301"/>
      <c r="W3" s="301"/>
      <c r="X3" s="301"/>
      <c r="Y3" s="301"/>
      <c r="Z3" s="301"/>
      <c r="AA3" s="301"/>
      <c r="AB3" s="301"/>
      <c r="AC3" s="301"/>
      <c r="AD3" s="301"/>
      <c r="AE3" s="301"/>
      <c r="AF3" s="301"/>
      <c r="AG3" s="301"/>
      <c r="AH3" s="301"/>
      <c r="AI3" s="301"/>
      <c r="AJ3" s="301"/>
      <c r="AK3" s="301"/>
    </row>
    <row r="4" spans="1:37" s="302" customFormat="1" ht="50.1" customHeight="1" x14ac:dyDescent="0.3">
      <c r="A4" s="164">
        <f>IF(main!A10&gt;0,main!A10,"")</f>
        <v>2</v>
      </c>
      <c r="B4" s="165" t="str">
        <f>IF(main!A10&gt;0,main!B10,"")</f>
        <v>1394362</v>
      </c>
      <c r="C4" s="164" t="str">
        <f>IF(main!A10&gt;0,main!D10,"")</f>
        <v>ארם גמולים - חברה לניהול קופות גמל בע"מ</v>
      </c>
      <c r="D4" s="164" t="str">
        <f>IF(main!A10&gt;0,main!E10,"")</f>
        <v>ארם-קופת גמל לתגמולים של ארגון הרופאים עובדי מדינה</v>
      </c>
      <c r="E4" s="164" t="str">
        <f>IF(main!A10&gt;0,main!C10,"")</f>
        <v>קופת גמל</v>
      </c>
      <c r="F4" s="298" t="str">
        <f>IF(main!A10&gt;0,main!R10,"")</f>
        <v>01/11/2011</v>
      </c>
      <c r="G4" s="164">
        <f>main!BG10</f>
        <v>0</v>
      </c>
      <c r="H4" s="164" t="s">
        <v>620</v>
      </c>
      <c r="I4" s="164">
        <f>main!BK10</f>
        <v>0</v>
      </c>
      <c r="J4" s="599">
        <f>IF(I4&lt;&gt;"",IF(main!EH10=1,I4,IF('נתוני יסוד'!$B$2="אשה",I4*0.3,I4*0.6)),0)</f>
        <v>0</v>
      </c>
      <c r="K4" s="299"/>
      <c r="L4" s="300"/>
      <c r="M4" s="300"/>
      <c r="N4" s="300"/>
      <c r="O4" s="300"/>
      <c r="P4" s="301"/>
      <c r="Q4" s="301"/>
      <c r="R4" s="301"/>
      <c r="S4" s="301"/>
      <c r="T4" s="301"/>
      <c r="U4" s="301"/>
      <c r="V4" s="301"/>
      <c r="W4" s="301"/>
      <c r="X4" s="301"/>
      <c r="Y4" s="301"/>
      <c r="Z4" s="301"/>
      <c r="AA4" s="301"/>
      <c r="AB4" s="301"/>
      <c r="AC4" s="301"/>
      <c r="AD4" s="301"/>
      <c r="AE4" s="301"/>
      <c r="AF4" s="301"/>
      <c r="AG4" s="301"/>
      <c r="AH4" s="301"/>
      <c r="AI4" s="301"/>
      <c r="AJ4" s="301"/>
      <c r="AK4" s="301"/>
    </row>
    <row r="5" spans="1:37" s="302" customFormat="1" ht="50.1" customHeight="1" x14ac:dyDescent="0.3">
      <c r="A5" s="164">
        <f>IF(main!A11&gt;0,main!A11,"")</f>
        <v>3</v>
      </c>
      <c r="B5" s="165" t="str">
        <f>IF(main!A11&gt;0,main!B11,"")</f>
        <v>1394370</v>
      </c>
      <c r="C5" s="164" t="str">
        <f>IF(main!A11&gt;0,main!D11,"")</f>
        <v>ארם גמולים - חברה לניהול קופות גמל בע"מ</v>
      </c>
      <c r="D5" s="164" t="str">
        <f>IF(main!A11&gt;0,main!E11,"")</f>
        <v>ארם-קופת גמל לתגמולים של ארגון הרופאים עובדי מדינה</v>
      </c>
      <c r="E5" s="164" t="str">
        <f>IF(main!A11&gt;0,main!C11,"")</f>
        <v>קופת גמל</v>
      </c>
      <c r="F5" s="298" t="str">
        <f>IF(main!A11&gt;0,main!R11,"")</f>
        <v>02/03/2008</v>
      </c>
      <c r="G5" s="164">
        <f>main!BG11</f>
        <v>0</v>
      </c>
      <c r="H5" s="164" t="s">
        <v>620</v>
      </c>
      <c r="I5" s="164">
        <f>main!BK11</f>
        <v>0</v>
      </c>
      <c r="J5" s="599">
        <f>IF(I5&lt;&gt;"",IF(main!EH11=1,I5,IF('נתוני יסוד'!$B$2="אשה",I5*0.3,I5*0.6)),0)</f>
        <v>0</v>
      </c>
      <c r="K5" s="299"/>
      <c r="L5" s="300"/>
      <c r="M5" s="300"/>
      <c r="N5" s="300"/>
      <c r="O5" s="300"/>
      <c r="P5" s="301"/>
      <c r="Q5" s="301"/>
      <c r="R5" s="301"/>
      <c r="S5" s="301"/>
      <c r="T5" s="301"/>
      <c r="U5" s="301"/>
      <c r="V5" s="301"/>
      <c r="W5" s="301"/>
      <c r="X5" s="301"/>
      <c r="Y5" s="301"/>
      <c r="Z5" s="301"/>
      <c r="AA5" s="301"/>
      <c r="AB5" s="301"/>
      <c r="AC5" s="301"/>
      <c r="AD5" s="301"/>
      <c r="AE5" s="301"/>
      <c r="AF5" s="301"/>
      <c r="AG5" s="301"/>
      <c r="AH5" s="301"/>
      <c r="AI5" s="301"/>
      <c r="AJ5" s="301"/>
      <c r="AK5" s="301"/>
    </row>
    <row r="6" spans="1:37" s="302" customFormat="1" ht="50.1" customHeight="1" x14ac:dyDescent="0.3">
      <c r="A6" s="164">
        <f>IF(main!A12&gt;0,main!A12,"")</f>
        <v>4</v>
      </c>
      <c r="B6" s="165" t="str">
        <f>IF(main!A12&gt;0,main!B12,"")</f>
        <v>630251455</v>
      </c>
      <c r="C6" s="164" t="str">
        <f>IF(main!A12&gt;0,main!D12,"")</f>
        <v>מגדל מקפת פנסיה וגמל</v>
      </c>
      <c r="D6" s="164" t="str">
        <f>IF(main!A12&gt;0,main!E12,"")</f>
        <v>מקפת אישית</v>
      </c>
      <c r="E6" s="164" t="str">
        <f>IF(main!A12&gt;0,main!C12,"")</f>
        <v>קרן פנסיה</v>
      </c>
      <c r="F6" s="298" t="str">
        <f>IF(main!A12&gt;0,main!R12,"")</f>
        <v>02/03/2008</v>
      </c>
      <c r="G6" s="164">
        <f>main!BG12</f>
        <v>0</v>
      </c>
      <c r="H6" s="164" t="s">
        <v>620</v>
      </c>
      <c r="I6" s="164">
        <f>main!BK12</f>
        <v>0</v>
      </c>
      <c r="J6" s="599">
        <f>IF(I6&lt;&gt;"",IF(main!EH12=1,I6,IF('נתוני יסוד'!$B$2="אשה",I6*0.3,I6*0.6)),0)</f>
        <v>0</v>
      </c>
      <c r="K6" s="299"/>
      <c r="L6" s="300"/>
      <c r="M6" s="300"/>
      <c r="N6" s="300"/>
      <c r="O6" s="300"/>
      <c r="P6" s="301"/>
      <c r="Q6" s="301"/>
      <c r="R6" s="301"/>
      <c r="S6" s="301"/>
      <c r="T6" s="301"/>
      <c r="U6" s="301"/>
      <c r="V6" s="301"/>
      <c r="W6" s="301"/>
      <c r="X6" s="301"/>
      <c r="Y6" s="301"/>
      <c r="Z6" s="301"/>
      <c r="AA6" s="301"/>
      <c r="AB6" s="301"/>
      <c r="AC6" s="301"/>
      <c r="AD6" s="301"/>
      <c r="AE6" s="301"/>
      <c r="AF6" s="301"/>
      <c r="AG6" s="301"/>
      <c r="AH6" s="301"/>
      <c r="AI6" s="301"/>
      <c r="AJ6" s="301"/>
      <c r="AK6" s="301"/>
    </row>
    <row r="7" spans="1:37" s="302" customFormat="1" ht="50.1" customHeight="1" x14ac:dyDescent="0.3">
      <c r="A7" s="164">
        <f>IF(main!A13&gt;0,main!A13,"")</f>
        <v>5</v>
      </c>
      <c r="B7" s="165" t="str">
        <f>IF(main!A13&gt;0,main!B13,"")</f>
        <v>20047373</v>
      </c>
      <c r="C7" s="164" t="str">
        <f>IF(main!A13&gt;0,main!D13,"")</f>
        <v>מנורה מבטחים פנסיה וגמל בעמ</v>
      </c>
      <c r="D7" s="164" t="str">
        <f>IF(main!A13&gt;0,main!E13,"")</f>
        <v>מנורה מבטחים אמיר כללי</v>
      </c>
      <c r="E7" s="164" t="str">
        <f>IF(main!A13&gt;0,main!C13,"")</f>
        <v>קופת גמל</v>
      </c>
      <c r="F7" s="298" t="str">
        <f>IF(main!A13&gt;0,main!R13,"")</f>
        <v>01/02/2005</v>
      </c>
      <c r="G7" s="164">
        <f>main!BG13</f>
        <v>0</v>
      </c>
      <c r="H7" s="164" t="s">
        <v>620</v>
      </c>
      <c r="I7" s="164">
        <f>main!BK13</f>
        <v>0</v>
      </c>
      <c r="J7" s="599">
        <f>IF(I7&lt;&gt;"",IF(main!EH13=1,I7,IF('נתוני יסוד'!$B$2="אשה",I7*0.3,I7*0.6)),0)</f>
        <v>0</v>
      </c>
      <c r="K7" s="299"/>
      <c r="L7" s="300"/>
      <c r="M7" s="300"/>
      <c r="N7" s="300"/>
      <c r="O7" s="300"/>
      <c r="P7" s="301"/>
      <c r="Q7" s="301"/>
      <c r="R7" s="301"/>
      <c r="S7" s="301"/>
      <c r="T7" s="301"/>
      <c r="U7" s="301"/>
      <c r="V7" s="301"/>
      <c r="W7" s="301"/>
      <c r="X7" s="301"/>
      <c r="Y7" s="301"/>
      <c r="Z7" s="301"/>
      <c r="AA7" s="301"/>
      <c r="AB7" s="301"/>
      <c r="AC7" s="301"/>
      <c r="AD7" s="301"/>
      <c r="AE7" s="301"/>
      <c r="AF7" s="301"/>
      <c r="AG7" s="301"/>
      <c r="AH7" s="301"/>
      <c r="AI7" s="301"/>
      <c r="AJ7" s="301"/>
      <c r="AK7" s="301"/>
    </row>
    <row r="8" spans="1:37" s="302" customFormat="1" ht="50.1" customHeight="1" x14ac:dyDescent="0.3">
      <c r="A8" s="164">
        <f>IF(main!A14&gt;0,main!A14,"")</f>
        <v>6</v>
      </c>
      <c r="B8" s="165" t="str">
        <f>IF(main!A14&gt;0,main!B14,"")</f>
        <v>2296587</v>
      </c>
      <c r="C8" s="164" t="str">
        <f>IF(main!A14&gt;0,main!D14,"")</f>
        <v>מנורה מבטחים פנסיה וגמל בעמ</v>
      </c>
      <c r="D8" s="164" t="str">
        <f>IF(main!A14&gt;0,main!E14,"")</f>
        <v>מנורה מבטחים תגמולים</v>
      </c>
      <c r="E8" s="164" t="str">
        <f>IF(main!A14&gt;0,main!C14,"")</f>
        <v>קופת גמל</v>
      </c>
      <c r="F8" s="298" t="str">
        <f>IF(main!A14&gt;0,main!R14,"")</f>
        <v>02/01/2005</v>
      </c>
      <c r="G8" s="164">
        <f>main!BG14</f>
        <v>0</v>
      </c>
      <c r="H8" s="164" t="s">
        <v>620</v>
      </c>
      <c r="I8" s="164">
        <f>main!BK14</f>
        <v>0</v>
      </c>
      <c r="J8" s="599">
        <f>IF(I8&lt;&gt;"",IF(main!EH14=1,I8,IF('נתוני יסוד'!$B$2="אשה",I8*0.3,I8*0.6)),0)</f>
        <v>0</v>
      </c>
      <c r="K8" s="299"/>
      <c r="L8" s="300"/>
      <c r="M8" s="300"/>
      <c r="N8" s="300"/>
      <c r="O8" s="300"/>
      <c r="P8" s="301"/>
      <c r="Q8" s="301"/>
      <c r="R8" s="301"/>
      <c r="S8" s="301"/>
      <c r="T8" s="301"/>
      <c r="U8" s="301"/>
      <c r="V8" s="301"/>
      <c r="W8" s="301"/>
      <c r="X8" s="301"/>
      <c r="Y8" s="301"/>
      <c r="Z8" s="301"/>
      <c r="AA8" s="301"/>
      <c r="AB8" s="301"/>
      <c r="AC8" s="301"/>
      <c r="AD8" s="301"/>
      <c r="AE8" s="301"/>
      <c r="AF8" s="301"/>
      <c r="AG8" s="301"/>
      <c r="AH8" s="301"/>
      <c r="AI8" s="301"/>
      <c r="AJ8" s="301"/>
      <c r="AK8" s="301"/>
    </row>
    <row r="9" spans="1:37" s="302" customFormat="1" ht="50.1" customHeight="1" x14ac:dyDescent="0.3">
      <c r="A9" s="164">
        <f>IF(main!A15&gt;0,main!A15,"")</f>
        <v>7</v>
      </c>
      <c r="B9" s="165" t="str">
        <f>IF(main!A15&gt;0,main!B15,"")</f>
        <v>56078603</v>
      </c>
      <c r="C9" s="164" t="str">
        <f>IF(main!A15&gt;0,main!D15,"")</f>
        <v>מנורה מבטחים פנסיה וגמל בעמ</v>
      </c>
      <c r="D9" s="164" t="str">
        <f>IF(main!A15&gt;0,main!E15,"")</f>
        <v>מבטחים החדשה פלוס</v>
      </c>
      <c r="E9" s="164" t="str">
        <f>IF(main!A15&gt;0,main!C15,"")</f>
        <v>קרן פנסיה</v>
      </c>
      <c r="F9" s="298" t="str">
        <f>IF(main!A15&gt;0,main!R15,"")</f>
        <v>16/08/1994</v>
      </c>
      <c r="G9" s="164">
        <f>main!BG15</f>
        <v>0</v>
      </c>
      <c r="H9" s="164" t="s">
        <v>620</v>
      </c>
      <c r="I9" s="164">
        <f>main!BK15</f>
        <v>0</v>
      </c>
      <c r="J9" s="599">
        <f>IF(I9&lt;&gt;"",IF(main!EH15=1,I9,IF('נתוני יסוד'!$B$2="אשה",I9*0.3,I9*0.6)),0)</f>
        <v>0</v>
      </c>
      <c r="K9" s="299"/>
      <c r="L9" s="300"/>
      <c r="M9" s="300"/>
      <c r="N9" s="300"/>
      <c r="O9" s="300"/>
      <c r="P9" s="301"/>
      <c r="Q9" s="301"/>
      <c r="R9" s="301"/>
      <c r="S9" s="301"/>
      <c r="T9" s="301"/>
      <c r="U9" s="301"/>
      <c r="V9" s="301"/>
      <c r="W9" s="301"/>
      <c r="X9" s="301"/>
      <c r="Y9" s="301"/>
      <c r="Z9" s="301"/>
      <c r="AA9" s="301"/>
      <c r="AB9" s="301"/>
      <c r="AC9" s="301"/>
      <c r="AD9" s="301"/>
      <c r="AE9" s="301"/>
      <c r="AF9" s="301"/>
      <c r="AG9" s="301"/>
      <c r="AH9" s="301"/>
      <c r="AI9" s="301"/>
      <c r="AJ9" s="301"/>
      <c r="AK9" s="301"/>
    </row>
    <row r="10" spans="1:37" s="302" customFormat="1" ht="50.1" customHeight="1" x14ac:dyDescent="0.3">
      <c r="A10" s="164">
        <f>IF(main!A16&gt;0,main!A16,"")</f>
        <v>8</v>
      </c>
      <c r="B10" s="165" t="str">
        <f>IF(main!A16&gt;0,main!B16,"")</f>
        <v>4355788</v>
      </c>
      <c r="C10" s="164" t="str">
        <f>IF(main!A16&gt;0,main!D16,"")</f>
        <v xml:space="preserve">אלטשולר שחם  גמל ופנסיה </v>
      </c>
      <c r="D10" s="164" t="str">
        <f>IF(main!A16&gt;0,main!E16,"")</f>
        <v>אלטשולר שחם גמל</v>
      </c>
      <c r="E10" s="164" t="str">
        <f>IF(main!A16&gt;0,main!C16,"")</f>
        <v>קופת גמל</v>
      </c>
      <c r="F10" s="298" t="str">
        <f>IF(main!A16&gt;0,main!R16,"")</f>
        <v>01/01/2007</v>
      </c>
      <c r="G10" s="164">
        <f>main!BG16</f>
        <v>0</v>
      </c>
      <c r="H10" s="164" t="s">
        <v>620</v>
      </c>
      <c r="I10" s="164">
        <f>main!BK16</f>
        <v>0</v>
      </c>
      <c r="J10" s="599">
        <f>IF(I10&lt;&gt;"",IF(main!EH16=1,I10,IF('נתוני יסוד'!$B$2="אשה",I10*0.3,I10*0.6)),0)</f>
        <v>0</v>
      </c>
      <c r="K10" s="299"/>
      <c r="L10" s="300"/>
      <c r="M10" s="300"/>
      <c r="N10" s="300"/>
      <c r="O10" s="300"/>
      <c r="P10" s="301"/>
      <c r="Q10" s="301"/>
      <c r="R10" s="301"/>
      <c r="S10" s="301"/>
      <c r="T10" s="301"/>
      <c r="U10" s="301"/>
      <c r="V10" s="301"/>
      <c r="W10" s="301"/>
      <c r="X10" s="301"/>
      <c r="Y10" s="301"/>
      <c r="Z10" s="301"/>
      <c r="AA10" s="301"/>
      <c r="AB10" s="301"/>
      <c r="AC10" s="301"/>
      <c r="AD10" s="301"/>
      <c r="AE10" s="301"/>
      <c r="AF10" s="301"/>
      <c r="AG10" s="301"/>
      <c r="AH10" s="301"/>
      <c r="AI10" s="301"/>
      <c r="AJ10" s="301"/>
      <c r="AK10" s="301"/>
    </row>
    <row r="11" spans="1:37" s="302" customFormat="1" ht="50.1" customHeight="1" x14ac:dyDescent="0.3">
      <c r="A11" s="164">
        <f>IF(main!A17&gt;0,main!A17,"")</f>
        <v>9</v>
      </c>
      <c r="B11" s="165" t="str">
        <f>IF(main!A17&gt;0,main!B17,"")</f>
        <v>69002</v>
      </c>
      <c r="C11" s="164" t="str">
        <f>IF(main!A17&gt;0,main!D17,"")</f>
        <v>פסגות קופות גמל ופנסיה בע"מ</v>
      </c>
      <c r="D11" s="164" t="str">
        <f>IF(main!A17&gt;0,main!E17,"")</f>
        <v>תשורה מקיפה</v>
      </c>
      <c r="E11" s="164" t="str">
        <f>IF(main!A17&gt;0,main!C17,"")</f>
        <v>קרן פנסיה</v>
      </c>
      <c r="F11" s="298" t="str">
        <f>IF(main!A17&gt;0,main!R17,"")</f>
        <v>01/02/2015</v>
      </c>
      <c r="G11" s="164">
        <f>main!BG17</f>
        <v>0</v>
      </c>
      <c r="H11" s="164" t="s">
        <v>620</v>
      </c>
      <c r="I11" s="164">
        <f>main!BK17</f>
        <v>0</v>
      </c>
      <c r="J11" s="599">
        <f>IF(I11&lt;&gt;"",IF(main!EH17=1,I11,IF('נתוני יסוד'!$B$2="אשה",I11*0.3,I11*0.6)),0)</f>
        <v>0</v>
      </c>
      <c r="K11" s="299"/>
      <c r="L11" s="300"/>
      <c r="M11" s="300"/>
      <c r="N11" s="300"/>
      <c r="O11" s="300"/>
      <c r="P11" s="301"/>
      <c r="Q11" s="301"/>
      <c r="R11" s="301"/>
      <c r="S11" s="301"/>
      <c r="T11" s="301"/>
      <c r="U11" s="301"/>
      <c r="V11" s="301"/>
      <c r="W11" s="301"/>
      <c r="X11" s="301"/>
      <c r="Y11" s="301"/>
      <c r="Z11" s="301"/>
      <c r="AA11" s="301"/>
      <c r="AB11" s="301"/>
      <c r="AC11" s="301"/>
      <c r="AD11" s="301"/>
      <c r="AE11" s="301"/>
      <c r="AF11" s="301"/>
      <c r="AG11" s="301"/>
      <c r="AH11" s="301"/>
      <c r="AI11" s="301"/>
      <c r="AJ11" s="301"/>
      <c r="AK11" s="301"/>
    </row>
    <row r="12" spans="1:37" s="302" customFormat="1" ht="50.1" customHeight="1" x14ac:dyDescent="0.3">
      <c r="A12" s="164">
        <f>IF(main!A18&gt;0,main!A18,"")</f>
        <v>10</v>
      </c>
      <c r="B12" s="165" t="str">
        <f>IF(main!A18&gt;0,main!B18,"")</f>
        <v>911245475</v>
      </c>
      <c r="C12" s="164" t="str">
        <f>IF(main!A18&gt;0,main!D18,"")</f>
        <v>הראל חברה לביטוח בע"מ</v>
      </c>
      <c r="D12" s="164" t="str">
        <f>IF(main!A18&gt;0,main!E18,"")</f>
        <v xml:space="preserve">הראל מגוון עסקי למנהלים                           </v>
      </c>
      <c r="E12" s="164" t="str">
        <f>IF(main!A18&gt;0,main!C18,"")</f>
        <v>פוליסת ביטוח חיים משולב חיסכון</v>
      </c>
      <c r="F12" s="298" t="str">
        <f>IF(main!A18&gt;0,main!R18,"")</f>
        <v>01/02/1999</v>
      </c>
      <c r="G12" s="164">
        <f>main!BG18</f>
        <v>0</v>
      </c>
      <c r="H12" s="164" t="s">
        <v>620</v>
      </c>
      <c r="I12" s="164">
        <f>main!BK18</f>
        <v>0</v>
      </c>
      <c r="J12" s="599">
        <f>IF(I12&lt;&gt;"",IF(main!EH18=1,I12,IF('נתוני יסוד'!$B$2="אשה",I12*0.3,I12*0.6)),0)</f>
        <v>0</v>
      </c>
      <c r="K12" s="299"/>
      <c r="L12" s="300"/>
      <c r="M12" s="300"/>
      <c r="N12" s="300"/>
      <c r="O12" s="300"/>
      <c r="P12" s="301"/>
      <c r="Q12" s="301"/>
      <c r="R12" s="301"/>
      <c r="S12" s="301"/>
      <c r="T12" s="301"/>
      <c r="U12" s="301"/>
      <c r="V12" s="301"/>
      <c r="W12" s="301"/>
      <c r="X12" s="301"/>
      <c r="Y12" s="301"/>
      <c r="Z12" s="301"/>
      <c r="AA12" s="301"/>
      <c r="AB12" s="301"/>
      <c r="AC12" s="301"/>
      <c r="AD12" s="301"/>
      <c r="AE12" s="301"/>
      <c r="AF12" s="301"/>
      <c r="AG12" s="301"/>
      <c r="AH12" s="301"/>
      <c r="AI12" s="301"/>
      <c r="AJ12" s="301"/>
      <c r="AK12" s="301"/>
    </row>
    <row r="13" spans="1:37" s="302" customFormat="1" ht="50.1" customHeight="1" x14ac:dyDescent="0.3">
      <c r="A13" s="164">
        <f>IF(main!A19&gt;0,main!A19,"")</f>
        <v>11</v>
      </c>
      <c r="B13" s="165" t="str">
        <f>IF(main!A19&gt;0,main!B19,"")</f>
        <v>922972106</v>
      </c>
      <c r="C13" s="164" t="str">
        <f>IF(main!A19&gt;0,main!D19,"")</f>
        <v>הראל חברה לביטוח בע"מ</v>
      </c>
      <c r="D13" s="164" t="str">
        <f>IF(main!A19&gt;0,main!E19,"")</f>
        <v xml:space="preserve">מגוון לשכירים קצבה לא משלמת                       </v>
      </c>
      <c r="E13" s="164" t="str">
        <f>IF(main!A19&gt;0,main!C19,"")</f>
        <v>פוליסת ביטוח חיים משולב חיסכון</v>
      </c>
      <c r="F13" s="298" t="str">
        <f>IF(main!A19&gt;0,main!R19,"")</f>
        <v>01/02/2000</v>
      </c>
      <c r="G13" s="164">
        <f>main!BG19</f>
        <v>0</v>
      </c>
      <c r="H13" s="164" t="s">
        <v>620</v>
      </c>
      <c r="I13" s="164">
        <f>main!BK19</f>
        <v>0</v>
      </c>
      <c r="J13" s="599">
        <f>IF(I13&lt;&gt;"",IF(main!EH19=1,I13,IF('נתוני יסוד'!$B$2="אשה",I13*0.3,I13*0.6)),0)</f>
        <v>0</v>
      </c>
      <c r="K13" s="299"/>
      <c r="L13" s="300"/>
      <c r="M13" s="300"/>
      <c r="N13" s="300"/>
      <c r="O13" s="300"/>
      <c r="P13" s="301"/>
      <c r="Q13" s="301"/>
      <c r="R13" s="301"/>
      <c r="S13" s="301"/>
      <c r="T13" s="301"/>
      <c r="U13" s="301"/>
      <c r="V13" s="301"/>
      <c r="W13" s="301"/>
      <c r="X13" s="301"/>
      <c r="Y13" s="301"/>
      <c r="Z13" s="301"/>
      <c r="AA13" s="301"/>
      <c r="AB13" s="301"/>
      <c r="AC13" s="301"/>
      <c r="AD13" s="301"/>
      <c r="AE13" s="301"/>
      <c r="AF13" s="301"/>
      <c r="AG13" s="301"/>
      <c r="AH13" s="301"/>
      <c r="AI13" s="301"/>
      <c r="AJ13" s="301"/>
      <c r="AK13" s="301"/>
    </row>
    <row r="14" spans="1:37" s="302" customFormat="1" ht="50.1" customHeight="1" x14ac:dyDescent="0.3">
      <c r="A14" s="164">
        <f>IF(main!A20&gt;0,main!A20,"")</f>
        <v>12</v>
      </c>
      <c r="B14" s="165" t="str">
        <f>IF(main!A20&gt;0,main!B20,"")</f>
        <v>411113798</v>
      </c>
      <c r="C14" s="164" t="str">
        <f>IF(main!A20&gt;0,main!D20,"")</f>
        <v>מגדל</v>
      </c>
      <c r="D14" s="164" t="str">
        <f>IF(main!A20&gt;0,main!E20,"")</f>
        <v>יותר</v>
      </c>
      <c r="E14" s="164" t="str">
        <f>IF(main!A20&gt;0,main!C20,"")</f>
        <v>פוליסת ביטוח חיים משולב חיסכון</v>
      </c>
      <c r="F14" s="298" t="str">
        <f>IF(main!A20&gt;0,main!R20,"")</f>
        <v>01/01/1999</v>
      </c>
      <c r="G14" s="164">
        <f>main!BG20</f>
        <v>1124360.3391645504</v>
      </c>
      <c r="H14" s="164" t="s">
        <v>620</v>
      </c>
      <c r="I14" s="164">
        <f>main!BK20</f>
        <v>0</v>
      </c>
      <c r="J14" s="599">
        <f>IF(I14&lt;&gt;"",IF(main!EH20=1,I14,IF('נתוני יסוד'!$B$2="אשה",I14*0.3,I14*0.6)),0)</f>
        <v>0</v>
      </c>
      <c r="K14" s="299"/>
      <c r="L14" s="300"/>
      <c r="M14" s="300"/>
      <c r="N14" s="300"/>
      <c r="O14" s="300"/>
      <c r="P14" s="301"/>
      <c r="Q14" s="301"/>
      <c r="R14" s="301"/>
      <c r="S14" s="301"/>
      <c r="T14" s="301"/>
      <c r="U14" s="301"/>
      <c r="V14" s="301"/>
      <c r="W14" s="301"/>
      <c r="X14" s="301"/>
      <c r="Y14" s="301"/>
      <c r="Z14" s="301"/>
      <c r="AA14" s="301"/>
      <c r="AB14" s="301"/>
      <c r="AC14" s="301"/>
      <c r="AD14" s="301"/>
      <c r="AE14" s="301"/>
      <c r="AF14" s="301"/>
      <c r="AG14" s="301"/>
      <c r="AH14" s="301"/>
      <c r="AI14" s="301"/>
      <c r="AJ14" s="301"/>
      <c r="AK14" s="301"/>
    </row>
    <row r="15" spans="1:37" s="302" customFormat="1" ht="50.1" customHeight="1" x14ac:dyDescent="0.3">
      <c r="A15" s="164">
        <f>IF(main!A21&gt;0,main!A21,"")</f>
        <v>13</v>
      </c>
      <c r="B15" s="165" t="str">
        <f>IF(main!A21&gt;0,main!B21,"")</f>
        <v>411138484</v>
      </c>
      <c r="C15" s="164" t="str">
        <f>IF(main!A21&gt;0,main!D21,"")</f>
        <v>מגדל</v>
      </c>
      <c r="D15" s="164" t="str">
        <f>IF(main!A21&gt;0,main!E21,"")</f>
        <v>יותר הון</v>
      </c>
      <c r="E15" s="164" t="str">
        <f>IF(main!A21&gt;0,main!C21,"")</f>
        <v>פוליסת ביטוח חיים משולב חיסכון</v>
      </c>
      <c r="F15" s="298" t="str">
        <f>IF(main!A21&gt;0,main!R21,"")</f>
        <v>01/07/1988</v>
      </c>
      <c r="G15" s="164">
        <f>main!BG21</f>
        <v>0</v>
      </c>
      <c r="H15" s="164" t="s">
        <v>620</v>
      </c>
      <c r="I15" s="164">
        <f>main!BK21</f>
        <v>0</v>
      </c>
      <c r="J15" s="599">
        <f>IF(I15&lt;&gt;"",IF(main!EH21=1,I15,IF('נתוני יסוד'!$B$2="אשה",I15*0.3,I15*0.6)),0)</f>
        <v>0</v>
      </c>
      <c r="K15" s="299"/>
      <c r="L15" s="300"/>
      <c r="M15" s="300"/>
      <c r="N15" s="300"/>
      <c r="O15" s="300"/>
      <c r="P15" s="301"/>
      <c r="Q15" s="301"/>
      <c r="R15" s="301"/>
      <c r="S15" s="301"/>
      <c r="T15" s="301"/>
      <c r="U15" s="301"/>
      <c r="V15" s="301"/>
      <c r="W15" s="301"/>
      <c r="X15" s="301"/>
      <c r="Y15" s="301"/>
      <c r="Z15" s="301"/>
      <c r="AA15" s="301"/>
      <c r="AB15" s="301"/>
      <c r="AC15" s="301"/>
      <c r="AD15" s="301"/>
      <c r="AE15" s="301"/>
      <c r="AF15" s="301"/>
      <c r="AG15" s="301"/>
      <c r="AH15" s="301"/>
      <c r="AI15" s="301"/>
      <c r="AJ15" s="301"/>
      <c r="AK15" s="301"/>
    </row>
    <row r="16" spans="1:37" s="302" customFormat="1" ht="50.1" customHeight="1" x14ac:dyDescent="0.3">
      <c r="A16" s="164">
        <f>IF(main!A22&gt;0,main!A22,"")</f>
        <v>14</v>
      </c>
      <c r="B16" s="165" t="str">
        <f>IF(main!A22&gt;0,main!B22,"")</f>
        <v>323406232</v>
      </c>
      <c r="C16" s="164" t="str">
        <f>IF(main!A22&gt;0,main!D22,"")</f>
        <v>מגדל</v>
      </c>
      <c r="D16" s="164" t="str">
        <f>IF(main!A22&gt;0,main!E22,"")</f>
        <v>יותר</v>
      </c>
      <c r="E16" s="164" t="str">
        <f>IF(main!A22&gt;0,main!C22,"")</f>
        <v>פוליסת ביטוח חיים משולב חיסכון</v>
      </c>
      <c r="F16" s="298" t="str">
        <f>IF(main!A22&gt;0,main!R22,"")</f>
        <v>01/07/1994</v>
      </c>
      <c r="G16" s="164">
        <f>main!BG22</f>
        <v>1759495.9943612264</v>
      </c>
      <c r="H16" s="164" t="s">
        <v>620</v>
      </c>
      <c r="I16" s="164">
        <f>main!BK22</f>
        <v>0</v>
      </c>
      <c r="J16" s="599">
        <f>IF(I16&lt;&gt;"",IF(main!EH22=1,I16,IF('נתוני יסוד'!$B$2="אשה",I16*0.3,I16*0.6)),0)</f>
        <v>0</v>
      </c>
      <c r="K16" s="299"/>
      <c r="L16" s="300"/>
      <c r="M16" s="300"/>
      <c r="N16" s="300"/>
      <c r="O16" s="300"/>
      <c r="P16" s="301"/>
      <c r="Q16" s="301"/>
      <c r="R16" s="301"/>
      <c r="S16" s="301"/>
      <c r="T16" s="301"/>
      <c r="U16" s="301"/>
      <c r="V16" s="301"/>
      <c r="W16" s="301"/>
      <c r="X16" s="301"/>
      <c r="Y16" s="301"/>
      <c r="Z16" s="301"/>
      <c r="AA16" s="301"/>
      <c r="AB16" s="301"/>
      <c r="AC16" s="301"/>
      <c r="AD16" s="301"/>
      <c r="AE16" s="301"/>
      <c r="AF16" s="301"/>
      <c r="AG16" s="301"/>
      <c r="AH16" s="301"/>
      <c r="AI16" s="301"/>
      <c r="AJ16" s="301"/>
      <c r="AK16" s="301"/>
    </row>
    <row r="17" spans="1:37" s="302" customFormat="1" ht="50.1" customHeight="1" x14ac:dyDescent="0.3">
      <c r="A17" s="164">
        <f>IF(main!A23&gt;0,main!A23,"")</f>
        <v>15</v>
      </c>
      <c r="B17" s="165" t="str">
        <f>IF(main!A23&gt;0,main!B23,"")</f>
        <v>730141236</v>
      </c>
      <c r="C17" s="164" t="str">
        <f>IF(main!A23&gt;0,main!D23,"")</f>
        <v>מגדל</v>
      </c>
      <c r="D17" s="164" t="str">
        <f>IF(main!A23&gt;0,main!E23,"")</f>
        <v>יותר</v>
      </c>
      <c r="E17" s="164" t="str">
        <f>IF(main!A23&gt;0,main!C23,"")</f>
        <v>פוליסת ביטוח חיים משולב חיסכון</v>
      </c>
      <c r="F17" s="298" t="str">
        <f>IF(main!A23&gt;0,main!R23,"")</f>
        <v>01/12/1998</v>
      </c>
      <c r="G17" s="164">
        <f>main!BG23</f>
        <v>0</v>
      </c>
      <c r="H17" s="164" t="s">
        <v>620</v>
      </c>
      <c r="I17" s="164">
        <f>main!BK23</f>
        <v>0</v>
      </c>
      <c r="J17" s="599">
        <f>IF(I17&lt;&gt;"",IF(main!EH23=1,I17,IF('נתוני יסוד'!$B$2="אשה",I17*0.3,I17*0.6)),0)</f>
        <v>0</v>
      </c>
      <c r="K17" s="299"/>
      <c r="L17" s="300"/>
      <c r="M17" s="300"/>
      <c r="N17" s="300"/>
      <c r="O17" s="300"/>
      <c r="P17" s="301"/>
      <c r="Q17" s="301"/>
      <c r="R17" s="301"/>
      <c r="S17" s="301"/>
      <c r="T17" s="301"/>
      <c r="U17" s="301"/>
      <c r="V17" s="301"/>
      <c r="W17" s="301"/>
      <c r="X17" s="301"/>
      <c r="Y17" s="301"/>
      <c r="Z17" s="301"/>
      <c r="AA17" s="301"/>
      <c r="AB17" s="301"/>
      <c r="AC17" s="301"/>
      <c r="AD17" s="301"/>
      <c r="AE17" s="301"/>
      <c r="AF17" s="301"/>
      <c r="AG17" s="301"/>
      <c r="AH17" s="301"/>
      <c r="AI17" s="301"/>
      <c r="AJ17" s="301"/>
      <c r="AK17" s="301"/>
    </row>
    <row r="18" spans="1:37" s="302" customFormat="1" ht="50.1" customHeight="1" x14ac:dyDescent="0.3">
      <c r="A18" s="164">
        <f>IF(main!A24&gt;0,main!A24,"")</f>
        <v>16</v>
      </c>
      <c r="B18" s="165" t="str">
        <f>IF(main!A24&gt;0,main!B24,"")</f>
        <v>323158955</v>
      </c>
      <c r="C18" s="164" t="str">
        <f>IF(main!A24&gt;0,main!D24,"")</f>
        <v>מגדל</v>
      </c>
      <c r="D18" s="164" t="str">
        <f>IF(main!A24&gt;0,main!E24,"")</f>
        <v>יותר</v>
      </c>
      <c r="E18" s="164" t="str">
        <f>IF(main!A24&gt;0,main!C24,"")</f>
        <v>פוליסת ביטוח חיים משולב חיסכון</v>
      </c>
      <c r="F18" s="298" t="str">
        <f>IF(main!A24&gt;0,main!R24,"")</f>
        <v>01/03/1984</v>
      </c>
      <c r="G18" s="164">
        <f>main!BG24</f>
        <v>26636364.995581325</v>
      </c>
      <c r="H18" s="164" t="s">
        <v>620</v>
      </c>
      <c r="I18" s="164">
        <f>main!BK24</f>
        <v>0</v>
      </c>
      <c r="J18" s="599">
        <f>IF(I18&lt;&gt;"",IF(main!EH24=1,I18,IF('נתוני יסוד'!$B$2="אשה",I18*0.3,I18*0.6)),0)</f>
        <v>0</v>
      </c>
      <c r="K18" s="299"/>
      <c r="L18" s="300"/>
      <c r="M18" s="300"/>
      <c r="N18" s="300"/>
      <c r="O18" s="300"/>
      <c r="P18" s="301"/>
      <c r="Q18" s="301"/>
      <c r="R18" s="301"/>
      <c r="S18" s="301"/>
      <c r="T18" s="301"/>
      <c r="U18" s="301"/>
      <c r="V18" s="301"/>
      <c r="W18" s="301"/>
      <c r="X18" s="301"/>
      <c r="Y18" s="301"/>
      <c r="Z18" s="301"/>
      <c r="AA18" s="301"/>
      <c r="AB18" s="301"/>
      <c r="AC18" s="301"/>
      <c r="AD18" s="301"/>
      <c r="AE18" s="301"/>
      <c r="AF18" s="301"/>
      <c r="AG18" s="301"/>
      <c r="AH18" s="301"/>
      <c r="AI18" s="301"/>
      <c r="AJ18" s="301"/>
      <c r="AK18" s="301"/>
    </row>
    <row r="19" spans="1:37" s="302" customFormat="1" ht="50.1" customHeight="1" x14ac:dyDescent="0.3">
      <c r="A19" s="164">
        <f>IF(main!A25&gt;0,main!A25,"")</f>
        <v>17</v>
      </c>
      <c r="B19" s="165" t="str">
        <f>IF(main!A25&gt;0,main!B25,"")</f>
        <v>323405593</v>
      </c>
      <c r="C19" s="164" t="str">
        <f>IF(main!A25&gt;0,main!D25,"")</f>
        <v>מגדל</v>
      </c>
      <c r="D19" s="164" t="str">
        <f>IF(main!A25&gt;0,main!E25,"")</f>
        <v>יותר</v>
      </c>
      <c r="E19" s="164" t="str">
        <f>IF(main!A25&gt;0,main!C25,"")</f>
        <v>פוליסת ביטוח חיים משולב חיסכון</v>
      </c>
      <c r="F19" s="298">
        <f>IF(main!A25&gt;0,main!R25,"")</f>
        <v>0</v>
      </c>
      <c r="G19" s="164">
        <f>main!BG25</f>
        <v>0</v>
      </c>
      <c r="H19" s="164" t="s">
        <v>620</v>
      </c>
      <c r="I19" s="164">
        <f>main!BK25</f>
        <v>0</v>
      </c>
      <c r="J19" s="599">
        <f>IF(I19&lt;&gt;"",IF(main!EH25=1,I19,IF('נתוני יסוד'!$B$2="אשה",I19*0.3,I19*0.6)),0)</f>
        <v>0</v>
      </c>
      <c r="K19" s="299"/>
      <c r="L19" s="300"/>
      <c r="M19" s="300"/>
      <c r="N19" s="300"/>
      <c r="O19" s="300"/>
      <c r="P19" s="301"/>
      <c r="Q19" s="301"/>
      <c r="R19" s="301"/>
      <c r="S19" s="301"/>
      <c r="T19" s="301"/>
      <c r="U19" s="301"/>
      <c r="V19" s="301"/>
      <c r="W19" s="301"/>
      <c r="X19" s="301"/>
      <c r="Y19" s="301"/>
      <c r="Z19" s="301"/>
      <c r="AA19" s="301"/>
      <c r="AB19" s="301"/>
      <c r="AC19" s="301"/>
      <c r="AD19" s="301"/>
      <c r="AE19" s="301"/>
      <c r="AF19" s="301"/>
      <c r="AG19" s="301"/>
      <c r="AH19" s="301"/>
      <c r="AI19" s="301"/>
      <c r="AJ19" s="301"/>
      <c r="AK19" s="301"/>
    </row>
    <row r="20" spans="1:37" s="302" customFormat="1" ht="50.1" customHeight="1" x14ac:dyDescent="0.3">
      <c r="A20" s="164">
        <f>IF(main!A26&gt;0,main!A26,"")</f>
        <v>18</v>
      </c>
      <c r="B20" s="165" t="str">
        <f>IF(main!A26&gt;0,main!B26,"")</f>
        <v>056078603</v>
      </c>
      <c r="C20" s="164" t="str">
        <f>IF(main!A26&gt;0,main!D26,"")</f>
        <v>מבטחים מוסד לביטוח סוציאלי של העובדים</v>
      </c>
      <c r="D20" s="164" t="str">
        <f>IF(main!A26&gt;0,main!E26,"")</f>
        <v>מקיפה</v>
      </c>
      <c r="E20" s="164" t="str">
        <f>IF(main!A26&gt;0,main!C26,"")</f>
        <v>קרן פנסיה</v>
      </c>
      <c r="F20" s="298">
        <f>IF(main!A26&gt;0,main!R26,"")</f>
        <v>0</v>
      </c>
      <c r="G20" s="164">
        <f>main!BG26</f>
        <v>0</v>
      </c>
      <c r="H20" s="164" t="s">
        <v>620</v>
      </c>
      <c r="I20" s="164">
        <f>main!BK26</f>
        <v>0</v>
      </c>
      <c r="J20" s="599">
        <f>IF(I20&lt;&gt;"",IF(main!EH26=1,I20,IF('נתוני יסוד'!$B$2="אשה",I20*0.3,I20*0.6)),0)</f>
        <v>0</v>
      </c>
      <c r="K20" s="299"/>
      <c r="L20" s="300"/>
      <c r="M20" s="300"/>
      <c r="N20" s="300"/>
      <c r="O20" s="300"/>
      <c r="P20" s="301"/>
      <c r="Q20" s="301"/>
      <c r="R20" s="301"/>
      <c r="S20" s="301"/>
      <c r="T20" s="301"/>
      <c r="U20" s="301"/>
      <c r="V20" s="301"/>
      <c r="W20" s="301"/>
      <c r="X20" s="301"/>
      <c r="Y20" s="301"/>
      <c r="Z20" s="301"/>
      <c r="AA20" s="301"/>
      <c r="AB20" s="301"/>
      <c r="AC20" s="301"/>
      <c r="AD20" s="301"/>
      <c r="AE20" s="301"/>
      <c r="AF20" s="301"/>
      <c r="AG20" s="301"/>
      <c r="AH20" s="301"/>
      <c r="AI20" s="301"/>
      <c r="AJ20" s="301"/>
      <c r="AK20" s="301"/>
    </row>
    <row r="21" spans="1:37" s="302" customFormat="1" ht="50.1" customHeight="1" x14ac:dyDescent="0.3">
      <c r="A21" s="164" t="str">
        <f>IF(main!A27&gt;0,main!A27,"")</f>
        <v/>
      </c>
      <c r="B21" s="165" t="str">
        <f>IF(main!A27&gt;0,main!B27,"")</f>
        <v/>
      </c>
      <c r="C21" s="164" t="str">
        <f>IF(main!A27&gt;0,main!D27,"")</f>
        <v/>
      </c>
      <c r="D21" s="164" t="str">
        <f>IF(main!A27&gt;0,main!E27,"")</f>
        <v/>
      </c>
      <c r="E21" s="164" t="str">
        <f>IF(main!A27&gt;0,main!C27,"")</f>
        <v/>
      </c>
      <c r="F21" s="298" t="str">
        <f>IF(main!A27&gt;0,main!R27,"")</f>
        <v/>
      </c>
      <c r="G21" s="164">
        <f>main!BG27</f>
        <v>0</v>
      </c>
      <c r="H21" s="164" t="s">
        <v>620</v>
      </c>
      <c r="I21" s="164">
        <f>main!BK27</f>
        <v>0</v>
      </c>
      <c r="J21" s="599">
        <f>IF(I21&lt;&gt;"",IF(main!EH27=1,I21,IF('נתוני יסוד'!$B$2="אשה",I21*0.3,I21*0.6)),0)</f>
        <v>0</v>
      </c>
      <c r="K21" s="299"/>
      <c r="L21" s="300"/>
      <c r="M21" s="300"/>
      <c r="N21" s="300"/>
      <c r="O21" s="300"/>
      <c r="P21" s="301"/>
      <c r="Q21" s="301"/>
      <c r="R21" s="301"/>
      <c r="S21" s="301"/>
      <c r="T21" s="301"/>
      <c r="U21" s="301"/>
      <c r="V21" s="301"/>
      <c r="W21" s="301"/>
      <c r="X21" s="301"/>
      <c r="Y21" s="301"/>
      <c r="Z21" s="301"/>
      <c r="AA21" s="301"/>
      <c r="AB21" s="301"/>
      <c r="AC21" s="301"/>
      <c r="AD21" s="301"/>
      <c r="AE21" s="301"/>
      <c r="AF21" s="301"/>
      <c r="AG21" s="301"/>
      <c r="AH21" s="301"/>
      <c r="AI21" s="301"/>
      <c r="AJ21" s="301"/>
      <c r="AK21" s="301"/>
    </row>
    <row r="22" spans="1:37" s="302" customFormat="1" ht="50.1" customHeight="1" x14ac:dyDescent="0.3">
      <c r="A22" s="164" t="str">
        <f>IF(main!A28&gt;0,main!A28,"")</f>
        <v/>
      </c>
      <c r="B22" s="165" t="str">
        <f>IF(main!A28&gt;0,main!B28,"")</f>
        <v/>
      </c>
      <c r="C22" s="164" t="str">
        <f>IF(main!A28&gt;0,main!D28,"")</f>
        <v/>
      </c>
      <c r="D22" s="164" t="str">
        <f>IF(main!A28&gt;0,main!E28,"")</f>
        <v/>
      </c>
      <c r="E22" s="164" t="str">
        <f>IF(main!A28&gt;0,main!C28,"")</f>
        <v/>
      </c>
      <c r="F22" s="298" t="str">
        <f>IF(main!A28&gt;0,main!R28,"")</f>
        <v/>
      </c>
      <c r="G22" s="164">
        <f>main!BG28</f>
        <v>0</v>
      </c>
      <c r="H22" s="164" t="s">
        <v>620</v>
      </c>
      <c r="I22" s="164">
        <f>main!BK28</f>
        <v>0</v>
      </c>
      <c r="J22" s="599">
        <f>IF(I22&lt;&gt;"",IF(main!EH28=1,I22,IF('נתוני יסוד'!$B$2="אשה",I22*0.3,I22*0.6)),0)</f>
        <v>0</v>
      </c>
      <c r="K22" s="299"/>
      <c r="L22" s="300"/>
      <c r="M22" s="300"/>
      <c r="N22" s="300"/>
      <c r="O22" s="300"/>
      <c r="P22" s="301"/>
      <c r="Q22" s="301"/>
      <c r="R22" s="301"/>
      <c r="S22" s="301"/>
      <c r="T22" s="301"/>
      <c r="U22" s="301"/>
      <c r="V22" s="301"/>
      <c r="W22" s="301"/>
      <c r="X22" s="301"/>
      <c r="Y22" s="301"/>
      <c r="Z22" s="301"/>
      <c r="AA22" s="301"/>
      <c r="AB22" s="301"/>
      <c r="AC22" s="301"/>
      <c r="AD22" s="301"/>
      <c r="AE22" s="301"/>
      <c r="AF22" s="301"/>
      <c r="AG22" s="301"/>
      <c r="AH22" s="301"/>
      <c r="AI22" s="301"/>
      <c r="AJ22" s="301"/>
      <c r="AK22" s="301"/>
    </row>
    <row r="23" spans="1:37" s="302" customFormat="1" ht="50.1" customHeight="1" x14ac:dyDescent="0.3">
      <c r="A23" s="164" t="str">
        <f>IF(main!A29&gt;0,main!A29,"")</f>
        <v/>
      </c>
      <c r="B23" s="165" t="str">
        <f>IF(main!A29&gt;0,main!B29,"")</f>
        <v/>
      </c>
      <c r="C23" s="164" t="str">
        <f>IF(main!A29&gt;0,main!D29,"")</f>
        <v/>
      </c>
      <c r="D23" s="164" t="str">
        <f>IF(main!A29&gt;0,main!E29,"")</f>
        <v/>
      </c>
      <c r="E23" s="164" t="str">
        <f>IF(main!A29&gt;0,main!C29,"")</f>
        <v/>
      </c>
      <c r="F23" s="298" t="str">
        <f>IF(main!A29&gt;0,main!R29,"")</f>
        <v/>
      </c>
      <c r="G23" s="164">
        <f>main!BG29</f>
        <v>0</v>
      </c>
      <c r="H23" s="164" t="s">
        <v>620</v>
      </c>
      <c r="I23" s="164">
        <f>main!BK29</f>
        <v>0</v>
      </c>
      <c r="J23" s="599">
        <f>IF(I23&lt;&gt;"",IF(main!EH29=1,I23,IF('נתוני יסוד'!$B$2="אשה",I23*0.3,I23*0.6)),0)</f>
        <v>0</v>
      </c>
      <c r="K23" s="299"/>
      <c r="L23" s="300"/>
      <c r="M23" s="300"/>
      <c r="N23" s="300"/>
      <c r="O23" s="300"/>
      <c r="P23" s="301"/>
      <c r="Q23" s="301"/>
      <c r="R23" s="301"/>
      <c r="S23" s="301"/>
      <c r="T23" s="301"/>
      <c r="U23" s="301"/>
      <c r="V23" s="301"/>
      <c r="W23" s="301"/>
      <c r="X23" s="301"/>
      <c r="Y23" s="301"/>
      <c r="Z23" s="301"/>
      <c r="AA23" s="301"/>
      <c r="AB23" s="301"/>
      <c r="AC23" s="301"/>
      <c r="AD23" s="301"/>
      <c r="AE23" s="301"/>
      <c r="AF23" s="301"/>
      <c r="AG23" s="301"/>
      <c r="AH23" s="301"/>
      <c r="AI23" s="301"/>
      <c r="AJ23" s="301"/>
      <c r="AK23" s="301"/>
    </row>
    <row r="24" spans="1:37" s="302" customFormat="1" ht="50.1" customHeight="1" x14ac:dyDescent="0.3">
      <c r="A24" s="164" t="str">
        <f>IF(main!A30&gt;0,main!A30,"")</f>
        <v/>
      </c>
      <c r="B24" s="165" t="str">
        <f>IF(main!A30&gt;0,main!B30,"")</f>
        <v/>
      </c>
      <c r="C24" s="164" t="str">
        <f>IF(main!A30&gt;0,main!D30,"")</f>
        <v/>
      </c>
      <c r="D24" s="164" t="str">
        <f>IF(main!A30&gt;0,main!E30,"")</f>
        <v/>
      </c>
      <c r="E24" s="164" t="str">
        <f>IF(main!A30&gt;0,main!C30,"")</f>
        <v/>
      </c>
      <c r="F24" s="298" t="str">
        <f>IF(main!A30&gt;0,main!R30,"")</f>
        <v/>
      </c>
      <c r="G24" s="164">
        <f>main!BG30</f>
        <v>0</v>
      </c>
      <c r="H24" s="164" t="s">
        <v>620</v>
      </c>
      <c r="I24" s="164">
        <f>main!BK30</f>
        <v>0</v>
      </c>
      <c r="J24" s="599">
        <f>IF(I24&lt;&gt;"",IF(main!EH30=1,I24,IF('נתוני יסוד'!$B$2="אשה",I24*0.3,I24*0.6)),0)</f>
        <v>0</v>
      </c>
      <c r="K24" s="299"/>
      <c r="L24" s="300"/>
      <c r="M24" s="300"/>
      <c r="N24" s="300"/>
      <c r="O24" s="300"/>
      <c r="P24" s="301"/>
      <c r="Q24" s="301"/>
      <c r="R24" s="301"/>
      <c r="S24" s="301"/>
      <c r="T24" s="301"/>
      <c r="U24" s="301"/>
      <c r="V24" s="301"/>
      <c r="W24" s="301"/>
      <c r="X24" s="301"/>
      <c r="Y24" s="301"/>
      <c r="Z24" s="301"/>
      <c r="AA24" s="301"/>
      <c r="AB24" s="301"/>
      <c r="AC24" s="301"/>
      <c r="AD24" s="301"/>
      <c r="AE24" s="301"/>
      <c r="AF24" s="301"/>
      <c r="AG24" s="301"/>
      <c r="AH24" s="301"/>
      <c r="AI24" s="301"/>
      <c r="AJ24" s="301"/>
      <c r="AK24" s="301"/>
    </row>
    <row r="25" spans="1:37" s="302" customFormat="1" ht="50.1" customHeight="1" x14ac:dyDescent="0.3">
      <c r="A25" s="164" t="str">
        <f>IF(main!A31&gt;0,main!A31,"")</f>
        <v/>
      </c>
      <c r="B25" s="165" t="str">
        <f>IF(main!A31&gt;0,main!B31,"")</f>
        <v/>
      </c>
      <c r="C25" s="164" t="str">
        <f>IF(main!A31&gt;0,main!D31,"")</f>
        <v/>
      </c>
      <c r="D25" s="164" t="str">
        <f>IF(main!A31&gt;0,main!E31,"")</f>
        <v/>
      </c>
      <c r="E25" s="164" t="str">
        <f>IF(main!A31&gt;0,main!C31,"")</f>
        <v/>
      </c>
      <c r="F25" s="298" t="str">
        <f>IF(main!A31&gt;0,main!R31,"")</f>
        <v/>
      </c>
      <c r="G25" s="164">
        <f>main!BG31</f>
        <v>0</v>
      </c>
      <c r="H25" s="164" t="s">
        <v>620</v>
      </c>
      <c r="I25" s="164">
        <f>main!BK31</f>
        <v>0</v>
      </c>
      <c r="J25" s="599">
        <f>IF(I25&lt;&gt;"",IF(main!EH31=1,I25,IF('נתוני יסוד'!$B$2="אשה",I25*0.3,I25*0.6)),0)</f>
        <v>0</v>
      </c>
      <c r="K25" s="299"/>
      <c r="L25" s="300"/>
      <c r="M25" s="300"/>
      <c r="N25" s="300"/>
      <c r="O25" s="300"/>
      <c r="P25" s="301"/>
      <c r="Q25" s="301"/>
      <c r="R25" s="301"/>
      <c r="S25" s="301"/>
      <c r="T25" s="301"/>
      <c r="U25" s="301"/>
      <c r="V25" s="301"/>
      <c r="W25" s="301"/>
      <c r="X25" s="301"/>
      <c r="Y25" s="301"/>
      <c r="Z25" s="301"/>
      <c r="AA25" s="301"/>
      <c r="AB25" s="301"/>
      <c r="AC25" s="301"/>
      <c r="AD25" s="301"/>
      <c r="AE25" s="301"/>
      <c r="AF25" s="301"/>
      <c r="AG25" s="301"/>
      <c r="AH25" s="301"/>
      <c r="AI25" s="301"/>
      <c r="AJ25" s="301"/>
      <c r="AK25" s="301"/>
    </row>
    <row r="26" spans="1:37" s="302" customFormat="1" ht="50.1" customHeight="1" x14ac:dyDescent="0.3">
      <c r="A26" s="164" t="str">
        <f>IF(main!A32&gt;0,main!A32,"")</f>
        <v/>
      </c>
      <c r="B26" s="165" t="str">
        <f>IF(main!A32&gt;0,main!B32,"")</f>
        <v/>
      </c>
      <c r="C26" s="164" t="str">
        <f>IF(main!A32&gt;0,main!D32,"")</f>
        <v/>
      </c>
      <c r="D26" s="164" t="str">
        <f>IF(main!A32&gt;0,main!E32,"")</f>
        <v/>
      </c>
      <c r="E26" s="164" t="str">
        <f>IF(main!A32&gt;0,main!C32,"")</f>
        <v/>
      </c>
      <c r="F26" s="298" t="str">
        <f>IF(main!A32&gt;0,main!R32,"")</f>
        <v/>
      </c>
      <c r="G26" s="164">
        <f>main!BG32</f>
        <v>0</v>
      </c>
      <c r="H26" s="164" t="s">
        <v>620</v>
      </c>
      <c r="I26" s="164">
        <f>main!BK32</f>
        <v>0</v>
      </c>
      <c r="J26" s="599">
        <f>IF(I26&lt;&gt;"",IF(main!EH32=1,I26,IF('נתוני יסוד'!$B$2="אשה",I26*0.3,I26*0.6)),0)</f>
        <v>0</v>
      </c>
      <c r="K26" s="299"/>
      <c r="L26" s="300"/>
      <c r="M26" s="300"/>
      <c r="N26" s="300"/>
      <c r="O26" s="300"/>
      <c r="P26" s="301"/>
      <c r="Q26" s="301"/>
      <c r="R26" s="301"/>
      <c r="S26" s="301"/>
      <c r="T26" s="301"/>
      <c r="U26" s="301"/>
      <c r="V26" s="301"/>
      <c r="W26" s="301"/>
      <c r="X26" s="301"/>
      <c r="Y26" s="301"/>
      <c r="Z26" s="301"/>
      <c r="AA26" s="301"/>
      <c r="AB26" s="301"/>
      <c r="AC26" s="301"/>
      <c r="AD26" s="301"/>
      <c r="AE26" s="301"/>
      <c r="AF26" s="301"/>
      <c r="AG26" s="301"/>
      <c r="AH26" s="301"/>
      <c r="AI26" s="301"/>
      <c r="AJ26" s="301"/>
      <c r="AK26" s="301"/>
    </row>
    <row r="27" spans="1:37" s="302" customFormat="1" ht="50.1" customHeight="1" x14ac:dyDescent="0.3">
      <c r="A27" s="164" t="str">
        <f>IF(main!A33&gt;0,main!A33,"")</f>
        <v/>
      </c>
      <c r="B27" s="165" t="str">
        <f>IF(main!A33&gt;0,main!B33,"")</f>
        <v/>
      </c>
      <c r="C27" s="164" t="str">
        <f>IF(main!A33&gt;0,main!D33,"")</f>
        <v/>
      </c>
      <c r="D27" s="164" t="str">
        <f>IF(main!A33&gt;0,main!E33,"")</f>
        <v/>
      </c>
      <c r="E27" s="164" t="str">
        <f>IF(main!A33&gt;0,main!C33,"")</f>
        <v/>
      </c>
      <c r="F27" s="298" t="str">
        <f>IF(main!A33&gt;0,main!R33,"")</f>
        <v/>
      </c>
      <c r="G27" s="164">
        <f>main!BG33</f>
        <v>0</v>
      </c>
      <c r="H27" s="164" t="s">
        <v>620</v>
      </c>
      <c r="I27" s="164">
        <f>main!BK33</f>
        <v>0</v>
      </c>
      <c r="J27" s="599">
        <f>IF(I27&lt;&gt;"",IF(main!EH33=1,I27,IF('נתוני יסוד'!$B$2="אשה",I27*0.3,I27*0.6)),0)</f>
        <v>0</v>
      </c>
      <c r="K27" s="299"/>
      <c r="L27" s="300"/>
      <c r="M27" s="300"/>
      <c r="N27" s="300"/>
      <c r="O27" s="300"/>
      <c r="P27" s="301"/>
      <c r="Q27" s="301"/>
      <c r="R27" s="301"/>
      <c r="S27" s="301"/>
      <c r="T27" s="301"/>
      <c r="U27" s="301"/>
      <c r="V27" s="301"/>
      <c r="W27" s="301"/>
      <c r="X27" s="301"/>
      <c r="Y27" s="301"/>
      <c r="Z27" s="301"/>
      <c r="AA27" s="301"/>
      <c r="AB27" s="301"/>
      <c r="AC27" s="301"/>
      <c r="AD27" s="301"/>
      <c r="AE27" s="301"/>
      <c r="AF27" s="301"/>
      <c r="AG27" s="301"/>
      <c r="AH27" s="301"/>
      <c r="AI27" s="301"/>
      <c r="AJ27" s="301"/>
      <c r="AK27" s="301"/>
    </row>
    <row r="28" spans="1:37" s="302" customFormat="1" ht="50.1" customHeight="1" x14ac:dyDescent="0.3">
      <c r="A28" s="164" t="str">
        <f>IF(main!A34&gt;0,main!A34,"")</f>
        <v/>
      </c>
      <c r="B28" s="165" t="str">
        <f>IF(main!A34&gt;0,main!B34,"")</f>
        <v/>
      </c>
      <c r="C28" s="164" t="str">
        <f>IF(main!A34&gt;0,main!D34,"")</f>
        <v/>
      </c>
      <c r="D28" s="164" t="str">
        <f>IF(main!A34&gt;0,main!E34,"")</f>
        <v/>
      </c>
      <c r="E28" s="164" t="str">
        <f>IF(main!A34&gt;0,main!C34,"")</f>
        <v/>
      </c>
      <c r="F28" s="298" t="str">
        <f>IF(main!A34&gt;0,main!R34,"")</f>
        <v/>
      </c>
      <c r="G28" s="164">
        <f>main!BG34</f>
        <v>0</v>
      </c>
      <c r="H28" s="164" t="s">
        <v>620</v>
      </c>
      <c r="I28" s="164">
        <f>main!BK34</f>
        <v>0</v>
      </c>
      <c r="J28" s="599">
        <f>IF(I28&lt;&gt;"",IF(main!EH34=1,I28,IF('נתוני יסוד'!$B$2="אשה",I28*0.3,I28*0.6)),0)</f>
        <v>0</v>
      </c>
      <c r="K28" s="299"/>
      <c r="L28" s="300"/>
      <c r="M28" s="300"/>
      <c r="N28" s="303"/>
      <c r="O28" s="300"/>
      <c r="P28" s="301"/>
      <c r="Q28" s="301"/>
      <c r="R28" s="301"/>
      <c r="S28" s="301"/>
      <c r="T28" s="301"/>
      <c r="U28" s="301"/>
      <c r="V28" s="301"/>
      <c r="W28" s="301"/>
      <c r="X28" s="301"/>
      <c r="Y28" s="301"/>
      <c r="Z28" s="301"/>
      <c r="AA28" s="301"/>
      <c r="AB28" s="301"/>
      <c r="AC28" s="301"/>
      <c r="AD28" s="301"/>
      <c r="AE28" s="301"/>
      <c r="AF28" s="301"/>
      <c r="AG28" s="301"/>
      <c r="AH28" s="301"/>
      <c r="AI28" s="301"/>
      <c r="AJ28" s="301"/>
      <c r="AK28" s="301"/>
    </row>
    <row r="29" spans="1:37" s="302" customFormat="1" ht="50.1" customHeight="1" x14ac:dyDescent="0.3">
      <c r="A29" s="164" t="str">
        <f>IF(main!A35&gt;0,main!A35,"")</f>
        <v/>
      </c>
      <c r="B29" s="165" t="str">
        <f>IF(main!A35&gt;0,main!B35,"")</f>
        <v/>
      </c>
      <c r="C29" s="164" t="str">
        <f>IF(main!A35&gt;0,main!D35,"")</f>
        <v/>
      </c>
      <c r="D29" s="164" t="str">
        <f>IF(main!A35&gt;0,main!E35,"")</f>
        <v/>
      </c>
      <c r="E29" s="164" t="str">
        <f>IF(main!A35&gt;0,main!C35,"")</f>
        <v/>
      </c>
      <c r="F29" s="298" t="str">
        <f>IF(main!A35&gt;0,main!R35,"")</f>
        <v/>
      </c>
      <c r="G29" s="164">
        <f>main!BG35</f>
        <v>0</v>
      </c>
      <c r="H29" s="164" t="s">
        <v>620</v>
      </c>
      <c r="I29" s="164">
        <f>main!BK35</f>
        <v>0</v>
      </c>
      <c r="J29" s="599">
        <f>IF(I29&lt;&gt;"",IF(main!EH35=1,I29,IF('נתוני יסוד'!$B$2="אשה",I29*0.3,I29*0.6)),0)</f>
        <v>0</v>
      </c>
      <c r="K29" s="299"/>
      <c r="L29" s="300"/>
      <c r="M29" s="300"/>
      <c r="N29" s="300"/>
      <c r="O29" s="300"/>
      <c r="P29" s="301"/>
      <c r="Q29" s="301"/>
      <c r="R29" s="301"/>
      <c r="S29" s="301"/>
      <c r="T29" s="301"/>
      <c r="U29" s="301"/>
      <c r="V29" s="301"/>
      <c r="W29" s="301"/>
      <c r="X29" s="301"/>
      <c r="Y29" s="301"/>
      <c r="Z29" s="301"/>
      <c r="AA29" s="301"/>
      <c r="AB29" s="301"/>
      <c r="AC29" s="301"/>
      <c r="AD29" s="301"/>
      <c r="AE29" s="301"/>
      <c r="AF29" s="301"/>
      <c r="AG29" s="301"/>
      <c r="AH29" s="301"/>
      <c r="AI29" s="301"/>
      <c r="AJ29" s="301"/>
      <c r="AK29" s="301"/>
    </row>
    <row r="30" spans="1:37" s="302" customFormat="1" ht="50.1" customHeight="1" x14ac:dyDescent="0.3">
      <c r="A30" s="164" t="str">
        <f>IF(main!A36&gt;0,main!A36,"")</f>
        <v/>
      </c>
      <c r="B30" s="165" t="str">
        <f>IF(main!A36&gt;0,main!B36,"")</f>
        <v/>
      </c>
      <c r="C30" s="164" t="str">
        <f>IF(main!A36&gt;0,main!D36,"")</f>
        <v/>
      </c>
      <c r="D30" s="164" t="str">
        <f>IF(main!A36&gt;0,main!E36,"")</f>
        <v/>
      </c>
      <c r="E30" s="164" t="str">
        <f>IF(main!A36&gt;0,main!C36,"")</f>
        <v/>
      </c>
      <c r="F30" s="298" t="str">
        <f>IF(main!A36&gt;0,main!R36,"")</f>
        <v/>
      </c>
      <c r="G30" s="164">
        <f>main!BG36</f>
        <v>0</v>
      </c>
      <c r="H30" s="164" t="s">
        <v>620</v>
      </c>
      <c r="I30" s="164">
        <f>main!BK36</f>
        <v>0</v>
      </c>
      <c r="J30" s="599">
        <f>IF(I30&lt;&gt;"",IF(main!EH36=1,I30,IF('נתוני יסוד'!$B$2="אשה",I30*0.3,I30*0.6)),0)</f>
        <v>0</v>
      </c>
      <c r="K30" s="299"/>
      <c r="L30" s="300"/>
      <c r="M30" s="300"/>
      <c r="N30" s="300"/>
      <c r="O30" s="300"/>
      <c r="P30" s="301"/>
      <c r="Q30" s="301"/>
      <c r="R30" s="301"/>
      <c r="S30" s="301"/>
      <c r="T30" s="301"/>
      <c r="U30" s="301"/>
      <c r="V30" s="301"/>
      <c r="W30" s="301"/>
      <c r="X30" s="301"/>
      <c r="Y30" s="301"/>
      <c r="Z30" s="301"/>
      <c r="AA30" s="301"/>
      <c r="AB30" s="301"/>
      <c r="AC30" s="301"/>
      <c r="AD30" s="301"/>
      <c r="AE30" s="301"/>
      <c r="AF30" s="301"/>
      <c r="AG30" s="301"/>
      <c r="AH30" s="301"/>
      <c r="AI30" s="301"/>
      <c r="AJ30" s="301"/>
      <c r="AK30" s="301"/>
    </row>
    <row r="31" spans="1:37" s="302" customFormat="1" ht="50.1" customHeight="1" x14ac:dyDescent="0.3">
      <c r="A31" s="164" t="str">
        <f>IF(main!A37&gt;0,main!A37,"")</f>
        <v/>
      </c>
      <c r="B31" s="165" t="str">
        <f>IF(main!A37&gt;0,main!B37,"")</f>
        <v/>
      </c>
      <c r="C31" s="164" t="str">
        <f>IF(main!A37&gt;0,main!D37,"")</f>
        <v/>
      </c>
      <c r="D31" s="164" t="str">
        <f>IF(main!A37&gt;0,main!E37,"")</f>
        <v/>
      </c>
      <c r="E31" s="164" t="str">
        <f>IF(main!A37&gt;0,main!C37,"")</f>
        <v/>
      </c>
      <c r="F31" s="298" t="str">
        <f>IF(main!A37&gt;0,main!R37,"")</f>
        <v/>
      </c>
      <c r="G31" s="164">
        <f>main!BG37</f>
        <v>0</v>
      </c>
      <c r="H31" s="164" t="s">
        <v>620</v>
      </c>
      <c r="I31" s="164">
        <f>main!BK37</f>
        <v>0</v>
      </c>
      <c r="J31" s="599">
        <f>IF(I31&lt;&gt;"",IF(main!EH37=1,I31,IF('נתוני יסוד'!$B$2="אשה",I31*0.3,I31*0.6)),0)</f>
        <v>0</v>
      </c>
      <c r="K31" s="299"/>
      <c r="L31" s="300"/>
      <c r="M31" s="300"/>
      <c r="N31" s="300"/>
      <c r="O31" s="300"/>
      <c r="P31" s="301"/>
      <c r="Q31" s="301"/>
      <c r="R31" s="301"/>
      <c r="S31" s="301"/>
      <c r="T31" s="301"/>
      <c r="U31" s="301"/>
      <c r="V31" s="301"/>
      <c r="W31" s="301"/>
      <c r="X31" s="301"/>
      <c r="Y31" s="301"/>
      <c r="Z31" s="301"/>
      <c r="AA31" s="301"/>
      <c r="AB31" s="301"/>
      <c r="AC31" s="301"/>
      <c r="AD31" s="301"/>
      <c r="AE31" s="301"/>
      <c r="AF31" s="301"/>
      <c r="AG31" s="301"/>
      <c r="AH31" s="301"/>
      <c r="AI31" s="301"/>
      <c r="AJ31" s="301"/>
      <c r="AK31" s="301"/>
    </row>
    <row r="32" spans="1:37" s="302" customFormat="1" ht="50.1" customHeight="1" x14ac:dyDescent="0.3">
      <c r="A32" s="164" t="str">
        <f>IF(main!A38&gt;0,main!A38,"")</f>
        <v/>
      </c>
      <c r="B32" s="165" t="str">
        <f>IF(main!A38&gt;0,main!B38,"")</f>
        <v/>
      </c>
      <c r="C32" s="164" t="str">
        <f>IF(main!A38&gt;0,main!D38,"")</f>
        <v/>
      </c>
      <c r="D32" s="164" t="str">
        <f>IF(main!A38&gt;0,main!E38,"")</f>
        <v/>
      </c>
      <c r="E32" s="164" t="str">
        <f>IF(main!A38&gt;0,main!C38,"")</f>
        <v/>
      </c>
      <c r="F32" s="298" t="str">
        <f>IF(main!A38&gt;0,main!R38,"")</f>
        <v/>
      </c>
      <c r="G32" s="164">
        <f>main!BG38</f>
        <v>0</v>
      </c>
      <c r="H32" s="164" t="s">
        <v>620</v>
      </c>
      <c r="I32" s="164">
        <f>main!BK38</f>
        <v>0</v>
      </c>
      <c r="J32" s="599">
        <f>IF(I32&lt;&gt;"",IF(main!EH38=1,I32,IF('נתוני יסוד'!$B$2="אשה",I32*0.3,I32*0.6)),0)</f>
        <v>0</v>
      </c>
      <c r="K32" s="299"/>
      <c r="L32" s="300"/>
      <c r="M32" s="300"/>
      <c r="N32" s="300"/>
      <c r="O32" s="300"/>
      <c r="P32" s="301"/>
      <c r="Q32" s="301"/>
      <c r="R32" s="301"/>
      <c r="S32" s="301"/>
      <c r="T32" s="301"/>
      <c r="U32" s="301"/>
      <c r="V32" s="301"/>
      <c r="W32" s="301"/>
      <c r="X32" s="301"/>
      <c r="Y32" s="301"/>
      <c r="Z32" s="301"/>
      <c r="AA32" s="301"/>
      <c r="AB32" s="301"/>
      <c r="AC32" s="301"/>
      <c r="AD32" s="301"/>
      <c r="AE32" s="301"/>
      <c r="AF32" s="301"/>
      <c r="AG32" s="301"/>
      <c r="AH32" s="301"/>
      <c r="AI32" s="301"/>
      <c r="AJ32" s="301"/>
      <c r="AK32" s="301"/>
    </row>
    <row r="33" spans="1:37" s="302" customFormat="1" ht="50.1" customHeight="1" x14ac:dyDescent="0.3">
      <c r="A33" s="164" t="str">
        <f>IF(main!A39&gt;0,main!A39,"")</f>
        <v/>
      </c>
      <c r="B33" s="165" t="str">
        <f>IF(main!A39&gt;0,main!B39,"")</f>
        <v/>
      </c>
      <c r="C33" s="164" t="str">
        <f>IF(main!A39&gt;0,main!D39,"")</f>
        <v/>
      </c>
      <c r="D33" s="164" t="str">
        <f>IF(main!A39&gt;0,main!E39,"")</f>
        <v/>
      </c>
      <c r="E33" s="164" t="str">
        <f>IF(main!A39&gt;0,main!C39,"")</f>
        <v/>
      </c>
      <c r="F33" s="298" t="str">
        <f>IF(main!A39&gt;0,main!R39,"")</f>
        <v/>
      </c>
      <c r="G33" s="164">
        <f>main!BG39</f>
        <v>0</v>
      </c>
      <c r="H33" s="164" t="s">
        <v>620</v>
      </c>
      <c r="I33" s="164">
        <f>main!BK39</f>
        <v>0</v>
      </c>
      <c r="J33" s="599">
        <f>IF(I33&lt;&gt;"",IF(main!EH39=1,I33,IF('נתוני יסוד'!$B$2="אשה",I33*0.3,I33*0.6)),0)</f>
        <v>0</v>
      </c>
      <c r="K33" s="299"/>
      <c r="L33" s="300"/>
      <c r="M33" s="300"/>
      <c r="N33" s="300"/>
      <c r="O33" s="300"/>
      <c r="P33" s="301"/>
      <c r="Q33" s="301"/>
      <c r="R33" s="301"/>
      <c r="S33" s="301"/>
      <c r="T33" s="301"/>
      <c r="U33" s="301"/>
      <c r="V33" s="301"/>
      <c r="W33" s="301"/>
      <c r="X33" s="301"/>
      <c r="Y33" s="301"/>
      <c r="Z33" s="301"/>
      <c r="AA33" s="301"/>
      <c r="AB33" s="301"/>
      <c r="AC33" s="301"/>
      <c r="AD33" s="301"/>
      <c r="AE33" s="301"/>
      <c r="AF33" s="301"/>
      <c r="AG33" s="301"/>
      <c r="AH33" s="301"/>
      <c r="AI33" s="301"/>
      <c r="AJ33" s="301"/>
      <c r="AK33" s="301"/>
    </row>
    <row r="34" spans="1:37" s="302" customFormat="1" ht="50.1" customHeight="1" x14ac:dyDescent="0.3">
      <c r="A34" s="164" t="str">
        <f>IF(main!A40&gt;0,main!A40,"")</f>
        <v/>
      </c>
      <c r="B34" s="165" t="str">
        <f>IF(main!A40&gt;0,main!B40,"")</f>
        <v/>
      </c>
      <c r="C34" s="164" t="str">
        <f>IF(main!A40&gt;0,main!D40,"")</f>
        <v/>
      </c>
      <c r="D34" s="164" t="str">
        <f>IF(main!A40&gt;0,main!E40,"")</f>
        <v/>
      </c>
      <c r="E34" s="164" t="str">
        <f>IF(main!A40&gt;0,main!C40,"")</f>
        <v/>
      </c>
      <c r="F34" s="298" t="str">
        <f>IF(main!A40&gt;0,main!R40,"")</f>
        <v/>
      </c>
      <c r="G34" s="164">
        <f>main!BG40</f>
        <v>0</v>
      </c>
      <c r="H34" s="164" t="s">
        <v>620</v>
      </c>
      <c r="I34" s="164">
        <f>main!BK40</f>
        <v>0</v>
      </c>
      <c r="J34" s="599">
        <f>IF(I34&lt;&gt;"",IF(main!EH40=1,I34,IF('נתוני יסוד'!$B$2="אשה",I34*0.3,I34*0.6)),0)</f>
        <v>0</v>
      </c>
      <c r="K34" s="299"/>
      <c r="L34" s="300"/>
      <c r="M34" s="300"/>
      <c r="N34" s="300"/>
      <c r="O34" s="300"/>
      <c r="P34" s="301"/>
      <c r="Q34" s="301"/>
      <c r="R34" s="301"/>
      <c r="S34" s="301"/>
      <c r="T34" s="301"/>
      <c r="U34" s="301"/>
      <c r="V34" s="301"/>
      <c r="W34" s="301"/>
      <c r="X34" s="301"/>
      <c r="Y34" s="301"/>
      <c r="Z34" s="301"/>
      <c r="AA34" s="301"/>
      <c r="AB34" s="301"/>
      <c r="AC34" s="301"/>
      <c r="AD34" s="301"/>
      <c r="AE34" s="301"/>
      <c r="AF34" s="301"/>
      <c r="AG34" s="301"/>
      <c r="AH34" s="301"/>
      <c r="AI34" s="301"/>
      <c r="AJ34" s="301"/>
      <c r="AK34" s="301"/>
    </row>
    <row r="35" spans="1:37" s="302" customFormat="1" ht="50.1" customHeight="1" x14ac:dyDescent="0.3">
      <c r="A35" s="164" t="str">
        <f>IF(main!A41&gt;0,main!A41,"")</f>
        <v/>
      </c>
      <c r="B35" s="165" t="str">
        <f>IF(main!A41&gt;0,main!B41,"")</f>
        <v/>
      </c>
      <c r="C35" s="164" t="str">
        <f>IF(main!A41&gt;0,main!D41,"")</f>
        <v/>
      </c>
      <c r="D35" s="164" t="str">
        <f>IF(main!A41&gt;0,main!E41,"")</f>
        <v/>
      </c>
      <c r="E35" s="164" t="str">
        <f>IF(main!A41&gt;0,main!C41,"")</f>
        <v/>
      </c>
      <c r="F35" s="298" t="str">
        <f>IF(main!A41&gt;0,main!R41,"")</f>
        <v/>
      </c>
      <c r="G35" s="164">
        <f>main!BG41</f>
        <v>0</v>
      </c>
      <c r="H35" s="164" t="s">
        <v>620</v>
      </c>
      <c r="I35" s="164">
        <f>main!BK41</f>
        <v>0</v>
      </c>
      <c r="J35" s="599">
        <f>IF(I35&lt;&gt;"",IF(main!EH41=1,I35,IF('נתוני יסוד'!$B$2="אשה",I35*0.3,I35*0.6)),0)</f>
        <v>0</v>
      </c>
      <c r="K35" s="299"/>
      <c r="L35" s="300"/>
      <c r="M35" s="300"/>
      <c r="N35" s="300"/>
      <c r="O35" s="300"/>
      <c r="P35" s="301"/>
      <c r="Q35" s="301"/>
      <c r="R35" s="301"/>
      <c r="S35" s="301"/>
      <c r="T35" s="301"/>
      <c r="U35" s="301"/>
      <c r="V35" s="301"/>
      <c r="W35" s="301"/>
      <c r="X35" s="301"/>
      <c r="Y35" s="301"/>
      <c r="Z35" s="301"/>
      <c r="AA35" s="301"/>
      <c r="AB35" s="301"/>
      <c r="AC35" s="301"/>
      <c r="AD35" s="301"/>
      <c r="AE35" s="301"/>
      <c r="AF35" s="301"/>
      <c r="AG35" s="301"/>
      <c r="AH35" s="301"/>
      <c r="AI35" s="301"/>
      <c r="AJ35" s="301"/>
      <c r="AK35" s="301"/>
    </row>
    <row r="36" spans="1:37" s="302" customFormat="1" ht="50.1" customHeight="1" x14ac:dyDescent="0.3">
      <c r="A36" s="164" t="str">
        <f>IF(main!A42&gt;0,main!A42,"")</f>
        <v/>
      </c>
      <c r="B36" s="165" t="str">
        <f>IF(main!A42&gt;0,main!B42,"")</f>
        <v/>
      </c>
      <c r="C36" s="164" t="str">
        <f>IF(main!A42&gt;0,main!D42,"")</f>
        <v/>
      </c>
      <c r="D36" s="164" t="str">
        <f>IF(main!A42&gt;0,main!E42,"")</f>
        <v/>
      </c>
      <c r="E36" s="164" t="str">
        <f>IF(main!A42&gt;0,main!C42,"")</f>
        <v/>
      </c>
      <c r="F36" s="298" t="str">
        <f>IF(main!A42&gt;0,main!R42,"")</f>
        <v/>
      </c>
      <c r="G36" s="164">
        <f>main!BG42</f>
        <v>0</v>
      </c>
      <c r="H36" s="164" t="s">
        <v>620</v>
      </c>
      <c r="I36" s="164">
        <f>main!BK42</f>
        <v>0</v>
      </c>
      <c r="J36" s="599">
        <f>IF(I36&lt;&gt;"",IF(main!EH42=1,I36,IF('נתוני יסוד'!$B$2="אשה",I36*0.3,I36*0.6)),0)</f>
        <v>0</v>
      </c>
      <c r="K36" s="299"/>
      <c r="L36" s="300"/>
      <c r="M36" s="300"/>
      <c r="N36" s="300"/>
      <c r="O36" s="300"/>
      <c r="P36" s="301"/>
      <c r="Q36" s="301"/>
      <c r="R36" s="301"/>
      <c r="S36" s="301"/>
      <c r="T36" s="301"/>
      <c r="U36" s="301"/>
      <c r="V36" s="301"/>
      <c r="W36" s="301"/>
      <c r="X36" s="301"/>
      <c r="Y36" s="301"/>
      <c r="Z36" s="301"/>
      <c r="AA36" s="301"/>
      <c r="AB36" s="301"/>
      <c r="AC36" s="301"/>
      <c r="AD36" s="301"/>
      <c r="AE36" s="301"/>
      <c r="AF36" s="301"/>
      <c r="AG36" s="301"/>
      <c r="AH36" s="301"/>
      <c r="AI36" s="301"/>
      <c r="AJ36" s="301"/>
      <c r="AK36" s="301"/>
    </row>
    <row r="37" spans="1:37" s="302" customFormat="1" ht="50.1" customHeight="1" x14ac:dyDescent="0.3">
      <c r="A37" s="164" t="str">
        <f>IF(main!A43&gt;0,main!A43,"")</f>
        <v/>
      </c>
      <c r="B37" s="165" t="str">
        <f>IF(main!A43&gt;0,main!B43,"")</f>
        <v/>
      </c>
      <c r="C37" s="164" t="str">
        <f>IF(main!A43&gt;0,main!D43,"")</f>
        <v/>
      </c>
      <c r="D37" s="164" t="str">
        <f>IF(main!A43&gt;0,main!E43,"")</f>
        <v/>
      </c>
      <c r="E37" s="164" t="str">
        <f>IF(main!A43&gt;0,main!C43,"")</f>
        <v/>
      </c>
      <c r="F37" s="298" t="str">
        <f>IF(main!A43&gt;0,main!R43,"")</f>
        <v/>
      </c>
      <c r="G37" s="164">
        <f>main!BG43</f>
        <v>0</v>
      </c>
      <c r="H37" s="164" t="s">
        <v>620</v>
      </c>
      <c r="I37" s="164">
        <f>main!BK43</f>
        <v>0</v>
      </c>
      <c r="J37" s="599">
        <f>IF(I37&lt;&gt;"",IF(main!EH43=1,I37,IF('נתוני יסוד'!$B$2="אשה",I37*0.3,I37*0.6)),0)</f>
        <v>0</v>
      </c>
      <c r="K37" s="299"/>
      <c r="L37" s="300"/>
      <c r="M37" s="300"/>
      <c r="N37" s="300"/>
      <c r="O37" s="300"/>
      <c r="P37" s="301"/>
      <c r="Q37" s="301"/>
      <c r="R37" s="301"/>
      <c r="S37" s="301"/>
      <c r="T37" s="301"/>
      <c r="U37" s="301"/>
      <c r="V37" s="301"/>
      <c r="W37" s="301"/>
      <c r="X37" s="301"/>
      <c r="Y37" s="301"/>
      <c r="Z37" s="301"/>
      <c r="AA37" s="301"/>
      <c r="AB37" s="301"/>
      <c r="AC37" s="301"/>
      <c r="AD37" s="301"/>
      <c r="AE37" s="301"/>
      <c r="AF37" s="301"/>
      <c r="AG37" s="301"/>
      <c r="AH37" s="301"/>
      <c r="AI37" s="301"/>
      <c r="AJ37" s="301"/>
      <c r="AK37" s="301"/>
    </row>
    <row r="38" spans="1:37" s="302" customFormat="1" ht="50.1" customHeight="1" x14ac:dyDescent="0.3">
      <c r="A38" s="164" t="str">
        <f>IF(main!A44&gt;0,main!A44,"")</f>
        <v/>
      </c>
      <c r="B38" s="165" t="str">
        <f>IF(main!A44&gt;0,main!B44,"")</f>
        <v/>
      </c>
      <c r="C38" s="164" t="str">
        <f>IF(main!A44&gt;0,main!D44,"")</f>
        <v/>
      </c>
      <c r="D38" s="164" t="str">
        <f>IF(main!A44&gt;0,main!E44,"")</f>
        <v/>
      </c>
      <c r="E38" s="164" t="str">
        <f>IF(main!A44&gt;0,main!C44,"")</f>
        <v/>
      </c>
      <c r="F38" s="298" t="str">
        <f>IF(main!A44&gt;0,main!R44,"")</f>
        <v/>
      </c>
      <c r="G38" s="164">
        <f>main!BG44</f>
        <v>0</v>
      </c>
      <c r="H38" s="164" t="s">
        <v>620</v>
      </c>
      <c r="I38" s="164">
        <f>main!BK44</f>
        <v>0</v>
      </c>
      <c r="J38" s="599">
        <f>IF(I38&lt;&gt;"",IF(main!EH44=1,I38,IF('נתוני יסוד'!$B$2="אשה",I38*0.3,I38*0.6)),0)</f>
        <v>0</v>
      </c>
      <c r="K38" s="299"/>
      <c r="L38" s="300"/>
      <c r="M38" s="300"/>
      <c r="N38" s="300"/>
      <c r="O38" s="300"/>
      <c r="P38" s="301"/>
      <c r="Q38" s="301"/>
      <c r="R38" s="301"/>
      <c r="S38" s="301"/>
      <c r="T38" s="301"/>
      <c r="U38" s="301"/>
      <c r="V38" s="301"/>
      <c r="W38" s="301"/>
      <c r="X38" s="301"/>
      <c r="Y38" s="301"/>
      <c r="Z38" s="301"/>
      <c r="AA38" s="301"/>
      <c r="AB38" s="301"/>
      <c r="AC38" s="301"/>
      <c r="AD38" s="301"/>
      <c r="AE38" s="301"/>
      <c r="AF38" s="301"/>
      <c r="AG38" s="301"/>
      <c r="AH38" s="301"/>
      <c r="AI38" s="301"/>
      <c r="AJ38" s="301"/>
      <c r="AK38" s="301"/>
    </row>
    <row r="39" spans="1:37" s="305" customFormat="1" ht="50.1" customHeight="1" thickBot="1" x14ac:dyDescent="0.35">
      <c r="A39" s="164" t="str">
        <f>IF(main!A45&gt;0,main!A45,"")</f>
        <v/>
      </c>
      <c r="B39" s="165" t="str">
        <f>IF(main!A45&gt;0,main!B45,"")</f>
        <v/>
      </c>
      <c r="C39" s="164" t="str">
        <f>IF(main!A45&gt;0,main!D45,"")</f>
        <v/>
      </c>
      <c r="D39" s="164" t="str">
        <f>IF(main!A45&gt;0,main!E45,"")</f>
        <v/>
      </c>
      <c r="E39" s="164" t="str">
        <f>IF(main!A45&gt;0,main!C45,"")</f>
        <v/>
      </c>
      <c r="F39" s="298" t="str">
        <f>IF(main!A45&gt;0,main!R45,"")</f>
        <v/>
      </c>
      <c r="G39" s="164">
        <f>main!BG45</f>
        <v>0</v>
      </c>
      <c r="H39" s="164" t="s">
        <v>620</v>
      </c>
      <c r="I39" s="164">
        <f>main!BK45</f>
        <v>0</v>
      </c>
      <c r="J39" s="599">
        <f>IF(I39&lt;&gt;"",IF(main!EH45=1,I39,IF('נתוני יסוד'!$B$2="אשה",I39*0.3,I39*0.6)),0)</f>
        <v>0</v>
      </c>
      <c r="K39" s="304"/>
      <c r="L39" s="300"/>
      <c r="M39" s="300"/>
      <c r="N39" s="300"/>
      <c r="O39" s="300"/>
      <c r="P39" s="301"/>
      <c r="Q39" s="301"/>
      <c r="R39" s="301"/>
      <c r="S39" s="301"/>
      <c r="T39" s="301"/>
      <c r="U39" s="301"/>
      <c r="V39" s="301"/>
      <c r="W39" s="301"/>
      <c r="X39" s="301"/>
      <c r="Y39" s="301"/>
      <c r="Z39" s="301"/>
      <c r="AA39" s="301"/>
      <c r="AB39" s="301"/>
      <c r="AC39" s="301"/>
      <c r="AD39" s="301"/>
      <c r="AE39" s="301"/>
      <c r="AF39" s="301"/>
      <c r="AG39" s="301"/>
      <c r="AH39" s="301"/>
      <c r="AI39" s="301"/>
      <c r="AJ39" s="301"/>
      <c r="AK39" s="301"/>
    </row>
    <row r="40" spans="1:37" s="310" customFormat="1" ht="38.25" customHeight="1" thickTop="1" thickBot="1" x14ac:dyDescent="0.3">
      <c r="A40" s="595"/>
      <c r="B40" s="1087" t="s">
        <v>622</v>
      </c>
      <c r="C40" s="1088"/>
      <c r="D40" s="1088"/>
      <c r="E40" s="1089"/>
      <c r="F40" s="595"/>
      <c r="G40" s="1048">
        <f>SUMIF(I3:I39,"",G3:G39)</f>
        <v>0</v>
      </c>
      <c r="H40" s="595"/>
      <c r="I40" s="1048">
        <f>SUM(I3:I39)</f>
        <v>0</v>
      </c>
      <c r="J40" s="1048">
        <f>SUM(J3:J39)</f>
        <v>0</v>
      </c>
      <c r="K40" s="308"/>
      <c r="L40" s="309"/>
      <c r="M40" s="309"/>
      <c r="N40" s="309"/>
      <c r="O40" s="309"/>
      <c r="P40" s="309"/>
      <c r="Q40" s="309"/>
      <c r="R40" s="309"/>
      <c r="S40" s="309"/>
      <c r="T40" s="309"/>
      <c r="U40" s="309"/>
      <c r="V40" s="309"/>
      <c r="W40" s="309"/>
      <c r="X40" s="309"/>
      <c r="Y40" s="309"/>
      <c r="Z40" s="309"/>
      <c r="AA40" s="309"/>
      <c r="AB40" s="309"/>
      <c r="AC40" s="309"/>
      <c r="AD40" s="309"/>
      <c r="AE40" s="309"/>
      <c r="AF40" s="309"/>
      <c r="AG40" s="309"/>
      <c r="AH40" s="309"/>
      <c r="AI40" s="309"/>
      <c r="AJ40" s="309"/>
      <c r="AK40" s="309"/>
    </row>
    <row r="41" spans="1:37" s="312" customFormat="1" ht="38.25" customHeight="1" thickTop="1" thickBot="1" x14ac:dyDescent="0.3">
      <c r="A41" s="595"/>
      <c r="B41" s="1087" t="s">
        <v>623</v>
      </c>
      <c r="C41" s="1088"/>
      <c r="D41" s="1088"/>
      <c r="E41" s="1089"/>
      <c r="F41" s="595"/>
      <c r="G41" s="1048">
        <f>SUM(G3:G39)</f>
        <v>29520221.329107102</v>
      </c>
      <c r="H41" s="595"/>
      <c r="I41" s="1048">
        <f>SUMIF(G3:G39,"",I3:I39)</f>
        <v>0</v>
      </c>
      <c r="J41" s="1048"/>
      <c r="L41" s="314"/>
      <c r="M41" s="314"/>
      <c r="N41" s="314"/>
      <c r="O41" s="314"/>
      <c r="P41" s="314"/>
      <c r="Q41" s="314"/>
      <c r="R41" s="314"/>
      <c r="S41" s="314"/>
      <c r="T41" s="314"/>
      <c r="U41" s="314"/>
      <c r="V41" s="314"/>
      <c r="W41" s="314"/>
      <c r="X41" s="314"/>
      <c r="Y41" s="314"/>
      <c r="Z41" s="314"/>
      <c r="AA41" s="314"/>
      <c r="AB41" s="314"/>
      <c r="AC41" s="314"/>
      <c r="AD41" s="314"/>
      <c r="AE41" s="314"/>
      <c r="AF41" s="314"/>
      <c r="AG41" s="314"/>
      <c r="AH41" s="314"/>
      <c r="AI41" s="314"/>
      <c r="AJ41" s="314"/>
      <c r="AK41" s="314"/>
    </row>
    <row r="42" spans="1:37" s="315" customFormat="1" ht="38.25" customHeight="1" thickTop="1" thickBot="1" x14ac:dyDescent="0.3">
      <c r="A42" s="595"/>
      <c r="B42" s="1087" t="s">
        <v>624</v>
      </c>
      <c r="C42" s="1088"/>
      <c r="D42" s="1088"/>
      <c r="E42" s="1089"/>
      <c r="F42" s="595"/>
      <c r="G42" s="595"/>
      <c r="H42" s="595"/>
      <c r="I42" s="595">
        <f>'קצבה מזכה 2016'!E12</f>
        <v>0</v>
      </c>
      <c r="J42" s="595"/>
      <c r="K42" s="312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  <c r="AI42" s="290"/>
      <c r="AJ42" s="290"/>
      <c r="AK42" s="290"/>
    </row>
    <row r="43" spans="1:37" s="290" customFormat="1" ht="15.75" thickTop="1" x14ac:dyDescent="0.25">
      <c r="A43" s="316"/>
      <c r="B43" s="316"/>
      <c r="D43" s="316"/>
      <c r="E43" s="316"/>
      <c r="F43" s="317"/>
      <c r="J43" s="318"/>
    </row>
    <row r="44" spans="1:37" s="290" customFormat="1" ht="15" x14ac:dyDescent="0.25">
      <c r="A44" s="316"/>
      <c r="B44" s="316"/>
      <c r="D44" s="316"/>
      <c r="E44" s="316"/>
      <c r="F44" s="317"/>
      <c r="J44" s="318"/>
    </row>
    <row r="45" spans="1:37" s="290" customFormat="1" ht="15" x14ac:dyDescent="0.25">
      <c r="A45" s="316"/>
      <c r="B45" s="316"/>
      <c r="D45" s="316"/>
      <c r="E45" s="316"/>
      <c r="F45" s="317"/>
      <c r="J45" s="318"/>
    </row>
    <row r="46" spans="1:37" s="290" customFormat="1" x14ac:dyDescent="0.2">
      <c r="J46" s="319"/>
    </row>
    <row r="47" spans="1:37" s="290" customFormat="1" ht="15" x14ac:dyDescent="0.25">
      <c r="A47" s="316"/>
      <c r="D47" s="316"/>
      <c r="E47" s="316"/>
      <c r="F47" s="317"/>
      <c r="J47" s="318"/>
    </row>
    <row r="48" spans="1:37" s="290" customFormat="1" ht="15" x14ac:dyDescent="0.25">
      <c r="A48" s="316"/>
      <c r="D48" s="316"/>
      <c r="E48" s="316"/>
      <c r="F48" s="317"/>
      <c r="J48" s="318"/>
    </row>
    <row r="49" spans="1:13" s="290" customFormat="1" ht="15" x14ac:dyDescent="0.25">
      <c r="A49" s="316"/>
      <c r="D49" s="316"/>
      <c r="E49" s="316"/>
      <c r="F49" s="317"/>
      <c r="J49" s="318"/>
    </row>
    <row r="50" spans="1:13" s="290" customFormat="1" ht="15" x14ac:dyDescent="0.25">
      <c r="A50" s="316"/>
      <c r="D50" s="316"/>
      <c r="E50" s="316"/>
      <c r="F50" s="317"/>
      <c r="J50" s="318"/>
    </row>
    <row r="51" spans="1:13" s="290" customFormat="1" ht="38.25" x14ac:dyDescent="0.25">
      <c r="A51" s="316"/>
      <c r="D51" s="316"/>
      <c r="E51" s="316"/>
      <c r="F51" s="317"/>
      <c r="J51" s="318"/>
      <c r="L51" s="186" t="s">
        <v>522</v>
      </c>
      <c r="M51" s="187" t="s">
        <v>502</v>
      </c>
    </row>
    <row r="52" spans="1:13" s="290" customFormat="1" ht="20.100000000000001" customHeight="1" x14ac:dyDescent="0.25">
      <c r="A52" s="316"/>
      <c r="D52" s="316"/>
      <c r="E52" s="316"/>
      <c r="F52" s="317"/>
      <c r="J52" s="318"/>
      <c r="L52" s="205"/>
      <c r="M52" s="206"/>
    </row>
    <row r="53" spans="1:13" s="290" customFormat="1" ht="20.100000000000001" customHeight="1" x14ac:dyDescent="0.25">
      <c r="A53" s="290" t="str">
        <f>IF(ISBLANK(A12),12:12=13:13,"")</f>
        <v/>
      </c>
      <c r="D53" s="316"/>
      <c r="E53" s="316"/>
      <c r="F53" s="317"/>
      <c r="J53" s="319"/>
      <c r="L53" s="205"/>
      <c r="M53" s="206"/>
    </row>
    <row r="54" spans="1:13" s="290" customFormat="1" ht="20.100000000000001" customHeight="1" x14ac:dyDescent="0.25">
      <c r="D54" s="316"/>
      <c r="E54" s="316"/>
      <c r="F54" s="317"/>
      <c r="J54" s="319"/>
      <c r="L54" s="205"/>
      <c r="M54" s="206"/>
    </row>
    <row r="55" spans="1:13" s="290" customFormat="1" ht="20.100000000000001" customHeight="1" x14ac:dyDescent="0.25">
      <c r="D55" s="316"/>
      <c r="E55" s="316"/>
      <c r="F55" s="317"/>
      <c r="J55" s="319"/>
      <c r="L55" s="205"/>
      <c r="M55" s="206"/>
    </row>
    <row r="56" spans="1:13" s="290" customFormat="1" ht="20.100000000000001" customHeight="1" x14ac:dyDescent="0.25">
      <c r="D56" s="316"/>
      <c r="E56" s="316"/>
      <c r="F56" s="317"/>
      <c r="J56" s="319"/>
      <c r="L56" s="205"/>
      <c r="M56" s="206"/>
    </row>
    <row r="57" spans="1:13" s="290" customFormat="1" ht="20.100000000000001" customHeight="1" x14ac:dyDescent="0.25">
      <c r="D57" s="316"/>
      <c r="E57" s="316"/>
      <c r="F57" s="317"/>
      <c r="J57" s="319"/>
      <c r="L57" s="205"/>
      <c r="M57" s="206"/>
    </row>
    <row r="58" spans="1:13" s="290" customFormat="1" ht="20.100000000000001" customHeight="1" x14ac:dyDescent="0.25">
      <c r="D58" s="316"/>
      <c r="E58" s="316"/>
      <c r="F58" s="317"/>
      <c r="J58" s="319"/>
      <c r="L58" s="205"/>
      <c r="M58" s="206"/>
    </row>
    <row r="59" spans="1:13" s="290" customFormat="1" ht="20.100000000000001" customHeight="1" x14ac:dyDescent="0.25">
      <c r="D59" s="316"/>
      <c r="E59" s="316"/>
      <c r="F59" s="317"/>
      <c r="J59" s="319"/>
      <c r="L59" s="205"/>
      <c r="M59" s="206"/>
    </row>
    <row r="60" spans="1:13" s="290" customFormat="1" ht="20.100000000000001" customHeight="1" x14ac:dyDescent="0.25">
      <c r="D60" s="316"/>
      <c r="E60" s="316"/>
      <c r="F60" s="317"/>
      <c r="J60" s="319"/>
      <c r="L60" s="205"/>
      <c r="M60" s="206"/>
    </row>
    <row r="61" spans="1:13" s="290" customFormat="1" ht="15" x14ac:dyDescent="0.25">
      <c r="D61" s="316"/>
      <c r="E61" s="316"/>
      <c r="F61" s="317"/>
      <c r="J61" s="319"/>
    </row>
    <row r="62" spans="1:13" s="290" customFormat="1" ht="15" x14ac:dyDescent="0.25">
      <c r="D62" s="316"/>
      <c r="E62" s="316"/>
      <c r="F62" s="317"/>
      <c r="J62" s="319"/>
    </row>
    <row r="63" spans="1:13" s="290" customFormat="1" ht="15" x14ac:dyDescent="0.25">
      <c r="D63" s="316"/>
      <c r="E63" s="316"/>
      <c r="F63" s="317"/>
      <c r="J63" s="319"/>
    </row>
    <row r="64" spans="1:13" s="290" customFormat="1" ht="15" x14ac:dyDescent="0.25">
      <c r="D64" s="316"/>
      <c r="E64" s="316"/>
      <c r="F64" s="317"/>
      <c r="J64" s="319"/>
    </row>
    <row r="65" spans="4:10" s="290" customFormat="1" ht="15" x14ac:dyDescent="0.25">
      <c r="D65" s="316"/>
      <c r="E65" s="316"/>
      <c r="F65" s="317"/>
      <c r="J65" s="319"/>
    </row>
    <row r="66" spans="4:10" s="290" customFormat="1" ht="15" x14ac:dyDescent="0.25">
      <c r="D66" s="316"/>
      <c r="E66" s="316"/>
      <c r="F66" s="317"/>
      <c r="J66" s="319"/>
    </row>
    <row r="67" spans="4:10" s="290" customFormat="1" ht="15" x14ac:dyDescent="0.25">
      <c r="D67" s="316"/>
      <c r="E67" s="316"/>
      <c r="F67" s="317"/>
      <c r="J67" s="319"/>
    </row>
    <row r="68" spans="4:10" s="290" customFormat="1" ht="15" x14ac:dyDescent="0.25">
      <c r="D68" s="316"/>
      <c r="E68" s="316"/>
      <c r="F68" s="317"/>
      <c r="J68" s="319"/>
    </row>
    <row r="69" spans="4:10" s="290" customFormat="1" ht="15" x14ac:dyDescent="0.25">
      <c r="D69" s="316"/>
      <c r="E69" s="316"/>
      <c r="F69" s="317"/>
      <c r="J69" s="319"/>
    </row>
    <row r="70" spans="4:10" s="290" customFormat="1" ht="15" x14ac:dyDescent="0.25">
      <c r="D70" s="316"/>
      <c r="E70" s="316"/>
      <c r="F70" s="317"/>
      <c r="J70" s="319"/>
    </row>
    <row r="71" spans="4:10" s="290" customFormat="1" ht="15" x14ac:dyDescent="0.25">
      <c r="D71" s="316"/>
      <c r="E71" s="316"/>
      <c r="F71" s="317"/>
      <c r="J71" s="319"/>
    </row>
    <row r="72" spans="4:10" s="290" customFormat="1" ht="15" x14ac:dyDescent="0.25">
      <c r="D72" s="316"/>
      <c r="E72" s="316"/>
      <c r="F72" s="317"/>
      <c r="J72" s="319"/>
    </row>
    <row r="73" spans="4:10" s="290" customFormat="1" ht="15" x14ac:dyDescent="0.25">
      <c r="D73" s="316"/>
      <c r="E73" s="316"/>
      <c r="F73" s="317"/>
      <c r="J73" s="319"/>
    </row>
    <row r="74" spans="4:10" s="290" customFormat="1" ht="15" x14ac:dyDescent="0.25">
      <c r="D74" s="316"/>
      <c r="E74" s="316"/>
      <c r="F74" s="317"/>
      <c r="J74" s="319"/>
    </row>
    <row r="75" spans="4:10" s="290" customFormat="1" ht="15" x14ac:dyDescent="0.25">
      <c r="D75" s="316"/>
      <c r="E75" s="316"/>
      <c r="F75" s="317"/>
      <c r="J75" s="319"/>
    </row>
    <row r="76" spans="4:10" s="290" customFormat="1" ht="15" x14ac:dyDescent="0.25">
      <c r="D76" s="316"/>
      <c r="E76" s="316"/>
      <c r="F76" s="317"/>
      <c r="J76" s="319"/>
    </row>
    <row r="77" spans="4:10" s="290" customFormat="1" ht="15" x14ac:dyDescent="0.25">
      <c r="D77" s="316"/>
      <c r="E77" s="316"/>
      <c r="F77" s="317"/>
      <c r="J77" s="319"/>
    </row>
    <row r="78" spans="4:10" s="290" customFormat="1" ht="15" x14ac:dyDescent="0.25">
      <c r="D78" s="316"/>
      <c r="E78" s="316"/>
      <c r="F78" s="317"/>
      <c r="J78" s="319"/>
    </row>
    <row r="79" spans="4:10" s="290" customFormat="1" ht="15" x14ac:dyDescent="0.25">
      <c r="D79" s="316"/>
      <c r="E79" s="316"/>
      <c r="F79" s="317"/>
      <c r="J79" s="319"/>
    </row>
    <row r="80" spans="4:10" s="290" customFormat="1" ht="15" x14ac:dyDescent="0.25">
      <c r="D80" s="316"/>
      <c r="E80" s="316"/>
      <c r="F80" s="317"/>
      <c r="J80" s="319"/>
    </row>
    <row r="81" spans="4:10" s="290" customFormat="1" ht="15" x14ac:dyDescent="0.25">
      <c r="D81" s="316"/>
      <c r="E81" s="316"/>
      <c r="F81" s="317"/>
      <c r="J81" s="319"/>
    </row>
    <row r="82" spans="4:10" s="290" customFormat="1" ht="15" x14ac:dyDescent="0.25">
      <c r="D82" s="316"/>
      <c r="E82" s="316"/>
      <c r="F82" s="317"/>
      <c r="J82" s="319"/>
    </row>
    <row r="83" spans="4:10" s="290" customFormat="1" ht="15" x14ac:dyDescent="0.25">
      <c r="D83" s="316"/>
      <c r="E83" s="316"/>
      <c r="F83" s="317"/>
      <c r="J83" s="319"/>
    </row>
    <row r="84" spans="4:10" s="290" customFormat="1" ht="15" x14ac:dyDescent="0.25">
      <c r="D84" s="316"/>
      <c r="E84" s="316"/>
      <c r="F84" s="317"/>
      <c r="J84" s="319"/>
    </row>
    <row r="85" spans="4:10" s="290" customFormat="1" ht="15" x14ac:dyDescent="0.25">
      <c r="D85" s="316"/>
      <c r="E85" s="316"/>
      <c r="F85" s="317"/>
      <c r="J85" s="319"/>
    </row>
    <row r="86" spans="4:10" s="290" customFormat="1" ht="15" x14ac:dyDescent="0.25">
      <c r="D86" s="316"/>
      <c r="E86" s="316"/>
      <c r="F86" s="317"/>
      <c r="J86" s="319"/>
    </row>
    <row r="87" spans="4:10" s="290" customFormat="1" ht="15" x14ac:dyDescent="0.25">
      <c r="D87" s="316"/>
      <c r="E87" s="316"/>
      <c r="F87" s="317"/>
      <c r="J87" s="319"/>
    </row>
    <row r="88" spans="4:10" s="290" customFormat="1" ht="15" x14ac:dyDescent="0.25">
      <c r="D88" s="316"/>
      <c r="E88" s="316"/>
      <c r="F88" s="317"/>
      <c r="J88" s="319"/>
    </row>
    <row r="89" spans="4:10" s="290" customFormat="1" ht="15" x14ac:dyDescent="0.25">
      <c r="D89" s="316"/>
      <c r="E89" s="316"/>
      <c r="F89" s="317"/>
      <c r="J89" s="319"/>
    </row>
    <row r="90" spans="4:10" s="290" customFormat="1" ht="15" x14ac:dyDescent="0.25">
      <c r="F90" s="317"/>
      <c r="J90" s="319"/>
    </row>
    <row r="91" spans="4:10" s="290" customFormat="1" ht="15" x14ac:dyDescent="0.25">
      <c r="F91" s="317"/>
      <c r="J91" s="319"/>
    </row>
    <row r="92" spans="4:10" s="290" customFormat="1" ht="15" x14ac:dyDescent="0.25">
      <c r="F92" s="317"/>
      <c r="J92" s="319"/>
    </row>
    <row r="93" spans="4:10" s="290" customFormat="1" ht="15" x14ac:dyDescent="0.25">
      <c r="F93" s="317"/>
      <c r="J93" s="319"/>
    </row>
    <row r="94" spans="4:10" s="290" customFormat="1" ht="15" x14ac:dyDescent="0.25">
      <c r="F94" s="317"/>
      <c r="J94" s="319"/>
    </row>
    <row r="95" spans="4:10" s="290" customFormat="1" ht="15" x14ac:dyDescent="0.25">
      <c r="F95" s="317"/>
      <c r="J95" s="319"/>
    </row>
    <row r="96" spans="4:10" s="290" customFormat="1" ht="15" x14ac:dyDescent="0.25">
      <c r="F96" s="317"/>
      <c r="J96" s="319"/>
    </row>
    <row r="97" spans="6:10" s="290" customFormat="1" ht="15" x14ac:dyDescent="0.25">
      <c r="F97" s="317"/>
      <c r="J97" s="319"/>
    </row>
    <row r="98" spans="6:10" s="290" customFormat="1" ht="15" x14ac:dyDescent="0.25">
      <c r="F98" s="317"/>
      <c r="J98" s="319"/>
    </row>
    <row r="99" spans="6:10" s="290" customFormat="1" x14ac:dyDescent="0.2">
      <c r="J99" s="319"/>
    </row>
    <row r="100" spans="6:10" s="290" customFormat="1" x14ac:dyDescent="0.2">
      <c r="J100" s="319"/>
    </row>
    <row r="101" spans="6:10" s="290" customFormat="1" x14ac:dyDescent="0.2">
      <c r="J101" s="319"/>
    </row>
    <row r="102" spans="6:10" s="290" customFormat="1" x14ac:dyDescent="0.2">
      <c r="J102" s="319"/>
    </row>
    <row r="103" spans="6:10" s="290" customFormat="1" x14ac:dyDescent="0.2">
      <c r="J103" s="319"/>
    </row>
    <row r="104" spans="6:10" s="290" customFormat="1" x14ac:dyDescent="0.2">
      <c r="J104" s="319"/>
    </row>
    <row r="105" spans="6:10" s="290" customFormat="1" x14ac:dyDescent="0.2">
      <c r="J105" s="319"/>
    </row>
    <row r="106" spans="6:10" s="290" customFormat="1" x14ac:dyDescent="0.2">
      <c r="J106" s="319"/>
    </row>
    <row r="107" spans="6:10" s="290" customFormat="1" x14ac:dyDescent="0.2">
      <c r="J107" s="319"/>
    </row>
    <row r="108" spans="6:10" s="290" customFormat="1" x14ac:dyDescent="0.2">
      <c r="J108" s="319"/>
    </row>
    <row r="109" spans="6:10" s="290" customFormat="1" x14ac:dyDescent="0.2">
      <c r="J109" s="319"/>
    </row>
    <row r="110" spans="6:10" s="290" customFormat="1" x14ac:dyDescent="0.2">
      <c r="J110" s="319"/>
    </row>
    <row r="111" spans="6:10" s="290" customFormat="1" x14ac:dyDescent="0.2">
      <c r="J111" s="319"/>
    </row>
    <row r="112" spans="6:10" s="290" customFormat="1" x14ac:dyDescent="0.2">
      <c r="J112" s="319"/>
    </row>
    <row r="113" spans="10:10" s="290" customFormat="1" x14ac:dyDescent="0.2">
      <c r="J113" s="319"/>
    </row>
    <row r="114" spans="10:10" s="290" customFormat="1" x14ac:dyDescent="0.2">
      <c r="J114" s="319"/>
    </row>
    <row r="115" spans="10:10" s="290" customFormat="1" x14ac:dyDescent="0.2">
      <c r="J115" s="319"/>
    </row>
    <row r="116" spans="10:10" s="290" customFormat="1" x14ac:dyDescent="0.2">
      <c r="J116" s="319"/>
    </row>
    <row r="117" spans="10:10" s="290" customFormat="1" x14ac:dyDescent="0.2">
      <c r="J117" s="319"/>
    </row>
    <row r="118" spans="10:10" s="290" customFormat="1" x14ac:dyDescent="0.2">
      <c r="J118" s="319"/>
    </row>
    <row r="119" spans="10:10" s="290" customFormat="1" x14ac:dyDescent="0.2">
      <c r="J119" s="319"/>
    </row>
    <row r="120" spans="10:10" s="290" customFormat="1" x14ac:dyDescent="0.2">
      <c r="J120" s="319"/>
    </row>
    <row r="121" spans="10:10" s="290" customFormat="1" x14ac:dyDescent="0.2">
      <c r="J121" s="319"/>
    </row>
    <row r="122" spans="10:10" s="290" customFormat="1" x14ac:dyDescent="0.2">
      <c r="J122" s="319"/>
    </row>
    <row r="123" spans="10:10" s="290" customFormat="1" x14ac:dyDescent="0.2">
      <c r="J123" s="319"/>
    </row>
    <row r="124" spans="10:10" s="290" customFormat="1" x14ac:dyDescent="0.2">
      <c r="J124" s="319"/>
    </row>
    <row r="125" spans="10:10" s="290" customFormat="1" x14ac:dyDescent="0.2">
      <c r="J125" s="319"/>
    </row>
    <row r="126" spans="10:10" s="290" customFormat="1" x14ac:dyDescent="0.2">
      <c r="J126" s="319"/>
    </row>
    <row r="127" spans="10:10" s="290" customFormat="1" x14ac:dyDescent="0.2">
      <c r="J127" s="319"/>
    </row>
    <row r="128" spans="10:10" s="290" customFormat="1" x14ac:dyDescent="0.2">
      <c r="J128" s="319"/>
    </row>
    <row r="129" spans="10:10" s="290" customFormat="1" x14ac:dyDescent="0.2">
      <c r="J129" s="319"/>
    </row>
    <row r="130" spans="10:10" s="290" customFormat="1" x14ac:dyDescent="0.2">
      <c r="J130" s="319"/>
    </row>
    <row r="131" spans="10:10" s="290" customFormat="1" x14ac:dyDescent="0.2">
      <c r="J131" s="319"/>
    </row>
    <row r="132" spans="10:10" s="290" customFormat="1" x14ac:dyDescent="0.2">
      <c r="J132" s="319"/>
    </row>
    <row r="133" spans="10:10" s="290" customFormat="1" x14ac:dyDescent="0.2">
      <c r="J133" s="319"/>
    </row>
    <row r="134" spans="10:10" s="290" customFormat="1" x14ac:dyDescent="0.2">
      <c r="J134" s="319"/>
    </row>
    <row r="135" spans="10:10" s="290" customFormat="1" x14ac:dyDescent="0.2">
      <c r="J135" s="319"/>
    </row>
    <row r="136" spans="10:10" s="290" customFormat="1" x14ac:dyDescent="0.2">
      <c r="J136" s="319"/>
    </row>
    <row r="137" spans="10:10" s="290" customFormat="1" x14ac:dyDescent="0.2">
      <c r="J137" s="319"/>
    </row>
    <row r="138" spans="10:10" s="290" customFormat="1" x14ac:dyDescent="0.2">
      <c r="J138" s="319"/>
    </row>
    <row r="139" spans="10:10" s="290" customFormat="1" x14ac:dyDescent="0.2">
      <c r="J139" s="319"/>
    </row>
    <row r="140" spans="10:10" s="290" customFormat="1" x14ac:dyDescent="0.2">
      <c r="J140" s="319"/>
    </row>
    <row r="141" spans="10:10" s="290" customFormat="1" x14ac:dyDescent="0.2">
      <c r="J141" s="319"/>
    </row>
    <row r="142" spans="10:10" s="290" customFormat="1" x14ac:dyDescent="0.2">
      <c r="J142" s="319"/>
    </row>
    <row r="143" spans="10:10" s="290" customFormat="1" x14ac:dyDescent="0.2">
      <c r="J143" s="319"/>
    </row>
    <row r="144" spans="10:10" s="290" customFormat="1" x14ac:dyDescent="0.2">
      <c r="J144" s="319"/>
    </row>
    <row r="145" spans="10:10" s="290" customFormat="1" x14ac:dyDescent="0.2">
      <c r="J145" s="319"/>
    </row>
    <row r="146" spans="10:10" s="290" customFormat="1" x14ac:dyDescent="0.2">
      <c r="J146" s="319"/>
    </row>
    <row r="147" spans="10:10" s="290" customFormat="1" x14ac:dyDescent="0.2">
      <c r="J147" s="319"/>
    </row>
    <row r="148" spans="10:10" s="290" customFormat="1" x14ac:dyDescent="0.2">
      <c r="J148" s="319"/>
    </row>
    <row r="149" spans="10:10" s="290" customFormat="1" x14ac:dyDescent="0.2">
      <c r="J149" s="319"/>
    </row>
    <row r="150" spans="10:10" s="290" customFormat="1" x14ac:dyDescent="0.2">
      <c r="J150" s="319"/>
    </row>
    <row r="151" spans="10:10" s="290" customFormat="1" x14ac:dyDescent="0.2">
      <c r="J151" s="319"/>
    </row>
    <row r="152" spans="10:10" s="290" customFormat="1" x14ac:dyDescent="0.2">
      <c r="J152" s="319"/>
    </row>
    <row r="153" spans="10:10" s="290" customFormat="1" x14ac:dyDescent="0.2">
      <c r="J153" s="319"/>
    </row>
    <row r="154" spans="10:10" s="290" customFormat="1" x14ac:dyDescent="0.2">
      <c r="J154" s="319"/>
    </row>
    <row r="155" spans="10:10" s="290" customFormat="1" x14ac:dyDescent="0.2">
      <c r="J155" s="319"/>
    </row>
    <row r="156" spans="10:10" s="290" customFormat="1" x14ac:dyDescent="0.2">
      <c r="J156" s="319"/>
    </row>
    <row r="157" spans="10:10" s="290" customFormat="1" x14ac:dyDescent="0.2">
      <c r="J157" s="319"/>
    </row>
    <row r="158" spans="10:10" s="290" customFormat="1" x14ac:dyDescent="0.2">
      <c r="J158" s="319"/>
    </row>
    <row r="159" spans="10:10" s="290" customFormat="1" x14ac:dyDescent="0.2">
      <c r="J159" s="319"/>
    </row>
    <row r="160" spans="10:10" s="290" customFormat="1" x14ac:dyDescent="0.2">
      <c r="J160" s="319"/>
    </row>
    <row r="161" spans="10:10" s="290" customFormat="1" x14ac:dyDescent="0.2">
      <c r="J161" s="319"/>
    </row>
    <row r="162" spans="10:10" s="290" customFormat="1" x14ac:dyDescent="0.2">
      <c r="J162" s="319"/>
    </row>
    <row r="163" spans="10:10" s="290" customFormat="1" x14ac:dyDescent="0.2">
      <c r="J163" s="319"/>
    </row>
    <row r="164" spans="10:10" s="290" customFormat="1" x14ac:dyDescent="0.2">
      <c r="J164" s="319"/>
    </row>
    <row r="165" spans="10:10" s="290" customFormat="1" x14ac:dyDescent="0.2">
      <c r="J165" s="319"/>
    </row>
    <row r="166" spans="10:10" s="290" customFormat="1" x14ac:dyDescent="0.2">
      <c r="J166" s="319"/>
    </row>
    <row r="167" spans="10:10" s="290" customFormat="1" x14ac:dyDescent="0.2">
      <c r="J167" s="319"/>
    </row>
    <row r="168" spans="10:10" s="290" customFormat="1" x14ac:dyDescent="0.2">
      <c r="J168" s="319"/>
    </row>
    <row r="169" spans="10:10" s="290" customFormat="1" x14ac:dyDescent="0.2">
      <c r="J169" s="319"/>
    </row>
    <row r="170" spans="10:10" s="290" customFormat="1" x14ac:dyDescent="0.2">
      <c r="J170" s="319"/>
    </row>
    <row r="171" spans="10:10" s="290" customFormat="1" x14ac:dyDescent="0.2">
      <c r="J171" s="319"/>
    </row>
    <row r="172" spans="10:10" s="290" customFormat="1" x14ac:dyDescent="0.2">
      <c r="J172" s="319"/>
    </row>
    <row r="173" spans="10:10" s="290" customFormat="1" x14ac:dyDescent="0.2">
      <c r="J173" s="319"/>
    </row>
    <row r="174" spans="10:10" s="290" customFormat="1" x14ac:dyDescent="0.2">
      <c r="J174" s="319"/>
    </row>
    <row r="175" spans="10:10" s="290" customFormat="1" x14ac:dyDescent="0.2">
      <c r="J175" s="319"/>
    </row>
    <row r="176" spans="10:10" s="290" customFormat="1" x14ac:dyDescent="0.2">
      <c r="J176" s="319"/>
    </row>
    <row r="177" spans="10:10" s="290" customFormat="1" x14ac:dyDescent="0.2">
      <c r="J177" s="319"/>
    </row>
    <row r="178" spans="10:10" s="290" customFormat="1" x14ac:dyDescent="0.2">
      <c r="J178" s="319"/>
    </row>
    <row r="179" spans="10:10" s="290" customFormat="1" x14ac:dyDescent="0.2">
      <c r="J179" s="319"/>
    </row>
    <row r="180" spans="10:10" s="290" customFormat="1" x14ac:dyDescent="0.2">
      <c r="J180" s="319"/>
    </row>
    <row r="181" spans="10:10" s="290" customFormat="1" x14ac:dyDescent="0.2">
      <c r="J181" s="319"/>
    </row>
    <row r="182" spans="10:10" s="290" customFormat="1" x14ac:dyDescent="0.2">
      <c r="J182" s="319"/>
    </row>
    <row r="183" spans="10:10" s="290" customFormat="1" x14ac:dyDescent="0.2">
      <c r="J183" s="319"/>
    </row>
    <row r="184" spans="10:10" s="290" customFormat="1" x14ac:dyDescent="0.2">
      <c r="J184" s="319"/>
    </row>
    <row r="185" spans="10:10" s="290" customFormat="1" x14ac:dyDescent="0.2">
      <c r="J185" s="319"/>
    </row>
    <row r="186" spans="10:10" s="290" customFormat="1" x14ac:dyDescent="0.2">
      <c r="J186" s="319"/>
    </row>
    <row r="187" spans="10:10" s="290" customFormat="1" x14ac:dyDescent="0.2">
      <c r="J187" s="319"/>
    </row>
    <row r="188" spans="10:10" s="290" customFormat="1" x14ac:dyDescent="0.2">
      <c r="J188" s="319"/>
    </row>
    <row r="189" spans="10:10" s="290" customFormat="1" x14ac:dyDescent="0.2">
      <c r="J189" s="319"/>
    </row>
    <row r="190" spans="10:10" s="290" customFormat="1" x14ac:dyDescent="0.2">
      <c r="J190" s="319"/>
    </row>
    <row r="191" spans="10:10" s="290" customFormat="1" x14ac:dyDescent="0.2">
      <c r="J191" s="319"/>
    </row>
    <row r="192" spans="10:10" s="290" customFormat="1" x14ac:dyDescent="0.2">
      <c r="J192" s="319"/>
    </row>
    <row r="193" spans="10:10" s="290" customFormat="1" x14ac:dyDescent="0.2">
      <c r="J193" s="319"/>
    </row>
    <row r="194" spans="10:10" s="290" customFormat="1" x14ac:dyDescent="0.2">
      <c r="J194" s="319"/>
    </row>
    <row r="195" spans="10:10" s="290" customFormat="1" x14ac:dyDescent="0.2">
      <c r="J195" s="319"/>
    </row>
    <row r="196" spans="10:10" s="290" customFormat="1" x14ac:dyDescent="0.2">
      <c r="J196" s="319"/>
    </row>
    <row r="197" spans="10:10" s="290" customFormat="1" x14ac:dyDescent="0.2">
      <c r="J197" s="319"/>
    </row>
    <row r="198" spans="10:10" s="290" customFormat="1" x14ac:dyDescent="0.2">
      <c r="J198" s="319"/>
    </row>
    <row r="199" spans="10:10" s="290" customFormat="1" x14ac:dyDescent="0.2">
      <c r="J199" s="319"/>
    </row>
    <row r="200" spans="10:10" s="290" customFormat="1" x14ac:dyDescent="0.2">
      <c r="J200" s="319"/>
    </row>
    <row r="201" spans="10:10" s="290" customFormat="1" x14ac:dyDescent="0.2">
      <c r="J201" s="319"/>
    </row>
    <row r="202" spans="10:10" s="290" customFormat="1" x14ac:dyDescent="0.2">
      <c r="J202" s="319"/>
    </row>
    <row r="203" spans="10:10" s="290" customFormat="1" x14ac:dyDescent="0.2">
      <c r="J203" s="319"/>
    </row>
    <row r="204" spans="10:10" s="290" customFormat="1" x14ac:dyDescent="0.2">
      <c r="J204" s="319"/>
    </row>
    <row r="205" spans="10:10" s="290" customFormat="1" x14ac:dyDescent="0.2">
      <c r="J205" s="319"/>
    </row>
    <row r="206" spans="10:10" s="290" customFormat="1" x14ac:dyDescent="0.2">
      <c r="J206" s="319"/>
    </row>
    <row r="207" spans="10:10" s="290" customFormat="1" x14ac:dyDescent="0.2">
      <c r="J207" s="319"/>
    </row>
    <row r="208" spans="10:10" s="290" customFormat="1" x14ac:dyDescent="0.2">
      <c r="J208" s="319"/>
    </row>
    <row r="209" spans="10:10" s="290" customFormat="1" x14ac:dyDescent="0.2">
      <c r="J209" s="319"/>
    </row>
    <row r="210" spans="10:10" s="290" customFormat="1" x14ac:dyDescent="0.2">
      <c r="J210" s="319"/>
    </row>
    <row r="211" spans="10:10" s="290" customFormat="1" x14ac:dyDescent="0.2">
      <c r="J211" s="319"/>
    </row>
    <row r="212" spans="10:10" s="290" customFormat="1" x14ac:dyDescent="0.2">
      <c r="J212" s="319"/>
    </row>
    <row r="213" spans="10:10" s="290" customFormat="1" x14ac:dyDescent="0.2">
      <c r="J213" s="319"/>
    </row>
    <row r="214" spans="10:10" s="290" customFormat="1" x14ac:dyDescent="0.2">
      <c r="J214" s="319"/>
    </row>
    <row r="215" spans="10:10" s="290" customFormat="1" x14ac:dyDescent="0.2">
      <c r="J215" s="319"/>
    </row>
    <row r="216" spans="10:10" s="290" customFormat="1" x14ac:dyDescent="0.2">
      <c r="J216" s="319"/>
    </row>
    <row r="217" spans="10:10" s="290" customFormat="1" x14ac:dyDescent="0.2">
      <c r="J217" s="319"/>
    </row>
    <row r="218" spans="10:10" s="290" customFormat="1" x14ac:dyDescent="0.2">
      <c r="J218" s="319"/>
    </row>
    <row r="219" spans="10:10" s="290" customFormat="1" x14ac:dyDescent="0.2">
      <c r="J219" s="319"/>
    </row>
    <row r="220" spans="10:10" s="290" customFormat="1" x14ac:dyDescent="0.2">
      <c r="J220" s="319"/>
    </row>
    <row r="221" spans="10:10" s="290" customFormat="1" x14ac:dyDescent="0.2">
      <c r="J221" s="319"/>
    </row>
    <row r="222" spans="10:10" s="290" customFormat="1" x14ac:dyDescent="0.2">
      <c r="J222" s="319"/>
    </row>
    <row r="223" spans="10:10" s="290" customFormat="1" x14ac:dyDescent="0.2">
      <c r="J223" s="319"/>
    </row>
    <row r="224" spans="10:10" s="290" customFormat="1" x14ac:dyDescent="0.2">
      <c r="J224" s="319"/>
    </row>
    <row r="225" spans="10:10" s="290" customFormat="1" x14ac:dyDescent="0.2">
      <c r="J225" s="319"/>
    </row>
    <row r="226" spans="10:10" s="290" customFormat="1" x14ac:dyDescent="0.2">
      <c r="J226" s="319"/>
    </row>
    <row r="227" spans="10:10" s="290" customFormat="1" x14ac:dyDescent="0.2">
      <c r="J227" s="319"/>
    </row>
    <row r="228" spans="10:10" s="290" customFormat="1" x14ac:dyDescent="0.2">
      <c r="J228" s="319"/>
    </row>
    <row r="229" spans="10:10" s="290" customFormat="1" x14ac:dyDescent="0.2">
      <c r="J229" s="319"/>
    </row>
    <row r="230" spans="10:10" s="290" customFormat="1" x14ac:dyDescent="0.2">
      <c r="J230" s="319"/>
    </row>
    <row r="231" spans="10:10" s="290" customFormat="1" x14ac:dyDescent="0.2">
      <c r="J231" s="319"/>
    </row>
    <row r="232" spans="10:10" s="290" customFormat="1" x14ac:dyDescent="0.2">
      <c r="J232" s="319"/>
    </row>
    <row r="233" spans="10:10" s="290" customFormat="1" x14ac:dyDescent="0.2">
      <c r="J233" s="319"/>
    </row>
    <row r="234" spans="10:10" s="290" customFormat="1" x14ac:dyDescent="0.2">
      <c r="J234" s="319"/>
    </row>
    <row r="235" spans="10:10" s="290" customFormat="1" x14ac:dyDescent="0.2">
      <c r="J235" s="319"/>
    </row>
    <row r="236" spans="10:10" s="290" customFormat="1" x14ac:dyDescent="0.2">
      <c r="J236" s="319"/>
    </row>
    <row r="237" spans="10:10" s="290" customFormat="1" x14ac:dyDescent="0.2">
      <c r="J237" s="319"/>
    </row>
    <row r="238" spans="10:10" s="290" customFormat="1" x14ac:dyDescent="0.2">
      <c r="J238" s="319"/>
    </row>
    <row r="239" spans="10:10" s="290" customFormat="1" x14ac:dyDescent="0.2">
      <c r="J239" s="319"/>
    </row>
    <row r="240" spans="10:10" s="290" customFormat="1" x14ac:dyDescent="0.2">
      <c r="J240" s="319"/>
    </row>
    <row r="241" spans="10:10" s="290" customFormat="1" x14ac:dyDescent="0.2">
      <c r="J241" s="319"/>
    </row>
    <row r="242" spans="10:10" s="290" customFormat="1" x14ac:dyDescent="0.2">
      <c r="J242" s="319"/>
    </row>
    <row r="243" spans="10:10" s="290" customFormat="1" x14ac:dyDescent="0.2">
      <c r="J243" s="319"/>
    </row>
    <row r="244" spans="10:10" s="290" customFormat="1" x14ac:dyDescent="0.2">
      <c r="J244" s="319"/>
    </row>
    <row r="245" spans="10:10" s="290" customFormat="1" x14ac:dyDescent="0.2">
      <c r="J245" s="319"/>
    </row>
    <row r="246" spans="10:10" s="290" customFormat="1" x14ac:dyDescent="0.2">
      <c r="J246" s="319"/>
    </row>
    <row r="247" spans="10:10" s="290" customFormat="1" x14ac:dyDescent="0.2">
      <c r="J247" s="319"/>
    </row>
    <row r="248" spans="10:10" s="290" customFormat="1" x14ac:dyDescent="0.2">
      <c r="J248" s="319"/>
    </row>
    <row r="249" spans="10:10" s="290" customFormat="1" x14ac:dyDescent="0.2">
      <c r="J249" s="319"/>
    </row>
    <row r="250" spans="10:10" s="290" customFormat="1" x14ac:dyDescent="0.2">
      <c r="J250" s="319"/>
    </row>
    <row r="251" spans="10:10" s="290" customFormat="1" x14ac:dyDescent="0.2">
      <c r="J251" s="319"/>
    </row>
    <row r="252" spans="10:10" s="290" customFormat="1" x14ac:dyDescent="0.2">
      <c r="J252" s="319"/>
    </row>
    <row r="253" spans="10:10" s="290" customFormat="1" x14ac:dyDescent="0.2">
      <c r="J253" s="319"/>
    </row>
    <row r="254" spans="10:10" s="290" customFormat="1" x14ac:dyDescent="0.2">
      <c r="J254" s="319"/>
    </row>
    <row r="255" spans="10:10" s="290" customFormat="1" x14ac:dyDescent="0.2">
      <c r="J255" s="319"/>
    </row>
    <row r="256" spans="10:10" s="290" customFormat="1" x14ac:dyDescent="0.2">
      <c r="J256" s="319"/>
    </row>
    <row r="257" spans="10:10" s="290" customFormat="1" x14ac:dyDescent="0.2">
      <c r="J257" s="319"/>
    </row>
    <row r="258" spans="10:10" s="290" customFormat="1" x14ac:dyDescent="0.2">
      <c r="J258" s="319"/>
    </row>
    <row r="259" spans="10:10" s="290" customFormat="1" x14ac:dyDescent="0.2">
      <c r="J259" s="319"/>
    </row>
    <row r="260" spans="10:10" s="290" customFormat="1" x14ac:dyDescent="0.2">
      <c r="J260" s="319"/>
    </row>
    <row r="261" spans="10:10" s="290" customFormat="1" x14ac:dyDescent="0.2">
      <c r="J261" s="319"/>
    </row>
    <row r="262" spans="10:10" s="290" customFormat="1" x14ac:dyDescent="0.2">
      <c r="J262" s="319"/>
    </row>
    <row r="263" spans="10:10" s="290" customFormat="1" x14ac:dyDescent="0.2">
      <c r="J263" s="319"/>
    </row>
    <row r="264" spans="10:10" s="290" customFormat="1" x14ac:dyDescent="0.2">
      <c r="J264" s="319"/>
    </row>
    <row r="265" spans="10:10" s="290" customFormat="1" x14ac:dyDescent="0.2">
      <c r="J265" s="319"/>
    </row>
    <row r="266" spans="10:10" s="290" customFormat="1" x14ac:dyDescent="0.2">
      <c r="J266" s="319"/>
    </row>
    <row r="267" spans="10:10" s="290" customFormat="1" x14ac:dyDescent="0.2">
      <c r="J267" s="319"/>
    </row>
    <row r="268" spans="10:10" s="290" customFormat="1" x14ac:dyDescent="0.2">
      <c r="J268" s="319"/>
    </row>
    <row r="269" spans="10:10" s="290" customFormat="1" x14ac:dyDescent="0.2">
      <c r="J269" s="319"/>
    </row>
    <row r="270" spans="10:10" s="290" customFormat="1" x14ac:dyDescent="0.2">
      <c r="J270" s="319"/>
    </row>
    <row r="271" spans="10:10" s="290" customFormat="1" x14ac:dyDescent="0.2">
      <c r="J271" s="319"/>
    </row>
    <row r="272" spans="10:10" s="290" customFormat="1" x14ac:dyDescent="0.2">
      <c r="J272" s="319"/>
    </row>
    <row r="273" spans="10:10" s="290" customFormat="1" x14ac:dyDescent="0.2">
      <c r="J273" s="319"/>
    </row>
    <row r="274" spans="10:10" s="290" customFormat="1" x14ac:dyDescent="0.2">
      <c r="J274" s="319"/>
    </row>
    <row r="275" spans="10:10" s="290" customFormat="1" x14ac:dyDescent="0.2">
      <c r="J275" s="319"/>
    </row>
    <row r="276" spans="10:10" s="290" customFormat="1" x14ac:dyDescent="0.2">
      <c r="J276" s="319"/>
    </row>
    <row r="277" spans="10:10" s="290" customFormat="1" x14ac:dyDescent="0.2">
      <c r="J277" s="319"/>
    </row>
    <row r="278" spans="10:10" s="290" customFormat="1" x14ac:dyDescent="0.2">
      <c r="J278" s="319"/>
    </row>
    <row r="279" spans="10:10" s="290" customFormat="1" x14ac:dyDescent="0.2">
      <c r="J279" s="319"/>
    </row>
    <row r="280" spans="10:10" s="290" customFormat="1" x14ac:dyDescent="0.2">
      <c r="J280" s="319"/>
    </row>
    <row r="281" spans="10:10" s="290" customFormat="1" x14ac:dyDescent="0.2">
      <c r="J281" s="319"/>
    </row>
    <row r="282" spans="10:10" s="290" customFormat="1" x14ac:dyDescent="0.2">
      <c r="J282" s="319"/>
    </row>
    <row r="283" spans="10:10" s="290" customFormat="1" x14ac:dyDescent="0.2">
      <c r="J283" s="319"/>
    </row>
    <row r="284" spans="10:10" s="290" customFormat="1" x14ac:dyDescent="0.2">
      <c r="J284" s="319"/>
    </row>
    <row r="285" spans="10:10" s="290" customFormat="1" x14ac:dyDescent="0.2">
      <c r="J285" s="319"/>
    </row>
    <row r="286" spans="10:10" s="290" customFormat="1" x14ac:dyDescent="0.2">
      <c r="J286" s="319"/>
    </row>
    <row r="287" spans="10:10" s="290" customFormat="1" x14ac:dyDescent="0.2">
      <c r="J287" s="319"/>
    </row>
    <row r="288" spans="10:10" s="290" customFormat="1" x14ac:dyDescent="0.2">
      <c r="J288" s="319"/>
    </row>
    <row r="289" spans="10:10" s="290" customFormat="1" x14ac:dyDescent="0.2">
      <c r="J289" s="319"/>
    </row>
    <row r="290" spans="10:10" s="290" customFormat="1" x14ac:dyDescent="0.2">
      <c r="J290" s="319"/>
    </row>
    <row r="291" spans="10:10" s="290" customFormat="1" x14ac:dyDescent="0.2">
      <c r="J291" s="319"/>
    </row>
    <row r="292" spans="10:10" s="290" customFormat="1" x14ac:dyDescent="0.2">
      <c r="J292" s="319"/>
    </row>
    <row r="293" spans="10:10" s="290" customFormat="1" x14ac:dyDescent="0.2">
      <c r="J293" s="319"/>
    </row>
    <row r="294" spans="10:10" s="290" customFormat="1" x14ac:dyDescent="0.2">
      <c r="J294" s="319"/>
    </row>
    <row r="295" spans="10:10" s="290" customFormat="1" x14ac:dyDescent="0.2">
      <c r="J295" s="319"/>
    </row>
    <row r="296" spans="10:10" s="290" customFormat="1" x14ac:dyDescent="0.2">
      <c r="J296" s="319"/>
    </row>
    <row r="297" spans="10:10" s="290" customFormat="1" x14ac:dyDescent="0.2">
      <c r="J297" s="319"/>
    </row>
    <row r="298" spans="10:10" s="290" customFormat="1" x14ac:dyDescent="0.2">
      <c r="J298" s="319"/>
    </row>
    <row r="299" spans="10:10" s="290" customFormat="1" x14ac:dyDescent="0.2">
      <c r="J299" s="319"/>
    </row>
    <row r="300" spans="10:10" s="290" customFormat="1" x14ac:dyDescent="0.2">
      <c r="J300" s="319"/>
    </row>
    <row r="301" spans="10:10" s="290" customFormat="1" x14ac:dyDescent="0.2">
      <c r="J301" s="319"/>
    </row>
    <row r="302" spans="10:10" s="290" customFormat="1" x14ac:dyDescent="0.2">
      <c r="J302" s="319"/>
    </row>
    <row r="303" spans="10:10" s="290" customFormat="1" x14ac:dyDescent="0.2">
      <c r="J303" s="319"/>
    </row>
    <row r="304" spans="10:10" s="290" customFormat="1" x14ac:dyDescent="0.2">
      <c r="J304" s="319"/>
    </row>
    <row r="305" spans="10:10" s="290" customFormat="1" x14ac:dyDescent="0.2">
      <c r="J305" s="319"/>
    </row>
    <row r="306" spans="10:10" s="290" customFormat="1" x14ac:dyDescent="0.2">
      <c r="J306" s="319"/>
    </row>
    <row r="307" spans="10:10" s="290" customFormat="1" x14ac:dyDescent="0.2">
      <c r="J307" s="319"/>
    </row>
    <row r="308" spans="10:10" s="290" customFormat="1" x14ac:dyDescent="0.2">
      <c r="J308" s="319"/>
    </row>
    <row r="309" spans="10:10" s="290" customFormat="1" x14ac:dyDescent="0.2">
      <c r="J309" s="319"/>
    </row>
    <row r="310" spans="10:10" s="290" customFormat="1" x14ac:dyDescent="0.2">
      <c r="J310" s="319"/>
    </row>
    <row r="311" spans="10:10" s="290" customFormat="1" x14ac:dyDescent="0.2">
      <c r="J311" s="319"/>
    </row>
    <row r="312" spans="10:10" s="290" customFormat="1" x14ac:dyDescent="0.2">
      <c r="J312" s="319"/>
    </row>
    <row r="313" spans="10:10" s="290" customFormat="1" x14ac:dyDescent="0.2">
      <c r="J313" s="319"/>
    </row>
    <row r="314" spans="10:10" s="290" customFormat="1" x14ac:dyDescent="0.2">
      <c r="J314" s="319"/>
    </row>
    <row r="315" spans="10:10" s="290" customFormat="1" x14ac:dyDescent="0.2">
      <c r="J315" s="319"/>
    </row>
    <row r="316" spans="10:10" s="290" customFormat="1" x14ac:dyDescent="0.2">
      <c r="J316" s="319"/>
    </row>
    <row r="317" spans="10:10" s="290" customFormat="1" x14ac:dyDescent="0.2">
      <c r="J317" s="319"/>
    </row>
    <row r="318" spans="10:10" s="290" customFormat="1" x14ac:dyDescent="0.2">
      <c r="J318" s="319"/>
    </row>
    <row r="319" spans="10:10" s="290" customFormat="1" x14ac:dyDescent="0.2">
      <c r="J319" s="319"/>
    </row>
    <row r="320" spans="10:10" s="290" customFormat="1" x14ac:dyDescent="0.2">
      <c r="J320" s="319"/>
    </row>
    <row r="321" spans="10:10" s="290" customFormat="1" x14ac:dyDescent="0.2">
      <c r="J321" s="319"/>
    </row>
    <row r="322" spans="10:10" s="290" customFormat="1" x14ac:dyDescent="0.2">
      <c r="J322" s="319"/>
    </row>
    <row r="323" spans="10:10" s="290" customFormat="1" x14ac:dyDescent="0.2">
      <c r="J323" s="319"/>
    </row>
    <row r="324" spans="10:10" s="290" customFormat="1" x14ac:dyDescent="0.2">
      <c r="J324" s="319"/>
    </row>
    <row r="325" spans="10:10" s="290" customFormat="1" x14ac:dyDescent="0.2">
      <c r="J325" s="319"/>
    </row>
    <row r="326" spans="10:10" s="290" customFormat="1" x14ac:dyDescent="0.2">
      <c r="J326" s="319"/>
    </row>
    <row r="327" spans="10:10" s="290" customFormat="1" x14ac:dyDescent="0.2">
      <c r="J327" s="319"/>
    </row>
    <row r="328" spans="10:10" s="290" customFormat="1" x14ac:dyDescent="0.2">
      <c r="J328" s="319"/>
    </row>
    <row r="329" spans="10:10" s="290" customFormat="1" x14ac:dyDescent="0.2">
      <c r="J329" s="319"/>
    </row>
    <row r="330" spans="10:10" s="290" customFormat="1" x14ac:dyDescent="0.2">
      <c r="J330" s="319"/>
    </row>
    <row r="331" spans="10:10" s="290" customFormat="1" x14ac:dyDescent="0.2">
      <c r="J331" s="319"/>
    </row>
    <row r="332" spans="10:10" s="290" customFormat="1" x14ac:dyDescent="0.2">
      <c r="J332" s="319"/>
    </row>
    <row r="333" spans="10:10" s="290" customFormat="1" x14ac:dyDescent="0.2">
      <c r="J333" s="319"/>
    </row>
    <row r="334" spans="10:10" s="290" customFormat="1" x14ac:dyDescent="0.2">
      <c r="J334" s="319"/>
    </row>
    <row r="335" spans="10:10" s="290" customFormat="1" x14ac:dyDescent="0.2">
      <c r="J335" s="319"/>
    </row>
    <row r="336" spans="10:10" s="290" customFormat="1" x14ac:dyDescent="0.2">
      <c r="J336" s="319"/>
    </row>
    <row r="337" spans="10:10" s="290" customFormat="1" x14ac:dyDescent="0.2">
      <c r="J337" s="319"/>
    </row>
    <row r="338" spans="10:10" s="290" customFormat="1" x14ac:dyDescent="0.2">
      <c r="J338" s="319"/>
    </row>
    <row r="339" spans="10:10" s="290" customFormat="1" x14ac:dyDescent="0.2">
      <c r="J339" s="319"/>
    </row>
    <row r="340" spans="10:10" s="290" customFormat="1" x14ac:dyDescent="0.2">
      <c r="J340" s="319"/>
    </row>
    <row r="341" spans="10:10" s="290" customFormat="1" x14ac:dyDescent="0.2">
      <c r="J341" s="319"/>
    </row>
    <row r="342" spans="10:10" s="290" customFormat="1" x14ac:dyDescent="0.2">
      <c r="J342" s="319"/>
    </row>
    <row r="343" spans="10:10" s="290" customFormat="1" x14ac:dyDescent="0.2">
      <c r="J343" s="319"/>
    </row>
    <row r="344" spans="10:10" s="290" customFormat="1" x14ac:dyDescent="0.2">
      <c r="J344" s="319"/>
    </row>
    <row r="345" spans="10:10" s="290" customFormat="1" x14ac:dyDescent="0.2">
      <c r="J345" s="319"/>
    </row>
    <row r="346" spans="10:10" s="290" customFormat="1" x14ac:dyDescent="0.2">
      <c r="J346" s="319"/>
    </row>
    <row r="347" spans="10:10" s="290" customFormat="1" x14ac:dyDescent="0.2">
      <c r="J347" s="319"/>
    </row>
    <row r="348" spans="10:10" s="290" customFormat="1" x14ac:dyDescent="0.2">
      <c r="J348" s="319"/>
    </row>
    <row r="349" spans="10:10" s="290" customFormat="1" x14ac:dyDescent="0.2">
      <c r="J349" s="319"/>
    </row>
    <row r="350" spans="10:10" s="290" customFormat="1" x14ac:dyDescent="0.2">
      <c r="J350" s="319"/>
    </row>
    <row r="351" spans="10:10" s="290" customFormat="1" x14ac:dyDescent="0.2">
      <c r="J351" s="319"/>
    </row>
    <row r="352" spans="10:10" s="290" customFormat="1" x14ac:dyDescent="0.2">
      <c r="J352" s="319"/>
    </row>
    <row r="353" spans="10:10" s="290" customFormat="1" x14ac:dyDescent="0.2">
      <c r="J353" s="319"/>
    </row>
    <row r="354" spans="10:10" s="290" customFormat="1" x14ac:dyDescent="0.2">
      <c r="J354" s="319"/>
    </row>
    <row r="355" spans="10:10" s="290" customFormat="1" x14ac:dyDescent="0.2">
      <c r="J355" s="319"/>
    </row>
    <row r="356" spans="10:10" s="290" customFormat="1" x14ac:dyDescent="0.2">
      <c r="J356" s="319"/>
    </row>
    <row r="357" spans="10:10" s="290" customFormat="1" x14ac:dyDescent="0.2">
      <c r="J357" s="319"/>
    </row>
    <row r="358" spans="10:10" s="290" customFormat="1" x14ac:dyDescent="0.2">
      <c r="J358" s="319"/>
    </row>
    <row r="359" spans="10:10" s="290" customFormat="1" x14ac:dyDescent="0.2">
      <c r="J359" s="319"/>
    </row>
    <row r="360" spans="10:10" s="290" customFormat="1" x14ac:dyDescent="0.2">
      <c r="J360" s="319"/>
    </row>
    <row r="361" spans="10:10" s="290" customFormat="1" x14ac:dyDescent="0.2">
      <c r="J361" s="319"/>
    </row>
    <row r="362" spans="10:10" s="290" customFormat="1" x14ac:dyDescent="0.2">
      <c r="J362" s="319"/>
    </row>
    <row r="363" spans="10:10" s="290" customFormat="1" x14ac:dyDescent="0.2">
      <c r="J363" s="319"/>
    </row>
    <row r="364" spans="10:10" s="290" customFormat="1" x14ac:dyDescent="0.2">
      <c r="J364" s="319"/>
    </row>
    <row r="365" spans="10:10" s="290" customFormat="1" x14ac:dyDescent="0.2">
      <c r="J365" s="319"/>
    </row>
    <row r="366" spans="10:10" s="290" customFormat="1" x14ac:dyDescent="0.2">
      <c r="J366" s="319"/>
    </row>
    <row r="367" spans="10:10" s="290" customFormat="1" x14ac:dyDescent="0.2">
      <c r="J367" s="319"/>
    </row>
    <row r="368" spans="10:10" s="290" customFormat="1" x14ac:dyDescent="0.2">
      <c r="J368" s="319"/>
    </row>
    <row r="369" spans="10:10" s="290" customFormat="1" x14ac:dyDescent="0.2">
      <c r="J369" s="319"/>
    </row>
    <row r="370" spans="10:10" s="290" customFormat="1" x14ac:dyDescent="0.2">
      <c r="J370" s="319"/>
    </row>
    <row r="371" spans="10:10" s="290" customFormat="1" x14ac:dyDescent="0.2">
      <c r="J371" s="319"/>
    </row>
    <row r="372" spans="10:10" s="290" customFormat="1" x14ac:dyDescent="0.2">
      <c r="J372" s="319"/>
    </row>
    <row r="373" spans="10:10" s="290" customFormat="1" x14ac:dyDescent="0.2">
      <c r="J373" s="319"/>
    </row>
    <row r="374" spans="10:10" s="290" customFormat="1" x14ac:dyDescent="0.2">
      <c r="J374" s="319"/>
    </row>
    <row r="375" spans="10:10" s="290" customFormat="1" x14ac:dyDescent="0.2">
      <c r="J375" s="319"/>
    </row>
    <row r="376" spans="10:10" s="290" customFormat="1" x14ac:dyDescent="0.2">
      <c r="J376" s="319"/>
    </row>
    <row r="377" spans="10:10" s="290" customFormat="1" x14ac:dyDescent="0.2">
      <c r="J377" s="319"/>
    </row>
    <row r="378" spans="10:10" s="290" customFormat="1" x14ac:dyDescent="0.2">
      <c r="J378" s="319"/>
    </row>
    <row r="379" spans="10:10" s="290" customFormat="1" x14ac:dyDescent="0.2">
      <c r="J379" s="319"/>
    </row>
    <row r="380" spans="10:10" s="290" customFormat="1" x14ac:dyDescent="0.2">
      <c r="J380" s="319"/>
    </row>
    <row r="381" spans="10:10" s="290" customFormat="1" x14ac:dyDescent="0.2">
      <c r="J381" s="319"/>
    </row>
    <row r="382" spans="10:10" s="290" customFormat="1" x14ac:dyDescent="0.2">
      <c r="J382" s="319"/>
    </row>
    <row r="383" spans="10:10" s="290" customFormat="1" x14ac:dyDescent="0.2">
      <c r="J383" s="319"/>
    </row>
    <row r="384" spans="10:10" s="290" customFormat="1" x14ac:dyDescent="0.2">
      <c r="J384" s="319"/>
    </row>
    <row r="385" spans="10:10" s="290" customFormat="1" x14ac:dyDescent="0.2">
      <c r="J385" s="319"/>
    </row>
    <row r="386" spans="10:10" s="290" customFormat="1" x14ac:dyDescent="0.2">
      <c r="J386" s="319"/>
    </row>
    <row r="387" spans="10:10" s="290" customFormat="1" x14ac:dyDescent="0.2">
      <c r="J387" s="319"/>
    </row>
    <row r="388" spans="10:10" s="290" customFormat="1" x14ac:dyDescent="0.2">
      <c r="J388" s="319"/>
    </row>
    <row r="389" spans="10:10" s="290" customFormat="1" x14ac:dyDescent="0.2">
      <c r="J389" s="319"/>
    </row>
    <row r="390" spans="10:10" s="290" customFormat="1" x14ac:dyDescent="0.2">
      <c r="J390" s="319"/>
    </row>
    <row r="391" spans="10:10" s="290" customFormat="1" x14ac:dyDescent="0.2">
      <c r="J391" s="319"/>
    </row>
    <row r="392" spans="10:10" s="290" customFormat="1" x14ac:dyDescent="0.2">
      <c r="J392" s="319"/>
    </row>
    <row r="393" spans="10:10" s="290" customFormat="1" x14ac:dyDescent="0.2">
      <c r="J393" s="319"/>
    </row>
    <row r="394" spans="10:10" s="290" customFormat="1" x14ac:dyDescent="0.2">
      <c r="J394" s="319"/>
    </row>
    <row r="395" spans="10:10" s="290" customFormat="1" x14ac:dyDescent="0.2">
      <c r="J395" s="319"/>
    </row>
    <row r="396" spans="10:10" s="290" customFormat="1" x14ac:dyDescent="0.2">
      <c r="J396" s="319"/>
    </row>
    <row r="397" spans="10:10" s="290" customFormat="1" x14ac:dyDescent="0.2">
      <c r="J397" s="319"/>
    </row>
    <row r="398" spans="10:10" s="290" customFormat="1" x14ac:dyDescent="0.2">
      <c r="J398" s="319"/>
    </row>
    <row r="399" spans="10:10" s="290" customFormat="1" x14ac:dyDescent="0.2">
      <c r="J399" s="319"/>
    </row>
    <row r="400" spans="10:10" s="290" customFormat="1" x14ac:dyDescent="0.2">
      <c r="J400" s="319"/>
    </row>
    <row r="401" spans="10:10" s="290" customFormat="1" x14ac:dyDescent="0.2">
      <c r="J401" s="319"/>
    </row>
    <row r="402" spans="10:10" s="290" customFormat="1" x14ac:dyDescent="0.2">
      <c r="J402" s="319"/>
    </row>
    <row r="403" spans="10:10" s="290" customFormat="1" x14ac:dyDescent="0.2">
      <c r="J403" s="319"/>
    </row>
    <row r="404" spans="10:10" s="290" customFormat="1" x14ac:dyDescent="0.2">
      <c r="J404" s="319"/>
    </row>
    <row r="405" spans="10:10" s="290" customFormat="1" x14ac:dyDescent="0.2">
      <c r="J405" s="319"/>
    </row>
    <row r="406" spans="10:10" s="290" customFormat="1" x14ac:dyDescent="0.2">
      <c r="J406" s="319"/>
    </row>
    <row r="407" spans="10:10" s="290" customFormat="1" x14ac:dyDescent="0.2">
      <c r="J407" s="319"/>
    </row>
    <row r="408" spans="10:10" s="290" customFormat="1" x14ac:dyDescent="0.2">
      <c r="J408" s="319"/>
    </row>
    <row r="409" spans="10:10" s="290" customFormat="1" x14ac:dyDescent="0.2">
      <c r="J409" s="319"/>
    </row>
    <row r="410" spans="10:10" s="290" customFormat="1" x14ac:dyDescent="0.2">
      <c r="J410" s="319"/>
    </row>
    <row r="411" spans="10:10" s="290" customFormat="1" x14ac:dyDescent="0.2">
      <c r="J411" s="319"/>
    </row>
    <row r="412" spans="10:10" s="290" customFormat="1" x14ac:dyDescent="0.2">
      <c r="J412" s="319"/>
    </row>
    <row r="413" spans="10:10" s="290" customFormat="1" x14ac:dyDescent="0.2">
      <c r="J413" s="319"/>
    </row>
    <row r="414" spans="10:10" s="290" customFormat="1" x14ac:dyDescent="0.2">
      <c r="J414" s="319"/>
    </row>
    <row r="415" spans="10:10" s="290" customFormat="1" x14ac:dyDescent="0.2">
      <c r="J415" s="319"/>
    </row>
    <row r="416" spans="10:10" s="290" customFormat="1" x14ac:dyDescent="0.2">
      <c r="J416" s="319"/>
    </row>
    <row r="417" spans="10:37" s="290" customFormat="1" x14ac:dyDescent="0.2">
      <c r="J417" s="319"/>
    </row>
    <row r="418" spans="10:37" s="290" customFormat="1" x14ac:dyDescent="0.2">
      <c r="J418" s="319"/>
    </row>
    <row r="419" spans="10:37" s="290" customFormat="1" x14ac:dyDescent="0.2">
      <c r="J419" s="319"/>
    </row>
    <row r="420" spans="10:37" s="290" customFormat="1" x14ac:dyDescent="0.2">
      <c r="J420" s="319"/>
    </row>
    <row r="421" spans="10:37" s="290" customFormat="1" x14ac:dyDescent="0.2">
      <c r="J421" s="319"/>
    </row>
    <row r="422" spans="10:37" s="290" customFormat="1" x14ac:dyDescent="0.2">
      <c r="J422" s="319"/>
    </row>
    <row r="423" spans="10:37" s="290" customFormat="1" x14ac:dyDescent="0.2">
      <c r="J423" s="319"/>
    </row>
    <row r="424" spans="10:37" s="290" customFormat="1" x14ac:dyDescent="0.2">
      <c r="J424" s="319"/>
    </row>
    <row r="425" spans="10:37" s="290" customFormat="1" x14ac:dyDescent="0.2">
      <c r="J425" s="319"/>
    </row>
    <row r="426" spans="10:37" s="290" customFormat="1" x14ac:dyDescent="0.2">
      <c r="J426" s="319"/>
    </row>
    <row r="427" spans="10:37" s="290" customFormat="1" x14ac:dyDescent="0.2">
      <c r="J427" s="319"/>
    </row>
    <row r="428" spans="10:37" s="290" customFormat="1" x14ac:dyDescent="0.2">
      <c r="J428" s="319"/>
    </row>
    <row r="429" spans="10:37" s="290" customFormat="1" x14ac:dyDescent="0.2">
      <c r="J429" s="319"/>
    </row>
    <row r="430" spans="10:37" s="290" customFormat="1" x14ac:dyDescent="0.2">
      <c r="J430" s="319"/>
    </row>
    <row r="431" spans="10:37" s="290" customFormat="1" x14ac:dyDescent="0.2">
      <c r="J431" s="319"/>
    </row>
    <row r="432" spans="10:37" s="320" customFormat="1" x14ac:dyDescent="0.2">
      <c r="K432" s="290"/>
      <c r="L432" s="290"/>
      <c r="M432" s="290"/>
      <c r="N432" s="290"/>
      <c r="O432" s="290"/>
      <c r="P432" s="290"/>
      <c r="Q432" s="290"/>
      <c r="R432" s="290"/>
      <c r="S432" s="290"/>
      <c r="T432" s="290"/>
      <c r="U432" s="290"/>
      <c r="V432" s="290"/>
      <c r="W432" s="290"/>
      <c r="X432" s="290"/>
      <c r="Y432" s="290"/>
      <c r="Z432" s="290"/>
      <c r="AA432" s="290"/>
      <c r="AB432" s="290"/>
      <c r="AC432" s="290"/>
      <c r="AD432" s="290"/>
      <c r="AE432" s="290"/>
      <c r="AF432" s="290"/>
      <c r="AG432" s="290"/>
      <c r="AH432" s="290"/>
      <c r="AI432" s="290"/>
      <c r="AJ432" s="290"/>
      <c r="AK432" s="290"/>
    </row>
    <row r="433" spans="11:37" x14ac:dyDescent="0.2">
      <c r="K433" s="290"/>
      <c r="L433" s="290"/>
      <c r="M433" s="290"/>
      <c r="N433" s="290"/>
      <c r="O433" s="290"/>
      <c r="P433" s="290"/>
      <c r="Q433" s="290"/>
      <c r="R433" s="290"/>
      <c r="S433" s="290"/>
      <c r="T433" s="290"/>
      <c r="U433" s="290"/>
      <c r="V433" s="290"/>
      <c r="W433" s="290"/>
      <c r="X433" s="290"/>
      <c r="Y433" s="290"/>
      <c r="Z433" s="290"/>
      <c r="AA433" s="290"/>
      <c r="AB433" s="290"/>
      <c r="AC433" s="290"/>
      <c r="AD433" s="290"/>
      <c r="AE433" s="290"/>
      <c r="AF433" s="290"/>
      <c r="AG433" s="290"/>
      <c r="AH433" s="290"/>
      <c r="AI433" s="290"/>
      <c r="AJ433" s="290"/>
      <c r="AK433" s="290"/>
    </row>
    <row r="434" spans="11:37" x14ac:dyDescent="0.2">
      <c r="K434" s="290"/>
      <c r="L434" s="290"/>
      <c r="M434" s="290"/>
      <c r="N434" s="290"/>
      <c r="O434" s="290"/>
      <c r="P434" s="290"/>
      <c r="Q434" s="290"/>
      <c r="R434" s="290"/>
      <c r="S434" s="290"/>
      <c r="T434" s="290"/>
      <c r="U434" s="290"/>
      <c r="V434" s="290"/>
      <c r="W434" s="290"/>
      <c r="X434" s="290"/>
      <c r="Y434" s="290"/>
      <c r="Z434" s="290"/>
      <c r="AA434" s="290"/>
      <c r="AB434" s="290"/>
      <c r="AC434" s="290"/>
      <c r="AD434" s="290"/>
      <c r="AE434" s="290"/>
      <c r="AF434" s="290"/>
      <c r="AG434" s="290"/>
      <c r="AH434" s="290"/>
      <c r="AI434" s="290"/>
      <c r="AJ434" s="290"/>
      <c r="AK434" s="290"/>
    </row>
    <row r="435" spans="11:37" x14ac:dyDescent="0.2">
      <c r="K435" s="290"/>
      <c r="L435" s="290"/>
      <c r="M435" s="290"/>
      <c r="N435" s="290"/>
      <c r="O435" s="290"/>
      <c r="P435" s="290"/>
      <c r="Q435" s="290"/>
      <c r="R435" s="290"/>
      <c r="S435" s="290"/>
      <c r="T435" s="290"/>
      <c r="U435" s="290"/>
      <c r="V435" s="290"/>
      <c r="W435" s="290"/>
      <c r="X435" s="290"/>
      <c r="Y435" s="290"/>
      <c r="Z435" s="290"/>
      <c r="AA435" s="290"/>
      <c r="AB435" s="290"/>
      <c r="AC435" s="290"/>
      <c r="AD435" s="290"/>
      <c r="AE435" s="290"/>
      <c r="AF435" s="290"/>
      <c r="AG435" s="290"/>
      <c r="AH435" s="290"/>
      <c r="AI435" s="290"/>
      <c r="AJ435" s="290"/>
      <c r="AK435" s="290"/>
    </row>
    <row r="436" spans="11:37" x14ac:dyDescent="0.2">
      <c r="K436" s="290"/>
      <c r="L436" s="290"/>
      <c r="M436" s="290"/>
      <c r="N436" s="290"/>
      <c r="O436" s="290"/>
      <c r="P436" s="290"/>
      <c r="Q436" s="290"/>
      <c r="R436" s="290"/>
      <c r="S436" s="290"/>
      <c r="T436" s="290"/>
      <c r="U436" s="290"/>
      <c r="V436" s="290"/>
      <c r="W436" s="290"/>
      <c r="X436" s="290"/>
      <c r="Y436" s="290"/>
      <c r="Z436" s="290"/>
      <c r="AA436" s="290"/>
      <c r="AB436" s="290"/>
      <c r="AC436" s="290"/>
      <c r="AD436" s="290"/>
      <c r="AE436" s="290"/>
      <c r="AF436" s="290"/>
      <c r="AG436" s="290"/>
      <c r="AH436" s="290"/>
      <c r="AI436" s="290"/>
      <c r="AJ436" s="290"/>
      <c r="AK436" s="290"/>
    </row>
    <row r="437" spans="11:37" x14ac:dyDescent="0.2">
      <c r="K437" s="290"/>
      <c r="L437" s="290"/>
      <c r="M437" s="290"/>
      <c r="N437" s="290"/>
      <c r="O437" s="290"/>
      <c r="P437" s="290"/>
      <c r="Q437" s="290"/>
      <c r="R437" s="290"/>
      <c r="S437" s="290"/>
      <c r="T437" s="290"/>
      <c r="U437" s="290"/>
      <c r="V437" s="290"/>
      <c r="W437" s="290"/>
      <c r="X437" s="290"/>
      <c r="Y437" s="290"/>
      <c r="Z437" s="290"/>
      <c r="AA437" s="290"/>
      <c r="AB437" s="290"/>
      <c r="AC437" s="290"/>
      <c r="AD437" s="290"/>
      <c r="AE437" s="290"/>
      <c r="AF437" s="290"/>
      <c r="AG437" s="290"/>
      <c r="AH437" s="290"/>
      <c r="AI437" s="290"/>
      <c r="AJ437" s="290"/>
      <c r="AK437" s="290"/>
    </row>
    <row r="438" spans="11:37" x14ac:dyDescent="0.2">
      <c r="K438" s="290"/>
      <c r="L438" s="290"/>
      <c r="M438" s="290"/>
      <c r="N438" s="290"/>
      <c r="O438" s="290"/>
      <c r="P438" s="290"/>
      <c r="Q438" s="290"/>
      <c r="R438" s="290"/>
      <c r="S438" s="290"/>
      <c r="T438" s="290"/>
      <c r="U438" s="290"/>
      <c r="V438" s="290"/>
      <c r="W438" s="290"/>
      <c r="X438" s="290"/>
      <c r="Y438" s="290"/>
      <c r="Z438" s="290"/>
      <c r="AA438" s="290"/>
      <c r="AB438" s="290"/>
      <c r="AC438" s="290"/>
      <c r="AD438" s="290"/>
      <c r="AE438" s="290"/>
      <c r="AF438" s="290"/>
      <c r="AG438" s="290"/>
      <c r="AH438" s="290"/>
      <c r="AI438" s="290"/>
      <c r="AJ438" s="290"/>
      <c r="AK438" s="290"/>
    </row>
    <row r="439" spans="11:37" x14ac:dyDescent="0.2">
      <c r="K439" s="290"/>
      <c r="L439" s="290"/>
      <c r="M439" s="290"/>
      <c r="N439" s="290"/>
      <c r="O439" s="290"/>
      <c r="P439" s="290"/>
      <c r="Q439" s="290"/>
      <c r="R439" s="290"/>
      <c r="S439" s="290"/>
      <c r="T439" s="290"/>
      <c r="U439" s="290"/>
      <c r="V439" s="290"/>
      <c r="W439" s="290"/>
      <c r="X439" s="290"/>
      <c r="Y439" s="290"/>
      <c r="Z439" s="290"/>
      <c r="AA439" s="290"/>
      <c r="AB439" s="290"/>
      <c r="AC439" s="290"/>
      <c r="AD439" s="290"/>
      <c r="AE439" s="290"/>
      <c r="AF439" s="290"/>
      <c r="AG439" s="290"/>
      <c r="AH439" s="290"/>
      <c r="AI439" s="290"/>
      <c r="AJ439" s="290"/>
      <c r="AK439" s="290"/>
    </row>
    <row r="440" spans="11:37" x14ac:dyDescent="0.2">
      <c r="K440" s="290"/>
      <c r="L440" s="290"/>
      <c r="M440" s="290"/>
      <c r="N440" s="290"/>
      <c r="O440" s="290"/>
      <c r="P440" s="290"/>
      <c r="Q440" s="290"/>
      <c r="R440" s="290"/>
      <c r="S440" s="290"/>
      <c r="T440" s="290"/>
      <c r="U440" s="290"/>
      <c r="V440" s="290"/>
      <c r="W440" s="290"/>
      <c r="X440" s="290"/>
      <c r="Y440" s="290"/>
      <c r="Z440" s="290"/>
      <c r="AA440" s="290"/>
      <c r="AB440" s="290"/>
      <c r="AC440" s="290"/>
      <c r="AD440" s="290"/>
      <c r="AE440" s="290"/>
      <c r="AF440" s="290"/>
      <c r="AG440" s="290"/>
      <c r="AH440" s="290"/>
      <c r="AI440" s="290"/>
      <c r="AJ440" s="290"/>
      <c r="AK440" s="290"/>
    </row>
    <row r="441" spans="11:37" x14ac:dyDescent="0.2">
      <c r="K441" s="290"/>
      <c r="L441" s="290"/>
      <c r="M441" s="290"/>
      <c r="N441" s="290"/>
      <c r="O441" s="290"/>
      <c r="P441" s="290"/>
      <c r="Q441" s="290"/>
      <c r="R441" s="290"/>
      <c r="S441" s="290"/>
      <c r="T441" s="290"/>
      <c r="U441" s="290"/>
      <c r="V441" s="290"/>
      <c r="W441" s="290"/>
      <c r="X441" s="290"/>
      <c r="Y441" s="290"/>
      <c r="Z441" s="290"/>
      <c r="AA441" s="290"/>
      <c r="AB441" s="290"/>
      <c r="AC441" s="290"/>
      <c r="AD441" s="290"/>
      <c r="AE441" s="290"/>
      <c r="AF441" s="290"/>
      <c r="AG441" s="290"/>
      <c r="AH441" s="290"/>
      <c r="AI441" s="290"/>
      <c r="AJ441" s="290"/>
      <c r="AK441" s="290"/>
    </row>
    <row r="442" spans="11:37" x14ac:dyDescent="0.2">
      <c r="K442" s="290"/>
      <c r="L442" s="290"/>
      <c r="M442" s="290"/>
      <c r="N442" s="290"/>
      <c r="O442" s="290"/>
      <c r="P442" s="290"/>
      <c r="Q442" s="290"/>
      <c r="R442" s="290"/>
      <c r="S442" s="290"/>
      <c r="T442" s="290"/>
      <c r="U442" s="290"/>
      <c r="V442" s="290"/>
      <c r="W442" s="290"/>
      <c r="X442" s="290"/>
      <c r="Y442" s="290"/>
      <c r="Z442" s="290"/>
      <c r="AA442" s="290"/>
      <c r="AB442" s="290"/>
      <c r="AC442" s="290"/>
      <c r="AD442" s="290"/>
      <c r="AE442" s="290"/>
      <c r="AF442" s="290"/>
      <c r="AG442" s="290"/>
      <c r="AH442" s="290"/>
      <c r="AI442" s="290"/>
      <c r="AJ442" s="290"/>
      <c r="AK442" s="290"/>
    </row>
    <row r="443" spans="11:37" x14ac:dyDescent="0.2">
      <c r="K443" s="290"/>
      <c r="L443" s="290"/>
      <c r="M443" s="290"/>
      <c r="N443" s="290"/>
      <c r="O443" s="290"/>
      <c r="P443" s="290"/>
      <c r="Q443" s="290"/>
      <c r="R443" s="290"/>
      <c r="S443" s="290"/>
      <c r="T443" s="290"/>
      <c r="U443" s="290"/>
      <c r="V443" s="290"/>
      <c r="W443" s="290"/>
      <c r="X443" s="290"/>
      <c r="Y443" s="290"/>
      <c r="Z443" s="290"/>
      <c r="AA443" s="290"/>
      <c r="AB443" s="290"/>
      <c r="AC443" s="290"/>
      <c r="AD443" s="290"/>
      <c r="AE443" s="290"/>
      <c r="AF443" s="290"/>
      <c r="AG443" s="290"/>
      <c r="AH443" s="290"/>
      <c r="AI443" s="290"/>
      <c r="AJ443" s="290"/>
      <c r="AK443" s="290"/>
    </row>
    <row r="444" spans="11:37" x14ac:dyDescent="0.2">
      <c r="K444" s="290"/>
      <c r="L444" s="290"/>
      <c r="M444" s="290"/>
      <c r="N444" s="290"/>
      <c r="O444" s="290"/>
      <c r="P444" s="290"/>
      <c r="Q444" s="290"/>
      <c r="R444" s="290"/>
      <c r="S444" s="290"/>
      <c r="T444" s="290"/>
      <c r="U444" s="290"/>
      <c r="V444" s="290"/>
      <c r="W444" s="290"/>
      <c r="X444" s="290"/>
      <c r="Y444" s="290"/>
      <c r="Z444" s="290"/>
      <c r="AA444" s="290"/>
      <c r="AB444" s="290"/>
      <c r="AC444" s="290"/>
      <c r="AD444" s="290"/>
      <c r="AE444" s="290"/>
      <c r="AF444" s="290"/>
      <c r="AG444" s="290"/>
      <c r="AH444" s="290"/>
      <c r="AI444" s="290"/>
      <c r="AJ444" s="290"/>
      <c r="AK444" s="290"/>
    </row>
    <row r="445" spans="11:37" x14ac:dyDescent="0.2">
      <c r="K445" s="290"/>
      <c r="L445" s="290"/>
      <c r="M445" s="290"/>
      <c r="N445" s="290"/>
      <c r="O445" s="290"/>
      <c r="P445" s="290"/>
      <c r="Q445" s="290"/>
      <c r="R445" s="290"/>
      <c r="S445" s="290"/>
      <c r="T445" s="290"/>
      <c r="U445" s="290"/>
      <c r="V445" s="290"/>
      <c r="W445" s="290"/>
      <c r="X445" s="290"/>
      <c r="Y445" s="290"/>
      <c r="Z445" s="290"/>
      <c r="AA445" s="290"/>
      <c r="AB445" s="290"/>
      <c r="AC445" s="290"/>
      <c r="AD445" s="290"/>
      <c r="AE445" s="290"/>
      <c r="AF445" s="290"/>
      <c r="AG445" s="290"/>
      <c r="AH445" s="290"/>
      <c r="AI445" s="290"/>
      <c r="AJ445" s="290"/>
      <c r="AK445" s="290"/>
    </row>
    <row r="446" spans="11:37" x14ac:dyDescent="0.2">
      <c r="K446" s="290"/>
      <c r="L446" s="290"/>
      <c r="M446" s="290"/>
      <c r="N446" s="290"/>
      <c r="O446" s="290"/>
      <c r="P446" s="290"/>
      <c r="Q446" s="290"/>
      <c r="R446" s="290"/>
      <c r="S446" s="290"/>
      <c r="T446" s="290"/>
      <c r="U446" s="290"/>
      <c r="V446" s="290"/>
      <c r="W446" s="290"/>
      <c r="X446" s="290"/>
      <c r="Y446" s="290"/>
      <c r="Z446" s="290"/>
      <c r="AA446" s="290"/>
      <c r="AB446" s="290"/>
      <c r="AC446" s="290"/>
      <c r="AD446" s="290"/>
      <c r="AE446" s="290"/>
      <c r="AF446" s="290"/>
      <c r="AG446" s="290"/>
      <c r="AH446" s="290"/>
      <c r="AI446" s="290"/>
      <c r="AJ446" s="290"/>
      <c r="AK446" s="290"/>
    </row>
    <row r="447" spans="11:37" x14ac:dyDescent="0.2">
      <c r="K447" s="290"/>
      <c r="L447" s="290"/>
      <c r="M447" s="290"/>
      <c r="N447" s="290"/>
      <c r="O447" s="290"/>
      <c r="P447" s="290"/>
      <c r="Q447" s="290"/>
      <c r="R447" s="290"/>
      <c r="S447" s="290"/>
      <c r="T447" s="290"/>
      <c r="U447" s="290"/>
      <c r="V447" s="290"/>
      <c r="W447" s="290"/>
      <c r="X447" s="290"/>
      <c r="Y447" s="290"/>
      <c r="Z447" s="290"/>
      <c r="AA447" s="290"/>
      <c r="AB447" s="290"/>
      <c r="AC447" s="290"/>
      <c r="AD447" s="290"/>
      <c r="AE447" s="290"/>
      <c r="AF447" s="290"/>
      <c r="AG447" s="290"/>
      <c r="AH447" s="290"/>
      <c r="AI447" s="290"/>
      <c r="AJ447" s="290"/>
      <c r="AK447" s="290"/>
    </row>
    <row r="448" spans="11:37" x14ac:dyDescent="0.2">
      <c r="K448" s="290"/>
      <c r="L448" s="290"/>
      <c r="M448" s="290"/>
      <c r="N448" s="290"/>
      <c r="O448" s="290"/>
      <c r="P448" s="290"/>
      <c r="Q448" s="290"/>
      <c r="R448" s="290"/>
      <c r="S448" s="290"/>
      <c r="T448" s="290"/>
      <c r="U448" s="290"/>
      <c r="V448" s="290"/>
      <c r="W448" s="290"/>
      <c r="X448" s="290"/>
      <c r="Y448" s="290"/>
      <c r="Z448" s="290"/>
      <c r="AA448" s="290"/>
      <c r="AB448" s="290"/>
      <c r="AC448" s="290"/>
      <c r="AD448" s="290"/>
      <c r="AE448" s="290"/>
      <c r="AF448" s="290"/>
      <c r="AG448" s="290"/>
      <c r="AH448" s="290"/>
      <c r="AI448" s="290"/>
      <c r="AJ448" s="290"/>
      <c r="AK448" s="290"/>
    </row>
    <row r="449" spans="11:37" x14ac:dyDescent="0.2">
      <c r="K449" s="290"/>
      <c r="L449" s="290"/>
      <c r="M449" s="290"/>
      <c r="N449" s="290"/>
      <c r="O449" s="290"/>
      <c r="P449" s="290"/>
      <c r="Q449" s="290"/>
      <c r="R449" s="290"/>
      <c r="S449" s="290"/>
      <c r="T449" s="290"/>
      <c r="U449" s="290"/>
      <c r="V449" s="290"/>
      <c r="W449" s="290"/>
      <c r="X449" s="290"/>
      <c r="Y449" s="290"/>
      <c r="Z449" s="290"/>
      <c r="AA449" s="290"/>
      <c r="AB449" s="290"/>
      <c r="AC449" s="290"/>
      <c r="AD449" s="290"/>
      <c r="AE449" s="290"/>
      <c r="AF449" s="290"/>
      <c r="AG449" s="290"/>
      <c r="AH449" s="290"/>
      <c r="AI449" s="290"/>
      <c r="AJ449" s="290"/>
      <c r="AK449" s="290"/>
    </row>
    <row r="450" spans="11:37" x14ac:dyDescent="0.2">
      <c r="K450" s="290"/>
      <c r="L450" s="290"/>
      <c r="M450" s="290"/>
      <c r="N450" s="290"/>
      <c r="O450" s="290"/>
      <c r="P450" s="290"/>
      <c r="Q450" s="290"/>
      <c r="R450" s="290"/>
      <c r="S450" s="290"/>
      <c r="T450" s="290"/>
      <c r="U450" s="290"/>
      <c r="V450" s="290"/>
      <c r="W450" s="290"/>
      <c r="X450" s="290"/>
      <c r="Y450" s="290"/>
      <c r="Z450" s="290"/>
      <c r="AA450" s="290"/>
      <c r="AB450" s="290"/>
      <c r="AC450" s="290"/>
      <c r="AD450" s="290"/>
      <c r="AE450" s="290"/>
      <c r="AF450" s="290"/>
      <c r="AG450" s="290"/>
      <c r="AH450" s="290"/>
      <c r="AI450" s="290"/>
      <c r="AJ450" s="290"/>
      <c r="AK450" s="290"/>
    </row>
    <row r="451" spans="11:37" x14ac:dyDescent="0.2">
      <c r="K451" s="290"/>
      <c r="L451" s="290"/>
      <c r="M451" s="290"/>
      <c r="N451" s="290"/>
      <c r="O451" s="290"/>
      <c r="P451" s="290"/>
      <c r="Q451" s="290"/>
      <c r="R451" s="290"/>
      <c r="S451" s="290"/>
      <c r="T451" s="290"/>
      <c r="U451" s="290"/>
      <c r="V451" s="290"/>
      <c r="W451" s="290"/>
      <c r="X451" s="290"/>
      <c r="Y451" s="290"/>
      <c r="Z451" s="290"/>
      <c r="AA451" s="290"/>
      <c r="AB451" s="290"/>
      <c r="AC451" s="290"/>
      <c r="AD451" s="290"/>
      <c r="AE451" s="290"/>
      <c r="AF451" s="290"/>
      <c r="AG451" s="290"/>
      <c r="AH451" s="290"/>
      <c r="AI451" s="290"/>
      <c r="AJ451" s="290"/>
      <c r="AK451" s="290"/>
    </row>
    <row r="452" spans="11:37" x14ac:dyDescent="0.2">
      <c r="K452" s="290"/>
      <c r="L452" s="290"/>
      <c r="M452" s="290"/>
      <c r="N452" s="290"/>
      <c r="O452" s="290"/>
      <c r="P452" s="290"/>
      <c r="Q452" s="290"/>
      <c r="R452" s="290"/>
      <c r="S452" s="290"/>
      <c r="T452" s="290"/>
      <c r="U452" s="290"/>
      <c r="V452" s="290"/>
      <c r="W452" s="290"/>
      <c r="X452" s="290"/>
      <c r="Y452" s="290"/>
      <c r="Z452" s="290"/>
      <c r="AA452" s="290"/>
      <c r="AB452" s="290"/>
      <c r="AC452" s="290"/>
      <c r="AD452" s="290"/>
      <c r="AE452" s="290"/>
      <c r="AF452" s="290"/>
      <c r="AG452" s="290"/>
      <c r="AH452" s="290"/>
      <c r="AI452" s="290"/>
      <c r="AJ452" s="290"/>
      <c r="AK452" s="290"/>
    </row>
    <row r="453" spans="11:37" x14ac:dyDescent="0.2">
      <c r="K453" s="290"/>
      <c r="L453" s="290"/>
      <c r="M453" s="290"/>
      <c r="N453" s="290"/>
      <c r="O453" s="290"/>
      <c r="P453" s="290"/>
      <c r="Q453" s="290"/>
      <c r="R453" s="290"/>
      <c r="S453" s="290"/>
      <c r="T453" s="290"/>
      <c r="U453" s="290"/>
      <c r="V453" s="290"/>
      <c r="W453" s="290"/>
      <c r="X453" s="290"/>
      <c r="Y453" s="290"/>
      <c r="Z453" s="290"/>
      <c r="AA453" s="290"/>
      <c r="AB453" s="290"/>
      <c r="AC453" s="290"/>
      <c r="AD453" s="290"/>
      <c r="AE453" s="290"/>
      <c r="AF453" s="290"/>
      <c r="AG453" s="290"/>
      <c r="AH453" s="290"/>
      <c r="AI453" s="290"/>
      <c r="AJ453" s="290"/>
      <c r="AK453" s="290"/>
    </row>
    <row r="454" spans="11:37" x14ac:dyDescent="0.2">
      <c r="K454" s="290"/>
      <c r="L454" s="290"/>
      <c r="M454" s="290"/>
      <c r="N454" s="290"/>
      <c r="O454" s="290"/>
      <c r="P454" s="290"/>
      <c r="Q454" s="290"/>
      <c r="R454" s="290"/>
      <c r="S454" s="290"/>
      <c r="T454" s="290"/>
      <c r="U454" s="290"/>
      <c r="V454" s="290"/>
      <c r="W454" s="290"/>
      <c r="X454" s="290"/>
      <c r="Y454" s="290"/>
      <c r="Z454" s="290"/>
      <c r="AA454" s="290"/>
      <c r="AB454" s="290"/>
      <c r="AC454" s="290"/>
      <c r="AD454" s="290"/>
      <c r="AE454" s="290"/>
      <c r="AF454" s="290"/>
      <c r="AG454" s="290"/>
      <c r="AH454" s="290"/>
      <c r="AI454" s="290"/>
      <c r="AJ454" s="290"/>
      <c r="AK454" s="290"/>
    </row>
    <row r="455" spans="11:37" x14ac:dyDescent="0.2">
      <c r="K455" s="290"/>
      <c r="L455" s="290"/>
      <c r="M455" s="290"/>
      <c r="N455" s="290"/>
      <c r="O455" s="290"/>
      <c r="P455" s="290"/>
      <c r="Q455" s="290"/>
      <c r="R455" s="290"/>
      <c r="S455" s="290"/>
      <c r="T455" s="290"/>
      <c r="U455" s="290"/>
      <c r="V455" s="290"/>
      <c r="W455" s="290"/>
      <c r="X455" s="290"/>
      <c r="Y455" s="290"/>
      <c r="Z455" s="290"/>
      <c r="AA455" s="290"/>
      <c r="AB455" s="290"/>
      <c r="AC455" s="290"/>
      <c r="AD455" s="290"/>
      <c r="AE455" s="290"/>
      <c r="AF455" s="290"/>
      <c r="AG455" s="290"/>
      <c r="AH455" s="290"/>
      <c r="AI455" s="290"/>
      <c r="AJ455" s="290"/>
      <c r="AK455" s="290"/>
    </row>
    <row r="456" spans="11:37" x14ac:dyDescent="0.2">
      <c r="K456" s="290"/>
      <c r="L456" s="290"/>
      <c r="M456" s="290"/>
      <c r="N456" s="290"/>
      <c r="O456" s="290"/>
      <c r="P456" s="290"/>
      <c r="Q456" s="290"/>
      <c r="R456" s="290"/>
      <c r="S456" s="290"/>
      <c r="T456" s="290"/>
      <c r="U456" s="290"/>
      <c r="V456" s="290"/>
      <c r="W456" s="290"/>
      <c r="X456" s="290"/>
      <c r="Y456" s="290"/>
      <c r="Z456" s="290"/>
      <c r="AA456" s="290"/>
      <c r="AB456" s="290"/>
      <c r="AC456" s="290"/>
      <c r="AD456" s="290"/>
      <c r="AE456" s="290"/>
      <c r="AF456" s="290"/>
      <c r="AG456" s="290"/>
      <c r="AH456" s="290"/>
      <c r="AI456" s="290"/>
      <c r="AJ456" s="290"/>
      <c r="AK456" s="290"/>
    </row>
    <row r="457" spans="11:37" x14ac:dyDescent="0.2">
      <c r="K457" s="290"/>
      <c r="L457" s="290"/>
      <c r="M457" s="290"/>
      <c r="N457" s="290"/>
      <c r="O457" s="290"/>
      <c r="P457" s="290"/>
      <c r="Q457" s="290"/>
      <c r="R457" s="290"/>
      <c r="S457" s="290"/>
      <c r="T457" s="290"/>
      <c r="U457" s="290"/>
      <c r="V457" s="290"/>
      <c r="W457" s="290"/>
      <c r="X457" s="290"/>
      <c r="Y457" s="290"/>
      <c r="Z457" s="290"/>
      <c r="AA457" s="290"/>
      <c r="AB457" s="290"/>
      <c r="AC457" s="290"/>
      <c r="AD457" s="290"/>
      <c r="AE457" s="290"/>
      <c r="AF457" s="290"/>
      <c r="AG457" s="290"/>
      <c r="AH457" s="290"/>
      <c r="AI457" s="290"/>
      <c r="AJ457" s="290"/>
      <c r="AK457" s="290"/>
    </row>
    <row r="458" spans="11:37" x14ac:dyDescent="0.2">
      <c r="K458" s="290"/>
      <c r="L458" s="290"/>
      <c r="M458" s="290"/>
      <c r="N458" s="290"/>
      <c r="O458" s="290"/>
      <c r="P458" s="290"/>
      <c r="Q458" s="290"/>
      <c r="R458" s="290"/>
      <c r="S458" s="290"/>
      <c r="T458" s="290"/>
      <c r="U458" s="290"/>
      <c r="V458" s="290"/>
      <c r="W458" s="290"/>
      <c r="X458" s="290"/>
      <c r="Y458" s="290"/>
      <c r="Z458" s="290"/>
      <c r="AA458" s="290"/>
      <c r="AB458" s="290"/>
      <c r="AC458" s="290"/>
      <c r="AD458" s="290"/>
      <c r="AE458" s="290"/>
      <c r="AF458" s="290"/>
      <c r="AG458" s="290"/>
      <c r="AH458" s="290"/>
      <c r="AI458" s="290"/>
      <c r="AJ458" s="290"/>
      <c r="AK458" s="290"/>
    </row>
    <row r="459" spans="11:37" x14ac:dyDescent="0.2">
      <c r="K459" s="290"/>
      <c r="L459" s="290"/>
      <c r="M459" s="290"/>
      <c r="N459" s="290"/>
      <c r="O459" s="290"/>
      <c r="P459" s="290"/>
      <c r="Q459" s="290"/>
      <c r="R459" s="290"/>
      <c r="S459" s="290"/>
      <c r="T459" s="290"/>
      <c r="U459" s="290"/>
      <c r="V459" s="290"/>
      <c r="W459" s="290"/>
      <c r="X459" s="290"/>
      <c r="Y459" s="290"/>
      <c r="Z459" s="290"/>
      <c r="AA459" s="290"/>
      <c r="AB459" s="290"/>
      <c r="AC459" s="290"/>
      <c r="AD459" s="290"/>
      <c r="AE459" s="290"/>
      <c r="AF459" s="290"/>
      <c r="AG459" s="290"/>
      <c r="AH459" s="290"/>
      <c r="AI459" s="290"/>
      <c r="AJ459" s="290"/>
      <c r="AK459" s="290"/>
    </row>
    <row r="460" spans="11:37" x14ac:dyDescent="0.2">
      <c r="K460" s="290"/>
      <c r="L460" s="290"/>
      <c r="M460" s="290"/>
      <c r="N460" s="290"/>
      <c r="O460" s="290"/>
      <c r="P460" s="290"/>
      <c r="Q460" s="290"/>
      <c r="R460" s="290"/>
      <c r="S460" s="290"/>
      <c r="T460" s="290"/>
      <c r="U460" s="290"/>
      <c r="V460" s="290"/>
      <c r="W460" s="290"/>
      <c r="X460" s="290"/>
      <c r="Y460" s="290"/>
      <c r="Z460" s="290"/>
      <c r="AA460" s="290"/>
      <c r="AB460" s="290"/>
      <c r="AC460" s="290"/>
      <c r="AD460" s="290"/>
      <c r="AE460" s="290"/>
      <c r="AF460" s="290"/>
      <c r="AG460" s="290"/>
      <c r="AH460" s="290"/>
      <c r="AI460" s="290"/>
      <c r="AJ460" s="290"/>
      <c r="AK460" s="290"/>
    </row>
    <row r="461" spans="11:37" x14ac:dyDescent="0.2">
      <c r="K461" s="290"/>
      <c r="L461" s="290"/>
      <c r="M461" s="290"/>
      <c r="N461" s="290"/>
      <c r="O461" s="290"/>
      <c r="P461" s="290"/>
      <c r="Q461" s="290"/>
      <c r="R461" s="290"/>
      <c r="S461" s="290"/>
      <c r="T461" s="290"/>
      <c r="U461" s="290"/>
      <c r="V461" s="290"/>
      <c r="W461" s="290"/>
      <c r="X461" s="290"/>
      <c r="Y461" s="290"/>
      <c r="Z461" s="290"/>
      <c r="AA461" s="290"/>
      <c r="AB461" s="290"/>
      <c r="AC461" s="290"/>
      <c r="AD461" s="290"/>
      <c r="AE461" s="290"/>
      <c r="AF461" s="290"/>
      <c r="AG461" s="290"/>
      <c r="AH461" s="290"/>
      <c r="AI461" s="290"/>
      <c r="AJ461" s="290"/>
      <c r="AK461" s="290"/>
    </row>
    <row r="462" spans="11:37" x14ac:dyDescent="0.2">
      <c r="K462" s="290"/>
      <c r="L462" s="290"/>
      <c r="M462" s="290"/>
      <c r="N462" s="290"/>
      <c r="O462" s="290"/>
      <c r="P462" s="290"/>
      <c r="Q462" s="290"/>
      <c r="R462" s="290"/>
      <c r="S462" s="290"/>
      <c r="T462" s="290"/>
      <c r="U462" s="290"/>
      <c r="V462" s="290"/>
      <c r="W462" s="290"/>
      <c r="X462" s="290"/>
      <c r="Y462" s="290"/>
      <c r="Z462" s="290"/>
      <c r="AA462" s="290"/>
      <c r="AB462" s="290"/>
      <c r="AC462" s="290"/>
      <c r="AD462" s="290"/>
      <c r="AE462" s="290"/>
      <c r="AF462" s="290"/>
      <c r="AG462" s="290"/>
      <c r="AH462" s="290"/>
      <c r="AI462" s="290"/>
      <c r="AJ462" s="290"/>
      <c r="AK462" s="290"/>
    </row>
    <row r="463" spans="11:37" x14ac:dyDescent="0.2">
      <c r="K463" s="290"/>
      <c r="L463" s="290"/>
      <c r="M463" s="290"/>
      <c r="N463" s="290"/>
      <c r="O463" s="290"/>
      <c r="P463" s="290"/>
      <c r="Q463" s="290"/>
      <c r="R463" s="290"/>
      <c r="S463" s="290"/>
      <c r="T463" s="290"/>
      <c r="U463" s="290"/>
      <c r="V463" s="290"/>
      <c r="W463" s="290"/>
      <c r="X463" s="290"/>
      <c r="Y463" s="290"/>
      <c r="Z463" s="290"/>
      <c r="AA463" s="290"/>
      <c r="AB463" s="290"/>
      <c r="AC463" s="290"/>
      <c r="AD463" s="290"/>
      <c r="AE463" s="290"/>
      <c r="AF463" s="290"/>
      <c r="AG463" s="290"/>
      <c r="AH463" s="290"/>
      <c r="AI463" s="290"/>
      <c r="AJ463" s="290"/>
      <c r="AK463" s="290"/>
    </row>
    <row r="464" spans="11:37" x14ac:dyDescent="0.2">
      <c r="K464" s="290"/>
      <c r="L464" s="290"/>
      <c r="M464" s="290"/>
      <c r="N464" s="290"/>
      <c r="O464" s="290"/>
      <c r="P464" s="290"/>
      <c r="Q464" s="290"/>
      <c r="R464" s="290"/>
      <c r="S464" s="290"/>
      <c r="T464" s="290"/>
      <c r="U464" s="290"/>
      <c r="V464" s="290"/>
      <c r="W464" s="290"/>
      <c r="X464" s="290"/>
      <c r="Y464" s="290"/>
      <c r="Z464" s="290"/>
      <c r="AA464" s="290"/>
      <c r="AB464" s="290"/>
      <c r="AC464" s="290"/>
      <c r="AD464" s="290"/>
      <c r="AE464" s="290"/>
      <c r="AF464" s="290"/>
      <c r="AG464" s="290"/>
      <c r="AH464" s="290"/>
      <c r="AI464" s="290"/>
      <c r="AJ464" s="290"/>
      <c r="AK464" s="290"/>
    </row>
    <row r="465" spans="11:37" x14ac:dyDescent="0.2">
      <c r="K465" s="290"/>
      <c r="L465" s="290"/>
      <c r="M465" s="290"/>
      <c r="N465" s="290"/>
      <c r="O465" s="290"/>
      <c r="P465" s="290"/>
      <c r="Q465" s="290"/>
      <c r="R465" s="290"/>
      <c r="S465" s="290"/>
      <c r="T465" s="290"/>
      <c r="U465" s="290"/>
      <c r="V465" s="290"/>
      <c r="W465" s="290"/>
      <c r="X465" s="290"/>
      <c r="Y465" s="290"/>
      <c r="Z465" s="290"/>
      <c r="AA465" s="290"/>
      <c r="AB465" s="290"/>
      <c r="AC465" s="290"/>
      <c r="AD465" s="290"/>
      <c r="AE465" s="290"/>
      <c r="AF465" s="290"/>
      <c r="AG465" s="290"/>
      <c r="AH465" s="290"/>
      <c r="AI465" s="290"/>
      <c r="AJ465" s="290"/>
      <c r="AK465" s="290"/>
    </row>
    <row r="466" spans="11:37" x14ac:dyDescent="0.2">
      <c r="K466" s="290"/>
      <c r="L466" s="290"/>
      <c r="M466" s="290"/>
      <c r="N466" s="290"/>
      <c r="O466" s="290"/>
      <c r="P466" s="290"/>
      <c r="Q466" s="290"/>
      <c r="R466" s="290"/>
      <c r="S466" s="290"/>
      <c r="T466" s="290"/>
      <c r="U466" s="290"/>
      <c r="V466" s="290"/>
      <c r="W466" s="290"/>
      <c r="X466" s="290"/>
      <c r="Y466" s="290"/>
      <c r="Z466" s="290"/>
      <c r="AA466" s="290"/>
      <c r="AB466" s="290"/>
      <c r="AC466" s="290"/>
      <c r="AD466" s="290"/>
      <c r="AE466" s="290"/>
      <c r="AF466" s="290"/>
      <c r="AG466" s="290"/>
      <c r="AH466" s="290"/>
      <c r="AI466" s="290"/>
      <c r="AJ466" s="290"/>
      <c r="AK466" s="290"/>
    </row>
    <row r="467" spans="11:37" x14ac:dyDescent="0.2">
      <c r="K467" s="290"/>
      <c r="L467" s="290"/>
      <c r="M467" s="290"/>
      <c r="N467" s="290"/>
      <c r="O467" s="290"/>
      <c r="P467" s="290"/>
      <c r="Q467" s="290"/>
      <c r="R467" s="290"/>
      <c r="S467" s="290"/>
      <c r="T467" s="290"/>
      <c r="U467" s="290"/>
      <c r="V467" s="290"/>
      <c r="W467" s="290"/>
      <c r="X467" s="290"/>
      <c r="Y467" s="290"/>
      <c r="Z467" s="290"/>
      <c r="AA467" s="290"/>
      <c r="AB467" s="290"/>
      <c r="AC467" s="290"/>
      <c r="AD467" s="290"/>
      <c r="AE467" s="290"/>
      <c r="AF467" s="290"/>
      <c r="AG467" s="290"/>
      <c r="AH467" s="290"/>
      <c r="AI467" s="290"/>
      <c r="AJ467" s="290"/>
      <c r="AK467" s="290"/>
    </row>
    <row r="468" spans="11:37" x14ac:dyDescent="0.2">
      <c r="K468" s="290"/>
      <c r="L468" s="290"/>
      <c r="M468" s="290"/>
      <c r="N468" s="290"/>
      <c r="O468" s="290"/>
      <c r="P468" s="290"/>
      <c r="Q468" s="290"/>
      <c r="R468" s="290"/>
      <c r="S468" s="290"/>
      <c r="T468" s="290"/>
      <c r="U468" s="290"/>
      <c r="V468" s="290"/>
      <c r="W468" s="290"/>
      <c r="X468" s="290"/>
      <c r="Y468" s="290"/>
      <c r="Z468" s="290"/>
      <c r="AA468" s="290"/>
      <c r="AB468" s="290"/>
      <c r="AC468" s="290"/>
      <c r="AD468" s="290"/>
      <c r="AE468" s="290"/>
      <c r="AF468" s="290"/>
      <c r="AG468" s="290"/>
      <c r="AH468" s="290"/>
      <c r="AI468" s="290"/>
      <c r="AJ468" s="290"/>
      <c r="AK468" s="290"/>
    </row>
    <row r="469" spans="11:37" x14ac:dyDescent="0.2">
      <c r="K469" s="290"/>
      <c r="L469" s="290"/>
      <c r="M469" s="290"/>
      <c r="N469" s="290"/>
      <c r="O469" s="290"/>
      <c r="P469" s="290"/>
      <c r="Q469" s="290"/>
      <c r="R469" s="290"/>
      <c r="S469" s="290"/>
      <c r="T469" s="290"/>
      <c r="U469" s="290"/>
      <c r="V469" s="290"/>
      <c r="W469" s="290"/>
      <c r="X469" s="290"/>
      <c r="Y469" s="290"/>
      <c r="Z469" s="290"/>
      <c r="AA469" s="290"/>
      <c r="AB469" s="290"/>
      <c r="AC469" s="290"/>
      <c r="AD469" s="290"/>
      <c r="AE469" s="290"/>
      <c r="AF469" s="290"/>
      <c r="AG469" s="290"/>
      <c r="AH469" s="290"/>
      <c r="AI469" s="290"/>
      <c r="AJ469" s="290"/>
      <c r="AK469" s="290"/>
    </row>
    <row r="470" spans="11:37" x14ac:dyDescent="0.2">
      <c r="K470" s="290"/>
      <c r="L470" s="290"/>
      <c r="M470" s="290"/>
      <c r="N470" s="290"/>
      <c r="O470" s="290"/>
      <c r="P470" s="290"/>
      <c r="Q470" s="290"/>
      <c r="R470" s="290"/>
      <c r="S470" s="290"/>
      <c r="T470" s="290"/>
      <c r="U470" s="290"/>
      <c r="V470" s="290"/>
      <c r="W470" s="290"/>
      <c r="X470" s="290"/>
      <c r="Y470" s="290"/>
      <c r="Z470" s="290"/>
      <c r="AA470" s="290"/>
      <c r="AB470" s="290"/>
      <c r="AC470" s="290"/>
      <c r="AD470" s="290"/>
      <c r="AE470" s="290"/>
      <c r="AF470" s="290"/>
      <c r="AG470" s="290"/>
      <c r="AH470" s="290"/>
      <c r="AI470" s="290"/>
      <c r="AJ470" s="290"/>
      <c r="AK470" s="290"/>
    </row>
    <row r="471" spans="11:37" x14ac:dyDescent="0.2">
      <c r="K471" s="290"/>
      <c r="L471" s="290"/>
      <c r="M471" s="290"/>
      <c r="N471" s="290"/>
      <c r="O471" s="290"/>
      <c r="P471" s="290"/>
      <c r="Q471" s="290"/>
      <c r="R471" s="290"/>
      <c r="S471" s="290"/>
      <c r="T471" s="290"/>
      <c r="U471" s="290"/>
      <c r="V471" s="290"/>
      <c r="W471" s="290"/>
      <c r="X471" s="290"/>
      <c r="Y471" s="290"/>
      <c r="Z471" s="290"/>
      <c r="AA471" s="290"/>
      <c r="AB471" s="290"/>
      <c r="AC471" s="290"/>
      <c r="AD471" s="290"/>
      <c r="AE471" s="290"/>
      <c r="AF471" s="290"/>
      <c r="AG471" s="290"/>
      <c r="AH471" s="290"/>
      <c r="AI471" s="290"/>
      <c r="AJ471" s="290"/>
      <c r="AK471" s="290"/>
    </row>
    <row r="472" spans="11:37" x14ac:dyDescent="0.2">
      <c r="K472" s="290"/>
      <c r="L472" s="290"/>
      <c r="M472" s="290"/>
      <c r="N472" s="290"/>
      <c r="O472" s="290"/>
      <c r="P472" s="290"/>
      <c r="Q472" s="290"/>
      <c r="R472" s="290"/>
      <c r="S472" s="290"/>
      <c r="T472" s="290"/>
      <c r="U472" s="290"/>
      <c r="V472" s="290"/>
      <c r="W472" s="290"/>
      <c r="X472" s="290"/>
      <c r="Y472" s="290"/>
      <c r="Z472" s="290"/>
      <c r="AA472" s="290"/>
      <c r="AB472" s="290"/>
      <c r="AC472" s="290"/>
      <c r="AD472" s="290"/>
      <c r="AE472" s="290"/>
      <c r="AF472" s="290"/>
      <c r="AG472" s="290"/>
      <c r="AH472" s="290"/>
      <c r="AI472" s="290"/>
      <c r="AJ472" s="290"/>
      <c r="AK472" s="290"/>
    </row>
    <row r="473" spans="11:37" x14ac:dyDescent="0.2">
      <c r="K473" s="290"/>
      <c r="L473" s="290"/>
      <c r="M473" s="290"/>
      <c r="N473" s="290"/>
      <c r="O473" s="290"/>
      <c r="P473" s="290"/>
      <c r="Q473" s="290"/>
      <c r="R473" s="290"/>
      <c r="S473" s="290"/>
      <c r="T473" s="290"/>
      <c r="U473" s="290"/>
      <c r="V473" s="290"/>
      <c r="W473" s="290"/>
      <c r="X473" s="290"/>
      <c r="Y473" s="290"/>
      <c r="Z473" s="290"/>
      <c r="AA473" s="290"/>
      <c r="AB473" s="290"/>
      <c r="AC473" s="290"/>
      <c r="AD473" s="290"/>
      <c r="AE473" s="290"/>
      <c r="AF473" s="290"/>
      <c r="AG473" s="290"/>
      <c r="AH473" s="290"/>
      <c r="AI473" s="290"/>
      <c r="AJ473" s="290"/>
      <c r="AK473" s="290"/>
    </row>
    <row r="474" spans="11:37" x14ac:dyDescent="0.2">
      <c r="K474" s="290"/>
      <c r="L474" s="290"/>
      <c r="M474" s="290"/>
      <c r="N474" s="290"/>
      <c r="O474" s="290"/>
      <c r="P474" s="290"/>
      <c r="Q474" s="290"/>
      <c r="R474" s="290"/>
      <c r="S474" s="290"/>
      <c r="T474" s="290"/>
      <c r="U474" s="290"/>
      <c r="V474" s="290"/>
      <c r="W474" s="290"/>
      <c r="X474" s="290"/>
      <c r="Y474" s="290"/>
      <c r="Z474" s="290"/>
      <c r="AA474" s="290"/>
      <c r="AB474" s="290"/>
      <c r="AC474" s="290"/>
      <c r="AD474" s="290"/>
      <c r="AE474" s="290"/>
      <c r="AF474" s="290"/>
      <c r="AG474" s="290"/>
      <c r="AH474" s="290"/>
      <c r="AI474" s="290"/>
      <c r="AJ474" s="290"/>
      <c r="AK474" s="290"/>
    </row>
    <row r="475" spans="11:37" x14ac:dyDescent="0.2">
      <c r="K475" s="290"/>
      <c r="L475" s="290"/>
      <c r="M475" s="290"/>
      <c r="N475" s="290"/>
      <c r="O475" s="290"/>
      <c r="P475" s="290"/>
      <c r="Q475" s="290"/>
      <c r="R475" s="290"/>
      <c r="S475" s="290"/>
      <c r="T475" s="290"/>
      <c r="U475" s="290"/>
      <c r="V475" s="290"/>
      <c r="W475" s="290"/>
      <c r="X475" s="290"/>
      <c r="Y475" s="290"/>
      <c r="Z475" s="290"/>
      <c r="AA475" s="290"/>
      <c r="AB475" s="290"/>
      <c r="AC475" s="290"/>
      <c r="AD475" s="290"/>
      <c r="AE475" s="290"/>
      <c r="AF475" s="290"/>
      <c r="AG475" s="290"/>
      <c r="AH475" s="290"/>
      <c r="AI475" s="290"/>
      <c r="AJ475" s="290"/>
      <c r="AK475" s="290"/>
    </row>
    <row r="476" spans="11:37" x14ac:dyDescent="0.2">
      <c r="K476" s="290"/>
      <c r="L476" s="290"/>
      <c r="M476" s="290"/>
      <c r="N476" s="290"/>
      <c r="O476" s="290"/>
      <c r="P476" s="290"/>
      <c r="Q476" s="290"/>
      <c r="R476" s="290"/>
      <c r="S476" s="290"/>
      <c r="T476" s="290"/>
      <c r="U476" s="290"/>
      <c r="V476" s="290"/>
      <c r="W476" s="290"/>
      <c r="X476" s="290"/>
      <c r="Y476" s="290"/>
      <c r="Z476" s="290"/>
      <c r="AA476" s="290"/>
      <c r="AB476" s="290"/>
      <c r="AC476" s="290"/>
      <c r="AD476" s="290"/>
      <c r="AE476" s="290"/>
      <c r="AF476" s="290"/>
      <c r="AG476" s="290"/>
      <c r="AH476" s="290"/>
      <c r="AI476" s="290"/>
      <c r="AJ476" s="290"/>
      <c r="AK476" s="290"/>
    </row>
    <row r="477" spans="11:37" x14ac:dyDescent="0.2">
      <c r="K477" s="290"/>
      <c r="L477" s="290"/>
      <c r="M477" s="290"/>
      <c r="N477" s="290"/>
      <c r="O477" s="290"/>
      <c r="P477" s="290"/>
      <c r="Q477" s="290"/>
      <c r="R477" s="290"/>
      <c r="S477" s="290"/>
      <c r="T477" s="290"/>
      <c r="U477" s="290"/>
      <c r="V477" s="290"/>
      <c r="W477" s="290"/>
      <c r="X477" s="290"/>
      <c r="Y477" s="290"/>
      <c r="Z477" s="290"/>
      <c r="AA477" s="290"/>
      <c r="AB477" s="290"/>
      <c r="AC477" s="290"/>
      <c r="AD477" s="290"/>
      <c r="AE477" s="290"/>
      <c r="AF477" s="290"/>
      <c r="AG477" s="290"/>
      <c r="AH477" s="290"/>
      <c r="AI477" s="290"/>
      <c r="AJ477" s="290"/>
      <c r="AK477" s="290"/>
    </row>
    <row r="478" spans="11:37" x14ac:dyDescent="0.2">
      <c r="K478" s="290"/>
      <c r="L478" s="290"/>
      <c r="M478" s="290"/>
      <c r="N478" s="290"/>
      <c r="O478" s="290"/>
      <c r="P478" s="290"/>
      <c r="Q478" s="290"/>
      <c r="R478" s="290"/>
      <c r="S478" s="290"/>
      <c r="T478" s="290"/>
      <c r="U478" s="290"/>
      <c r="V478" s="290"/>
      <c r="W478" s="290"/>
      <c r="X478" s="290"/>
      <c r="Y478" s="290"/>
      <c r="Z478" s="290"/>
      <c r="AA478" s="290"/>
      <c r="AB478" s="290"/>
      <c r="AC478" s="290"/>
      <c r="AD478" s="290"/>
      <c r="AE478" s="290"/>
      <c r="AF478" s="290"/>
      <c r="AG478" s="290"/>
      <c r="AH478" s="290"/>
      <c r="AI478" s="290"/>
      <c r="AJ478" s="290"/>
      <c r="AK478" s="290"/>
    </row>
    <row r="479" spans="11:37" x14ac:dyDescent="0.2">
      <c r="K479" s="290"/>
      <c r="L479" s="290"/>
      <c r="M479" s="290"/>
      <c r="N479" s="290"/>
      <c r="O479" s="290"/>
      <c r="P479" s="290"/>
      <c r="Q479" s="290"/>
      <c r="R479" s="290"/>
      <c r="S479" s="290"/>
      <c r="T479" s="290"/>
      <c r="U479" s="290"/>
      <c r="V479" s="290"/>
      <c r="W479" s="290"/>
      <c r="X479" s="290"/>
      <c r="Y479" s="290"/>
      <c r="Z479" s="290"/>
      <c r="AA479" s="290"/>
      <c r="AB479" s="290"/>
      <c r="AC479" s="290"/>
      <c r="AD479" s="290"/>
      <c r="AE479" s="290"/>
      <c r="AF479" s="290"/>
      <c r="AG479" s="290"/>
      <c r="AH479" s="290"/>
      <c r="AI479" s="290"/>
      <c r="AJ479" s="290"/>
      <c r="AK479" s="290"/>
    </row>
    <row r="480" spans="11:37" x14ac:dyDescent="0.2">
      <c r="K480" s="290"/>
      <c r="L480" s="290"/>
      <c r="M480" s="290"/>
      <c r="N480" s="290"/>
      <c r="O480" s="290"/>
      <c r="P480" s="290"/>
      <c r="Q480" s="290"/>
      <c r="R480" s="290"/>
      <c r="S480" s="290"/>
      <c r="T480" s="290"/>
      <c r="U480" s="290"/>
      <c r="V480" s="290"/>
      <c r="W480" s="290"/>
      <c r="X480" s="290"/>
      <c r="Y480" s="290"/>
      <c r="Z480" s="290"/>
      <c r="AA480" s="290"/>
      <c r="AB480" s="290"/>
      <c r="AC480" s="290"/>
      <c r="AD480" s="290"/>
      <c r="AE480" s="290"/>
      <c r="AF480" s="290"/>
      <c r="AG480" s="290"/>
      <c r="AH480" s="290"/>
      <c r="AI480" s="290"/>
      <c r="AJ480" s="290"/>
      <c r="AK480" s="290"/>
    </row>
    <row r="481" spans="11:37" x14ac:dyDescent="0.2">
      <c r="K481" s="290"/>
      <c r="L481" s="290"/>
      <c r="M481" s="290"/>
      <c r="N481" s="290"/>
      <c r="O481" s="290"/>
      <c r="P481" s="290"/>
      <c r="Q481" s="290"/>
      <c r="R481" s="290"/>
      <c r="S481" s="290"/>
      <c r="T481" s="290"/>
      <c r="U481" s="290"/>
      <c r="V481" s="290"/>
      <c r="W481" s="290"/>
      <c r="X481" s="290"/>
      <c r="Y481" s="290"/>
      <c r="Z481" s="290"/>
      <c r="AA481" s="290"/>
      <c r="AB481" s="290"/>
      <c r="AC481" s="290"/>
      <c r="AD481" s="290"/>
      <c r="AE481" s="290"/>
      <c r="AF481" s="290"/>
      <c r="AG481" s="290"/>
      <c r="AH481" s="290"/>
      <c r="AI481" s="290"/>
      <c r="AJ481" s="290"/>
      <c r="AK481" s="290"/>
    </row>
    <row r="482" spans="11:37" x14ac:dyDescent="0.2">
      <c r="K482" s="290"/>
      <c r="L482" s="290"/>
      <c r="M482" s="290"/>
      <c r="N482" s="290"/>
      <c r="O482" s="290"/>
      <c r="P482" s="290"/>
      <c r="Q482" s="290"/>
      <c r="R482" s="290"/>
      <c r="S482" s="290"/>
      <c r="T482" s="290"/>
      <c r="U482" s="290"/>
      <c r="V482" s="290"/>
      <c r="W482" s="290"/>
      <c r="X482" s="290"/>
      <c r="Y482" s="290"/>
      <c r="Z482" s="290"/>
      <c r="AA482" s="290"/>
      <c r="AB482" s="290"/>
      <c r="AC482" s="290"/>
      <c r="AD482" s="290"/>
      <c r="AE482" s="290"/>
      <c r="AF482" s="290"/>
      <c r="AG482" s="290"/>
      <c r="AH482" s="290"/>
      <c r="AI482" s="290"/>
      <c r="AJ482" s="290"/>
      <c r="AK482" s="290"/>
    </row>
    <row r="483" spans="11:37" x14ac:dyDescent="0.2">
      <c r="K483" s="290"/>
      <c r="L483" s="290"/>
      <c r="M483" s="290"/>
      <c r="N483" s="290"/>
      <c r="O483" s="290"/>
      <c r="P483" s="290"/>
      <c r="Q483" s="290"/>
      <c r="R483" s="290"/>
      <c r="S483" s="290"/>
      <c r="T483" s="290"/>
      <c r="U483" s="290"/>
      <c r="V483" s="290"/>
      <c r="W483" s="290"/>
      <c r="X483" s="290"/>
      <c r="Y483" s="290"/>
      <c r="Z483" s="290"/>
      <c r="AA483" s="290"/>
      <c r="AB483" s="290"/>
      <c r="AC483" s="290"/>
      <c r="AD483" s="290"/>
      <c r="AE483" s="290"/>
      <c r="AF483" s="290"/>
      <c r="AG483" s="290"/>
      <c r="AH483" s="290"/>
      <c r="AI483" s="290"/>
      <c r="AJ483" s="290"/>
      <c r="AK483" s="290"/>
    </row>
    <row r="484" spans="11:37" x14ac:dyDescent="0.2">
      <c r="K484" s="290"/>
      <c r="L484" s="290"/>
      <c r="M484" s="290"/>
      <c r="N484" s="290"/>
      <c r="O484" s="290"/>
      <c r="P484" s="290"/>
      <c r="Q484" s="290"/>
      <c r="R484" s="290"/>
      <c r="S484" s="290"/>
      <c r="T484" s="290"/>
      <c r="U484" s="290"/>
      <c r="V484" s="290"/>
      <c r="W484" s="290"/>
      <c r="X484" s="290"/>
      <c r="Y484" s="290"/>
      <c r="Z484" s="290"/>
      <c r="AA484" s="290"/>
      <c r="AB484" s="290"/>
      <c r="AC484" s="290"/>
      <c r="AD484" s="290"/>
      <c r="AE484" s="290"/>
      <c r="AF484" s="290"/>
      <c r="AG484" s="290"/>
      <c r="AH484" s="290"/>
      <c r="AI484" s="290"/>
      <c r="AJ484" s="290"/>
      <c r="AK484" s="290"/>
    </row>
    <row r="485" spans="11:37" x14ac:dyDescent="0.2">
      <c r="K485" s="290"/>
      <c r="L485" s="290"/>
      <c r="M485" s="290"/>
      <c r="N485" s="290"/>
      <c r="O485" s="290"/>
      <c r="P485" s="290"/>
      <c r="Q485" s="290"/>
      <c r="R485" s="290"/>
      <c r="S485" s="290"/>
      <c r="T485" s="290"/>
      <c r="U485" s="290"/>
      <c r="V485" s="290"/>
      <c r="W485" s="290"/>
      <c r="X485" s="290"/>
      <c r="Y485" s="290"/>
      <c r="Z485" s="290"/>
      <c r="AA485" s="290"/>
      <c r="AB485" s="290"/>
      <c r="AC485" s="290"/>
      <c r="AD485" s="290"/>
      <c r="AE485" s="290"/>
      <c r="AF485" s="290"/>
      <c r="AG485" s="290"/>
      <c r="AH485" s="290"/>
      <c r="AI485" s="290"/>
      <c r="AJ485" s="290"/>
      <c r="AK485" s="290"/>
    </row>
    <row r="486" spans="11:37" x14ac:dyDescent="0.2">
      <c r="K486" s="290"/>
      <c r="L486" s="290"/>
      <c r="M486" s="290"/>
      <c r="N486" s="290"/>
      <c r="O486" s="290"/>
      <c r="P486" s="290"/>
      <c r="Q486" s="290"/>
      <c r="R486" s="290"/>
      <c r="S486" s="290"/>
      <c r="T486" s="290"/>
      <c r="U486" s="290"/>
      <c r="V486" s="290"/>
      <c r="W486" s="290"/>
      <c r="X486" s="290"/>
      <c r="Y486" s="290"/>
      <c r="Z486" s="290"/>
      <c r="AA486" s="290"/>
      <c r="AB486" s="290"/>
      <c r="AC486" s="290"/>
      <c r="AD486" s="290"/>
      <c r="AE486" s="290"/>
      <c r="AF486" s="290"/>
      <c r="AG486" s="290"/>
      <c r="AH486" s="290"/>
      <c r="AI486" s="290"/>
      <c r="AJ486" s="290"/>
      <c r="AK486" s="290"/>
    </row>
    <row r="487" spans="11:37" x14ac:dyDescent="0.2">
      <c r="K487" s="290"/>
      <c r="L487" s="290"/>
      <c r="M487" s="290"/>
      <c r="N487" s="290"/>
      <c r="O487" s="290"/>
      <c r="P487" s="290"/>
      <c r="Q487" s="290"/>
      <c r="R487" s="290"/>
      <c r="S487" s="290"/>
      <c r="T487" s="290"/>
      <c r="U487" s="290"/>
      <c r="V487" s="290"/>
      <c r="W487" s="290"/>
      <c r="X487" s="290"/>
      <c r="Y487" s="290"/>
      <c r="Z487" s="290"/>
      <c r="AA487" s="290"/>
      <c r="AB487" s="290"/>
      <c r="AC487" s="290"/>
      <c r="AD487" s="290"/>
      <c r="AE487" s="290"/>
      <c r="AF487" s="290"/>
      <c r="AG487" s="290"/>
      <c r="AH487" s="290"/>
      <c r="AI487" s="290"/>
      <c r="AJ487" s="290"/>
      <c r="AK487" s="290"/>
    </row>
    <row r="488" spans="11:37" x14ac:dyDescent="0.2">
      <c r="K488" s="290"/>
      <c r="L488" s="290"/>
      <c r="M488" s="290"/>
      <c r="N488" s="290"/>
      <c r="O488" s="290"/>
      <c r="P488" s="290"/>
      <c r="Q488" s="290"/>
      <c r="R488" s="290"/>
      <c r="S488" s="290"/>
      <c r="T488" s="290"/>
      <c r="U488" s="290"/>
      <c r="V488" s="290"/>
      <c r="W488" s="290"/>
      <c r="X488" s="290"/>
      <c r="Y488" s="290"/>
      <c r="Z488" s="290"/>
      <c r="AA488" s="290"/>
      <c r="AB488" s="290"/>
      <c r="AC488" s="290"/>
      <c r="AD488" s="290"/>
      <c r="AE488" s="290"/>
      <c r="AF488" s="290"/>
      <c r="AG488" s="290"/>
      <c r="AH488" s="290"/>
      <c r="AI488" s="290"/>
      <c r="AJ488" s="290"/>
      <c r="AK488" s="290"/>
    </row>
    <row r="489" spans="11:37" x14ac:dyDescent="0.2">
      <c r="K489" s="290"/>
      <c r="L489" s="290"/>
      <c r="M489" s="290"/>
      <c r="N489" s="290"/>
      <c r="O489" s="290"/>
      <c r="P489" s="290"/>
      <c r="Q489" s="290"/>
      <c r="R489" s="290"/>
      <c r="S489" s="290"/>
      <c r="T489" s="290"/>
      <c r="U489" s="290"/>
      <c r="V489" s="290"/>
      <c r="W489" s="290"/>
      <c r="X489" s="290"/>
      <c r="Y489" s="290"/>
      <c r="Z489" s="290"/>
      <c r="AA489" s="290"/>
      <c r="AB489" s="290"/>
      <c r="AC489" s="290"/>
      <c r="AD489" s="290"/>
      <c r="AE489" s="290"/>
      <c r="AF489" s="290"/>
      <c r="AG489" s="290"/>
      <c r="AH489" s="290"/>
      <c r="AI489" s="290"/>
      <c r="AJ489" s="290"/>
      <c r="AK489" s="290"/>
    </row>
    <row r="490" spans="11:37" x14ac:dyDescent="0.2">
      <c r="K490" s="290"/>
      <c r="L490" s="290"/>
      <c r="M490" s="290"/>
      <c r="N490" s="290"/>
      <c r="O490" s="290"/>
      <c r="P490" s="290"/>
      <c r="Q490" s="290"/>
      <c r="R490" s="290"/>
      <c r="S490" s="290"/>
      <c r="T490" s="290"/>
      <c r="U490" s="290"/>
      <c r="V490" s="290"/>
      <c r="W490" s="290"/>
      <c r="X490" s="290"/>
      <c r="Y490" s="290"/>
      <c r="Z490" s="290"/>
      <c r="AA490" s="290"/>
      <c r="AB490" s="290"/>
      <c r="AC490" s="290"/>
      <c r="AD490" s="290"/>
      <c r="AE490" s="290"/>
      <c r="AF490" s="290"/>
      <c r="AG490" s="290"/>
      <c r="AH490" s="290"/>
      <c r="AI490" s="290"/>
      <c r="AJ490" s="290"/>
      <c r="AK490" s="290"/>
    </row>
    <row r="491" spans="11:37" x14ac:dyDescent="0.2">
      <c r="K491" s="290"/>
      <c r="L491" s="290"/>
      <c r="M491" s="290"/>
      <c r="N491" s="290"/>
      <c r="O491" s="290"/>
      <c r="P491" s="290"/>
      <c r="Q491" s="290"/>
      <c r="R491" s="290"/>
      <c r="S491" s="290"/>
      <c r="T491" s="290"/>
      <c r="U491" s="290"/>
      <c r="V491" s="290"/>
      <c r="W491" s="290"/>
      <c r="X491" s="290"/>
      <c r="Y491" s="290"/>
      <c r="Z491" s="290"/>
      <c r="AA491" s="290"/>
      <c r="AB491" s="290"/>
      <c r="AC491" s="290"/>
      <c r="AD491" s="290"/>
      <c r="AE491" s="290"/>
      <c r="AF491" s="290"/>
      <c r="AG491" s="290"/>
      <c r="AH491" s="290"/>
      <c r="AI491" s="290"/>
      <c r="AJ491" s="290"/>
      <c r="AK491" s="290"/>
    </row>
    <row r="492" spans="11:37" x14ac:dyDescent="0.2">
      <c r="K492" s="290"/>
      <c r="L492" s="290"/>
      <c r="M492" s="290"/>
      <c r="N492" s="290"/>
      <c r="O492" s="290"/>
      <c r="P492" s="290"/>
      <c r="Q492" s="290"/>
      <c r="R492" s="290"/>
      <c r="S492" s="290"/>
      <c r="T492" s="290"/>
      <c r="U492" s="290"/>
      <c r="V492" s="290"/>
      <c r="W492" s="290"/>
      <c r="X492" s="290"/>
      <c r="Y492" s="290"/>
      <c r="Z492" s="290"/>
      <c r="AA492" s="290"/>
      <c r="AB492" s="290"/>
      <c r="AC492" s="290"/>
      <c r="AD492" s="290"/>
      <c r="AE492" s="290"/>
      <c r="AF492" s="290"/>
      <c r="AG492" s="290"/>
      <c r="AH492" s="290"/>
      <c r="AI492" s="290"/>
      <c r="AJ492" s="290"/>
      <c r="AK492" s="290"/>
    </row>
    <row r="493" spans="11:37" x14ac:dyDescent="0.2">
      <c r="K493" s="290"/>
      <c r="L493" s="290"/>
      <c r="M493" s="290"/>
      <c r="N493" s="290"/>
      <c r="O493" s="290"/>
      <c r="P493" s="290"/>
      <c r="Q493" s="290"/>
      <c r="R493" s="290"/>
      <c r="S493" s="290"/>
      <c r="T493" s="290"/>
      <c r="U493" s="290"/>
      <c r="V493" s="290"/>
      <c r="W493" s="290"/>
      <c r="X493" s="290"/>
      <c r="Y493" s="290"/>
      <c r="Z493" s="290"/>
      <c r="AA493" s="290"/>
      <c r="AB493" s="290"/>
      <c r="AC493" s="290"/>
      <c r="AD493" s="290"/>
      <c r="AE493" s="290"/>
      <c r="AF493" s="290"/>
      <c r="AG493" s="290"/>
      <c r="AH493" s="290"/>
      <c r="AI493" s="290"/>
      <c r="AJ493" s="290"/>
      <c r="AK493" s="290"/>
    </row>
    <row r="494" spans="11:37" x14ac:dyDescent="0.2">
      <c r="K494" s="290"/>
      <c r="L494" s="290"/>
      <c r="M494" s="290"/>
      <c r="N494" s="290"/>
      <c r="O494" s="290"/>
      <c r="P494" s="290"/>
      <c r="Q494" s="290"/>
      <c r="R494" s="290"/>
      <c r="S494" s="290"/>
      <c r="T494" s="290"/>
      <c r="U494" s="290"/>
      <c r="V494" s="290"/>
      <c r="W494" s="290"/>
      <c r="X494" s="290"/>
      <c r="Y494" s="290"/>
      <c r="Z494" s="290"/>
      <c r="AA494" s="290"/>
      <c r="AB494" s="290"/>
      <c r="AC494" s="290"/>
      <c r="AD494" s="290"/>
      <c r="AE494" s="290"/>
      <c r="AF494" s="290"/>
      <c r="AG494" s="290"/>
      <c r="AH494" s="290"/>
      <c r="AI494" s="290"/>
      <c r="AJ494" s="290"/>
      <c r="AK494" s="290"/>
    </row>
    <row r="495" spans="11:37" x14ac:dyDescent="0.2">
      <c r="K495" s="290"/>
      <c r="L495" s="290"/>
      <c r="M495" s="290"/>
      <c r="N495" s="290"/>
      <c r="O495" s="290"/>
      <c r="P495" s="290"/>
      <c r="Q495" s="290"/>
      <c r="R495" s="290"/>
      <c r="S495" s="290"/>
      <c r="T495" s="290"/>
      <c r="U495" s="290"/>
      <c r="V495" s="290"/>
      <c r="W495" s="290"/>
      <c r="X495" s="290"/>
      <c r="Y495" s="290"/>
      <c r="Z495" s="290"/>
      <c r="AA495" s="290"/>
      <c r="AB495" s="290"/>
      <c r="AC495" s="290"/>
      <c r="AD495" s="290"/>
      <c r="AE495" s="290"/>
      <c r="AF495" s="290"/>
      <c r="AG495" s="290"/>
      <c r="AH495" s="290"/>
      <c r="AI495" s="290"/>
      <c r="AJ495" s="290"/>
      <c r="AK495" s="290"/>
    </row>
    <row r="496" spans="11:37" x14ac:dyDescent="0.2">
      <c r="K496" s="290"/>
      <c r="L496" s="290"/>
      <c r="M496" s="290"/>
      <c r="N496" s="290"/>
      <c r="O496" s="290"/>
      <c r="P496" s="290"/>
      <c r="Q496" s="290"/>
      <c r="R496" s="290"/>
      <c r="S496" s="290"/>
      <c r="T496" s="290"/>
      <c r="U496" s="290"/>
      <c r="V496" s="290"/>
      <c r="W496" s="290"/>
      <c r="X496" s="290"/>
      <c r="Y496" s="290"/>
      <c r="Z496" s="290"/>
      <c r="AA496" s="290"/>
      <c r="AB496" s="290"/>
      <c r="AC496" s="290"/>
      <c r="AD496" s="290"/>
      <c r="AE496" s="290"/>
      <c r="AF496" s="290"/>
      <c r="AG496" s="290"/>
      <c r="AH496" s="290"/>
      <c r="AI496" s="290"/>
      <c r="AJ496" s="290"/>
      <c r="AK496" s="290"/>
    </row>
    <row r="497" spans="11:37" x14ac:dyDescent="0.2">
      <c r="K497" s="290"/>
      <c r="L497" s="290"/>
      <c r="M497" s="290"/>
      <c r="N497" s="290"/>
      <c r="O497" s="290"/>
      <c r="P497" s="290"/>
      <c r="Q497" s="290"/>
      <c r="R497" s="290"/>
      <c r="S497" s="290"/>
      <c r="T497" s="290"/>
      <c r="U497" s="290"/>
      <c r="V497" s="290"/>
      <c r="W497" s="290"/>
      <c r="X497" s="290"/>
      <c r="Y497" s="290"/>
      <c r="Z497" s="290"/>
      <c r="AA497" s="290"/>
      <c r="AB497" s="290"/>
      <c r="AC497" s="290"/>
      <c r="AD497" s="290"/>
      <c r="AE497" s="290"/>
      <c r="AF497" s="290"/>
      <c r="AG497" s="290"/>
      <c r="AH497" s="290"/>
      <c r="AI497" s="290"/>
      <c r="AJ497" s="290"/>
      <c r="AK497" s="290"/>
    </row>
    <row r="498" spans="11:37" x14ac:dyDescent="0.2">
      <c r="K498" s="290"/>
      <c r="L498" s="290"/>
      <c r="M498" s="290"/>
      <c r="N498" s="290"/>
      <c r="O498" s="290"/>
      <c r="P498" s="290"/>
      <c r="Q498" s="290"/>
      <c r="R498" s="290"/>
      <c r="S498" s="290"/>
      <c r="T498" s="290"/>
      <c r="U498" s="290"/>
      <c r="V498" s="290"/>
      <c r="W498" s="290"/>
      <c r="X498" s="290"/>
      <c r="Y498" s="290"/>
      <c r="Z498" s="290"/>
      <c r="AA498" s="290"/>
      <c r="AB498" s="290"/>
      <c r="AC498" s="290"/>
      <c r="AD498" s="290"/>
      <c r="AE498" s="290"/>
      <c r="AF498" s="290"/>
      <c r="AG498" s="290"/>
      <c r="AH498" s="290"/>
      <c r="AI498" s="290"/>
      <c r="AJ498" s="290"/>
      <c r="AK498" s="290"/>
    </row>
    <row r="499" spans="11:37" x14ac:dyDescent="0.2">
      <c r="K499" s="290"/>
      <c r="L499" s="290"/>
      <c r="M499" s="290"/>
      <c r="N499" s="290"/>
      <c r="O499" s="290"/>
      <c r="P499" s="290"/>
      <c r="Q499" s="290"/>
      <c r="R499" s="290"/>
      <c r="S499" s="290"/>
      <c r="T499" s="290"/>
      <c r="U499" s="290"/>
      <c r="V499" s="290"/>
      <c r="W499" s="290"/>
      <c r="X499" s="290"/>
      <c r="Y499" s="290"/>
      <c r="Z499" s="290"/>
      <c r="AA499" s="290"/>
      <c r="AB499" s="290"/>
      <c r="AC499" s="290"/>
      <c r="AD499" s="290"/>
      <c r="AE499" s="290"/>
      <c r="AF499" s="290"/>
      <c r="AG499" s="290"/>
      <c r="AH499" s="290"/>
      <c r="AI499" s="290"/>
      <c r="AJ499" s="290"/>
      <c r="AK499" s="290"/>
    </row>
    <row r="500" spans="11:37" x14ac:dyDescent="0.2">
      <c r="K500" s="290"/>
      <c r="L500" s="290"/>
      <c r="M500" s="290"/>
      <c r="N500" s="290"/>
      <c r="O500" s="290"/>
      <c r="P500" s="290"/>
      <c r="Q500" s="290"/>
      <c r="R500" s="290"/>
      <c r="S500" s="290"/>
      <c r="T500" s="290"/>
      <c r="U500" s="290"/>
      <c r="V500" s="290"/>
      <c r="W500" s="290"/>
      <c r="X500" s="290"/>
      <c r="Y500" s="290"/>
      <c r="Z500" s="290"/>
      <c r="AA500" s="290"/>
      <c r="AB500" s="290"/>
      <c r="AC500" s="290"/>
      <c r="AD500" s="290"/>
      <c r="AE500" s="290"/>
      <c r="AF500" s="290"/>
      <c r="AG500" s="290"/>
      <c r="AH500" s="290"/>
      <c r="AI500" s="290"/>
      <c r="AJ500" s="290"/>
      <c r="AK500" s="290"/>
    </row>
    <row r="501" spans="11:37" x14ac:dyDescent="0.2">
      <c r="K501" s="290"/>
      <c r="L501" s="290"/>
      <c r="M501" s="290"/>
      <c r="N501" s="290"/>
      <c r="O501" s="290"/>
      <c r="P501" s="290"/>
      <c r="Q501" s="290"/>
      <c r="R501" s="290"/>
      <c r="S501" s="290"/>
      <c r="T501" s="290"/>
      <c r="U501" s="290"/>
      <c r="V501" s="290"/>
      <c r="W501" s="290"/>
      <c r="X501" s="290"/>
      <c r="Y501" s="290"/>
      <c r="Z501" s="290"/>
      <c r="AA501" s="290"/>
      <c r="AB501" s="290"/>
      <c r="AC501" s="290"/>
      <c r="AD501" s="290"/>
      <c r="AE501" s="290"/>
      <c r="AF501" s="290"/>
      <c r="AG501" s="290"/>
      <c r="AH501" s="290"/>
      <c r="AI501" s="290"/>
      <c r="AJ501" s="290"/>
      <c r="AK501" s="290"/>
    </row>
    <row r="502" spans="11:37" x14ac:dyDescent="0.2">
      <c r="K502" s="290"/>
      <c r="L502" s="290"/>
      <c r="M502" s="290"/>
      <c r="N502" s="290"/>
      <c r="O502" s="290"/>
      <c r="P502" s="290"/>
      <c r="Q502" s="290"/>
      <c r="R502" s="290"/>
      <c r="S502" s="290"/>
      <c r="T502" s="290"/>
      <c r="U502" s="290"/>
      <c r="V502" s="290"/>
      <c r="W502" s="290"/>
      <c r="X502" s="290"/>
      <c r="Y502" s="290"/>
      <c r="Z502" s="290"/>
      <c r="AA502" s="290"/>
      <c r="AB502" s="290"/>
      <c r="AC502" s="290"/>
      <c r="AD502" s="290"/>
      <c r="AE502" s="290"/>
      <c r="AF502" s="290"/>
      <c r="AG502" s="290"/>
      <c r="AH502" s="290"/>
      <c r="AI502" s="290"/>
      <c r="AJ502" s="290"/>
      <c r="AK502" s="290"/>
    </row>
    <row r="503" spans="11:37" x14ac:dyDescent="0.2">
      <c r="K503" s="290"/>
      <c r="L503" s="290"/>
      <c r="M503" s="290"/>
      <c r="N503" s="290"/>
      <c r="O503" s="290"/>
      <c r="P503" s="290"/>
      <c r="Q503" s="290"/>
      <c r="R503" s="290"/>
      <c r="S503" s="290"/>
      <c r="T503" s="290"/>
      <c r="U503" s="290"/>
      <c r="V503" s="290"/>
      <c r="W503" s="290"/>
      <c r="X503" s="290"/>
      <c r="Y503" s="290"/>
      <c r="Z503" s="290"/>
      <c r="AA503" s="290"/>
      <c r="AB503" s="290"/>
      <c r="AC503" s="290"/>
      <c r="AD503" s="290"/>
      <c r="AE503" s="290"/>
      <c r="AF503" s="290"/>
      <c r="AG503" s="290"/>
      <c r="AH503" s="290"/>
      <c r="AI503" s="290"/>
      <c r="AJ503" s="290"/>
      <c r="AK503" s="290"/>
    </row>
    <row r="504" spans="11:37" x14ac:dyDescent="0.2">
      <c r="K504" s="290"/>
      <c r="L504" s="290"/>
      <c r="M504" s="290"/>
      <c r="N504" s="290"/>
      <c r="O504" s="290"/>
      <c r="P504" s="290"/>
      <c r="Q504" s="290"/>
      <c r="R504" s="290"/>
      <c r="S504" s="290"/>
      <c r="T504" s="290"/>
      <c r="U504" s="290"/>
      <c r="V504" s="290"/>
      <c r="W504" s="290"/>
      <c r="X504" s="290"/>
      <c r="Y504" s="290"/>
      <c r="Z504" s="290"/>
      <c r="AA504" s="290"/>
      <c r="AB504" s="290"/>
      <c r="AC504" s="290"/>
      <c r="AD504" s="290"/>
      <c r="AE504" s="290"/>
      <c r="AF504" s="290"/>
      <c r="AG504" s="290"/>
      <c r="AH504" s="290"/>
      <c r="AI504" s="290"/>
      <c r="AJ504" s="290"/>
      <c r="AK504" s="290"/>
    </row>
    <row r="505" spans="11:37" x14ac:dyDescent="0.2">
      <c r="K505" s="290"/>
      <c r="L505" s="290"/>
      <c r="M505" s="290"/>
      <c r="N505" s="290"/>
      <c r="O505" s="290"/>
      <c r="P505" s="290"/>
      <c r="Q505" s="290"/>
      <c r="R505" s="290"/>
      <c r="S505" s="290"/>
      <c r="T505" s="290"/>
      <c r="U505" s="290"/>
      <c r="V505" s="290"/>
      <c r="W505" s="290"/>
      <c r="X505" s="290"/>
      <c r="Y505" s="290"/>
      <c r="Z505" s="290"/>
      <c r="AA505" s="290"/>
      <c r="AB505" s="290"/>
      <c r="AC505" s="290"/>
      <c r="AD505" s="290"/>
      <c r="AE505" s="290"/>
      <c r="AF505" s="290"/>
      <c r="AG505" s="290"/>
      <c r="AH505" s="290"/>
      <c r="AI505" s="290"/>
      <c r="AJ505" s="290"/>
      <c r="AK505" s="290"/>
    </row>
    <row r="506" spans="11:37" x14ac:dyDescent="0.2">
      <c r="K506" s="290"/>
      <c r="L506" s="290"/>
      <c r="M506" s="290"/>
      <c r="N506" s="290"/>
      <c r="O506" s="290"/>
      <c r="P506" s="290"/>
      <c r="Q506" s="290"/>
      <c r="R506" s="290"/>
      <c r="S506" s="290"/>
      <c r="T506" s="290"/>
      <c r="U506" s="290"/>
      <c r="V506" s="290"/>
      <c r="W506" s="290"/>
      <c r="X506" s="290"/>
      <c r="Y506" s="290"/>
      <c r="Z506" s="290"/>
      <c r="AA506" s="290"/>
      <c r="AB506" s="290"/>
      <c r="AC506" s="290"/>
      <c r="AD506" s="290"/>
      <c r="AE506" s="290"/>
      <c r="AF506" s="290"/>
      <c r="AG506" s="290"/>
      <c r="AH506" s="290"/>
      <c r="AI506" s="290"/>
      <c r="AJ506" s="290"/>
      <c r="AK506" s="290"/>
    </row>
    <row r="507" spans="11:37" x14ac:dyDescent="0.2">
      <c r="K507" s="290"/>
      <c r="L507" s="290"/>
      <c r="M507" s="290"/>
      <c r="N507" s="290"/>
      <c r="O507" s="290"/>
      <c r="P507" s="290"/>
      <c r="Q507" s="290"/>
      <c r="R507" s="290"/>
      <c r="S507" s="290"/>
      <c r="T507" s="290"/>
      <c r="U507" s="290"/>
      <c r="V507" s="290"/>
      <c r="W507" s="290"/>
      <c r="X507" s="290"/>
      <c r="Y507" s="290"/>
      <c r="Z507" s="290"/>
      <c r="AA507" s="290"/>
      <c r="AB507" s="290"/>
      <c r="AC507" s="290"/>
      <c r="AD507" s="290"/>
      <c r="AE507" s="290"/>
      <c r="AF507" s="290"/>
      <c r="AG507" s="290"/>
      <c r="AH507" s="290"/>
      <c r="AI507" s="290"/>
      <c r="AJ507" s="290"/>
      <c r="AK507" s="290"/>
    </row>
    <row r="508" spans="11:37" x14ac:dyDescent="0.2">
      <c r="K508" s="290"/>
      <c r="L508" s="290"/>
      <c r="M508" s="290"/>
      <c r="N508" s="290"/>
      <c r="O508" s="290"/>
      <c r="P508" s="290"/>
      <c r="Q508" s="290"/>
      <c r="R508" s="290"/>
      <c r="S508" s="290"/>
      <c r="T508" s="290"/>
      <c r="U508" s="290"/>
      <c r="V508" s="290"/>
      <c r="W508" s="290"/>
      <c r="X508" s="290"/>
      <c r="Y508" s="290"/>
      <c r="Z508" s="290"/>
      <c r="AA508" s="290"/>
      <c r="AB508" s="290"/>
      <c r="AC508" s="290"/>
      <c r="AD508" s="290"/>
      <c r="AE508" s="290"/>
      <c r="AF508" s="290"/>
      <c r="AG508" s="290"/>
      <c r="AH508" s="290"/>
      <c r="AI508" s="290"/>
      <c r="AJ508" s="290"/>
      <c r="AK508" s="290"/>
    </row>
    <row r="509" spans="11:37" x14ac:dyDescent="0.2">
      <c r="K509" s="290"/>
      <c r="L509" s="290"/>
      <c r="M509" s="290"/>
      <c r="N509" s="290"/>
      <c r="O509" s="290"/>
      <c r="P509" s="290"/>
      <c r="Q509" s="290"/>
      <c r="R509" s="290"/>
      <c r="S509" s="290"/>
      <c r="T509" s="290"/>
      <c r="U509" s="290"/>
      <c r="V509" s="290"/>
      <c r="W509" s="290"/>
      <c r="X509" s="290"/>
      <c r="Y509" s="290"/>
      <c r="Z509" s="290"/>
      <c r="AA509" s="290"/>
      <c r="AB509" s="290"/>
      <c r="AC509" s="290"/>
      <c r="AD509" s="290"/>
      <c r="AE509" s="290"/>
      <c r="AF509" s="290"/>
      <c r="AG509" s="290"/>
      <c r="AH509" s="290"/>
      <c r="AI509" s="290"/>
      <c r="AJ509" s="290"/>
      <c r="AK509" s="290"/>
    </row>
    <row r="510" spans="11:37" x14ac:dyDescent="0.2">
      <c r="K510" s="290"/>
      <c r="L510" s="290"/>
      <c r="M510" s="290"/>
      <c r="N510" s="290"/>
      <c r="O510" s="290"/>
      <c r="P510" s="290"/>
      <c r="Q510" s="290"/>
      <c r="R510" s="290"/>
      <c r="S510" s="290"/>
      <c r="T510" s="290"/>
      <c r="U510" s="290"/>
      <c r="V510" s="290"/>
      <c r="W510" s="290"/>
      <c r="X510" s="290"/>
      <c r="Y510" s="290"/>
      <c r="Z510" s="290"/>
      <c r="AA510" s="290"/>
      <c r="AB510" s="290"/>
      <c r="AC510" s="290"/>
      <c r="AD510" s="290"/>
      <c r="AE510" s="290"/>
      <c r="AF510" s="290"/>
      <c r="AG510" s="290"/>
      <c r="AH510" s="290"/>
      <c r="AI510" s="290"/>
      <c r="AJ510" s="290"/>
      <c r="AK510" s="290"/>
    </row>
    <row r="511" spans="11:37" x14ac:dyDescent="0.2">
      <c r="K511" s="290"/>
      <c r="L511" s="290"/>
      <c r="M511" s="290"/>
      <c r="N511" s="290"/>
      <c r="O511" s="290"/>
      <c r="P511" s="290"/>
      <c r="Q511" s="290"/>
      <c r="R511" s="290"/>
      <c r="S511" s="290"/>
      <c r="T511" s="290"/>
      <c r="U511" s="290"/>
      <c r="V511" s="290"/>
      <c r="W511" s="290"/>
      <c r="X511" s="290"/>
      <c r="Y511" s="290"/>
      <c r="Z511" s="290"/>
      <c r="AA511" s="290"/>
      <c r="AB511" s="290"/>
      <c r="AC511" s="290"/>
      <c r="AD511" s="290"/>
      <c r="AE511" s="290"/>
      <c r="AF511" s="290"/>
      <c r="AG511" s="290"/>
      <c r="AH511" s="290"/>
      <c r="AI511" s="290"/>
      <c r="AJ511" s="290"/>
      <c r="AK511" s="290"/>
    </row>
    <row r="512" spans="11:37" x14ac:dyDescent="0.2">
      <c r="K512" s="290"/>
      <c r="L512" s="290"/>
      <c r="M512" s="290"/>
      <c r="N512" s="290"/>
      <c r="O512" s="290"/>
      <c r="P512" s="290"/>
      <c r="Q512" s="290"/>
      <c r="R512" s="290"/>
      <c r="S512" s="290"/>
      <c r="T512" s="290"/>
      <c r="U512" s="290"/>
      <c r="V512" s="290"/>
      <c r="W512" s="290"/>
      <c r="X512" s="290"/>
      <c r="Y512" s="290"/>
      <c r="Z512" s="290"/>
      <c r="AA512" s="290"/>
      <c r="AB512" s="290"/>
      <c r="AC512" s="290"/>
      <c r="AD512" s="290"/>
      <c r="AE512" s="290"/>
      <c r="AF512" s="290"/>
      <c r="AG512" s="290"/>
      <c r="AH512" s="290"/>
      <c r="AI512" s="290"/>
      <c r="AJ512" s="290"/>
      <c r="AK512" s="290"/>
    </row>
    <row r="513" spans="11:37" x14ac:dyDescent="0.2">
      <c r="K513" s="290"/>
      <c r="L513" s="290"/>
      <c r="M513" s="290"/>
      <c r="N513" s="290"/>
      <c r="O513" s="290"/>
      <c r="P513" s="290"/>
      <c r="Q513" s="290"/>
      <c r="R513" s="290"/>
      <c r="S513" s="290"/>
      <c r="T513" s="290"/>
      <c r="U513" s="290"/>
      <c r="V513" s="290"/>
      <c r="W513" s="290"/>
      <c r="X513" s="290"/>
      <c r="Y513" s="290"/>
      <c r="Z513" s="290"/>
      <c r="AA513" s="290"/>
      <c r="AB513" s="290"/>
      <c r="AC513" s="290"/>
      <c r="AD513" s="290"/>
      <c r="AE513" s="290"/>
      <c r="AF513" s="290"/>
      <c r="AG513" s="290"/>
      <c r="AH513" s="290"/>
      <c r="AI513" s="290"/>
      <c r="AJ513" s="290"/>
      <c r="AK513" s="290"/>
    </row>
    <row r="514" spans="11:37" x14ac:dyDescent="0.2">
      <c r="K514" s="290"/>
      <c r="L514" s="290"/>
      <c r="M514" s="290"/>
      <c r="N514" s="290"/>
      <c r="O514" s="290"/>
      <c r="P514" s="290"/>
      <c r="Q514" s="290"/>
      <c r="R514" s="290"/>
      <c r="S514" s="290"/>
      <c r="T514" s="290"/>
      <c r="U514" s="290"/>
      <c r="V514" s="290"/>
      <c r="W514" s="290"/>
      <c r="X514" s="290"/>
      <c r="Y514" s="290"/>
      <c r="Z514" s="290"/>
      <c r="AA514" s="290"/>
      <c r="AB514" s="290"/>
      <c r="AC514" s="290"/>
      <c r="AD514" s="290"/>
      <c r="AE514" s="290"/>
      <c r="AF514" s="290"/>
      <c r="AG514" s="290"/>
      <c r="AH514" s="290"/>
      <c r="AI514" s="290"/>
      <c r="AJ514" s="290"/>
      <c r="AK514" s="290"/>
    </row>
    <row r="515" spans="11:37" x14ac:dyDescent="0.2">
      <c r="K515" s="290"/>
      <c r="L515" s="290"/>
      <c r="M515" s="290"/>
      <c r="N515" s="290"/>
      <c r="O515" s="290"/>
      <c r="P515" s="290"/>
      <c r="Q515" s="290"/>
      <c r="R515" s="290"/>
      <c r="S515" s="290"/>
      <c r="T515" s="290"/>
      <c r="U515" s="290"/>
      <c r="V515" s="290"/>
      <c r="W515" s="290"/>
      <c r="X515" s="290"/>
      <c r="Y515" s="290"/>
      <c r="Z515" s="290"/>
      <c r="AA515" s="290"/>
      <c r="AB515" s="290"/>
      <c r="AC515" s="290"/>
      <c r="AD515" s="290"/>
      <c r="AE515" s="290"/>
      <c r="AF515" s="290"/>
      <c r="AG515" s="290"/>
      <c r="AH515" s="290"/>
      <c r="AI515" s="290"/>
      <c r="AJ515" s="290"/>
      <c r="AK515" s="290"/>
    </row>
    <row r="516" spans="11:37" x14ac:dyDescent="0.2">
      <c r="K516" s="290"/>
      <c r="L516" s="290"/>
      <c r="M516" s="290"/>
      <c r="N516" s="290"/>
      <c r="O516" s="290"/>
      <c r="P516" s="290"/>
      <c r="Q516" s="290"/>
      <c r="R516" s="290"/>
      <c r="S516" s="290"/>
      <c r="T516" s="290"/>
      <c r="U516" s="290"/>
      <c r="V516" s="290"/>
      <c r="W516" s="290"/>
      <c r="X516" s="290"/>
      <c r="Y516" s="290"/>
      <c r="Z516" s="290"/>
      <c r="AA516" s="290"/>
      <c r="AB516" s="290"/>
      <c r="AC516" s="290"/>
      <c r="AD516" s="290"/>
      <c r="AE516" s="290"/>
      <c r="AF516" s="290"/>
      <c r="AG516" s="290"/>
      <c r="AH516" s="290"/>
      <c r="AI516" s="290"/>
      <c r="AJ516" s="290"/>
      <c r="AK516" s="290"/>
    </row>
    <row r="517" spans="11:37" x14ac:dyDescent="0.2">
      <c r="K517" s="290"/>
      <c r="L517" s="290"/>
      <c r="M517" s="290"/>
      <c r="N517" s="290"/>
      <c r="O517" s="290"/>
      <c r="P517" s="290"/>
      <c r="Q517" s="290"/>
      <c r="R517" s="290"/>
      <c r="S517" s="290"/>
      <c r="T517" s="290"/>
      <c r="U517" s="290"/>
      <c r="V517" s="290"/>
      <c r="W517" s="290"/>
      <c r="X517" s="290"/>
      <c r="Y517" s="290"/>
      <c r="Z517" s="290"/>
      <c r="AA517" s="290"/>
      <c r="AB517" s="290"/>
      <c r="AC517" s="290"/>
      <c r="AD517" s="290"/>
      <c r="AE517" s="290"/>
      <c r="AF517" s="290"/>
      <c r="AG517" s="290"/>
      <c r="AH517" s="290"/>
      <c r="AI517" s="290"/>
      <c r="AJ517" s="290"/>
      <c r="AK517" s="290"/>
    </row>
    <row r="518" spans="11:37" x14ac:dyDescent="0.2">
      <c r="K518" s="290"/>
      <c r="L518" s="290"/>
      <c r="M518" s="290"/>
      <c r="N518" s="290"/>
      <c r="O518" s="290"/>
      <c r="P518" s="290"/>
      <c r="Q518" s="290"/>
      <c r="R518" s="290"/>
      <c r="S518" s="290"/>
      <c r="T518" s="290"/>
      <c r="U518" s="290"/>
      <c r="V518" s="290"/>
      <c r="W518" s="290"/>
      <c r="X518" s="290"/>
      <c r="Y518" s="290"/>
      <c r="Z518" s="290"/>
      <c r="AA518" s="290"/>
      <c r="AB518" s="290"/>
      <c r="AC518" s="290"/>
      <c r="AD518" s="290"/>
      <c r="AE518" s="290"/>
      <c r="AF518" s="290"/>
      <c r="AG518" s="290"/>
      <c r="AH518" s="290"/>
      <c r="AI518" s="290"/>
      <c r="AJ518" s="290"/>
      <c r="AK518" s="290"/>
    </row>
    <row r="519" spans="11:37" x14ac:dyDescent="0.2">
      <c r="K519" s="290"/>
      <c r="L519" s="290"/>
      <c r="M519" s="290"/>
      <c r="N519" s="290"/>
      <c r="O519" s="290"/>
      <c r="P519" s="290"/>
      <c r="Q519" s="290"/>
      <c r="R519" s="290"/>
      <c r="S519" s="290"/>
      <c r="T519" s="290"/>
      <c r="U519" s="290"/>
      <c r="V519" s="290"/>
      <c r="W519" s="290"/>
      <c r="X519" s="290"/>
      <c r="Y519" s="290"/>
      <c r="Z519" s="290"/>
      <c r="AA519" s="290"/>
      <c r="AB519" s="290"/>
      <c r="AC519" s="290"/>
      <c r="AD519" s="290"/>
      <c r="AE519" s="290"/>
      <c r="AF519" s="290"/>
      <c r="AG519" s="290"/>
      <c r="AH519" s="290"/>
      <c r="AI519" s="290"/>
      <c r="AJ519" s="290"/>
      <c r="AK519" s="290"/>
    </row>
    <row r="520" spans="11:37" x14ac:dyDescent="0.2">
      <c r="K520" s="290"/>
      <c r="L520" s="290"/>
      <c r="M520" s="290"/>
      <c r="N520" s="290"/>
      <c r="O520" s="290"/>
      <c r="P520" s="290"/>
      <c r="Q520" s="290"/>
      <c r="R520" s="290"/>
      <c r="S520" s="290"/>
      <c r="T520" s="290"/>
      <c r="U520" s="290"/>
      <c r="V520" s="290"/>
      <c r="W520" s="290"/>
      <c r="X520" s="290"/>
      <c r="Y520" s="290"/>
      <c r="Z520" s="290"/>
      <c r="AA520" s="290"/>
      <c r="AB520" s="290"/>
      <c r="AC520" s="290"/>
      <c r="AD520" s="290"/>
      <c r="AE520" s="290"/>
      <c r="AF520" s="290"/>
      <c r="AG520" s="290"/>
      <c r="AH520" s="290"/>
      <c r="AI520" s="290"/>
      <c r="AJ520" s="290"/>
      <c r="AK520" s="290"/>
    </row>
    <row r="521" spans="11:37" x14ac:dyDescent="0.2">
      <c r="K521" s="290"/>
      <c r="L521" s="290"/>
      <c r="M521" s="290"/>
      <c r="N521" s="290"/>
      <c r="O521" s="290"/>
      <c r="P521" s="290"/>
      <c r="Q521" s="290"/>
      <c r="R521" s="290"/>
      <c r="S521" s="290"/>
      <c r="T521" s="290"/>
      <c r="U521" s="290"/>
      <c r="V521" s="290"/>
      <c r="W521" s="290"/>
      <c r="X521" s="290"/>
      <c r="Y521" s="290"/>
      <c r="Z521" s="290"/>
      <c r="AA521" s="290"/>
      <c r="AB521" s="290"/>
      <c r="AC521" s="290"/>
      <c r="AD521" s="290"/>
      <c r="AE521" s="290"/>
      <c r="AF521" s="290"/>
      <c r="AG521" s="290"/>
      <c r="AH521" s="290"/>
      <c r="AI521" s="290"/>
      <c r="AJ521" s="290"/>
      <c r="AK521" s="290"/>
    </row>
    <row r="522" spans="11:37" x14ac:dyDescent="0.2">
      <c r="K522" s="290"/>
      <c r="L522" s="290"/>
      <c r="M522" s="290"/>
      <c r="N522" s="290"/>
      <c r="O522" s="290"/>
      <c r="P522" s="290"/>
      <c r="Q522" s="290"/>
      <c r="R522" s="290"/>
      <c r="S522" s="290"/>
      <c r="T522" s="290"/>
      <c r="U522" s="290"/>
      <c r="V522" s="290"/>
      <c r="W522" s="290"/>
      <c r="X522" s="290"/>
      <c r="Y522" s="290"/>
      <c r="Z522" s="290"/>
      <c r="AA522" s="290"/>
      <c r="AB522" s="290"/>
      <c r="AC522" s="290"/>
      <c r="AD522" s="290"/>
      <c r="AE522" s="290"/>
      <c r="AF522" s="290"/>
      <c r="AG522" s="290"/>
      <c r="AH522" s="290"/>
      <c r="AI522" s="290"/>
      <c r="AJ522" s="290"/>
      <c r="AK522" s="290"/>
    </row>
    <row r="523" spans="11:37" x14ac:dyDescent="0.2">
      <c r="K523" s="290"/>
      <c r="L523" s="290"/>
      <c r="M523" s="290"/>
      <c r="N523" s="290"/>
      <c r="O523" s="290"/>
      <c r="P523" s="290"/>
      <c r="Q523" s="290"/>
      <c r="R523" s="290"/>
      <c r="S523" s="290"/>
      <c r="T523" s="290"/>
      <c r="U523" s="290"/>
      <c r="V523" s="290"/>
      <c r="W523" s="290"/>
      <c r="X523" s="290"/>
      <c r="Y523" s="290"/>
      <c r="Z523" s="290"/>
      <c r="AA523" s="290"/>
      <c r="AB523" s="290"/>
      <c r="AC523" s="290"/>
      <c r="AD523" s="290"/>
      <c r="AE523" s="290"/>
      <c r="AF523" s="290"/>
      <c r="AG523" s="290"/>
      <c r="AH523" s="290"/>
      <c r="AI523" s="290"/>
      <c r="AJ523" s="290"/>
      <c r="AK523" s="290"/>
    </row>
    <row r="524" spans="11:37" x14ac:dyDescent="0.2">
      <c r="K524" s="290"/>
      <c r="L524" s="290"/>
      <c r="M524" s="290"/>
      <c r="N524" s="290"/>
      <c r="O524" s="290"/>
      <c r="P524" s="290"/>
      <c r="Q524" s="290"/>
      <c r="R524" s="290"/>
      <c r="S524" s="290"/>
      <c r="T524" s="290"/>
      <c r="U524" s="290"/>
      <c r="V524" s="290"/>
      <c r="W524" s="290"/>
      <c r="X524" s="290"/>
      <c r="Y524" s="290"/>
      <c r="Z524" s="290"/>
      <c r="AA524" s="290"/>
      <c r="AB524" s="290"/>
      <c r="AC524" s="290"/>
      <c r="AD524" s="290"/>
      <c r="AE524" s="290"/>
      <c r="AF524" s="290"/>
      <c r="AG524" s="290"/>
      <c r="AH524" s="290"/>
      <c r="AI524" s="290"/>
      <c r="AJ524" s="290"/>
      <c r="AK524" s="290"/>
    </row>
    <row r="525" spans="11:37" x14ac:dyDescent="0.2">
      <c r="K525" s="290"/>
      <c r="L525" s="290"/>
      <c r="M525" s="290"/>
      <c r="N525" s="290"/>
      <c r="O525" s="290"/>
      <c r="P525" s="290"/>
      <c r="Q525" s="290"/>
      <c r="R525" s="290"/>
      <c r="S525" s="290"/>
      <c r="T525" s="290"/>
      <c r="U525" s="290"/>
      <c r="V525" s="290"/>
      <c r="W525" s="290"/>
      <c r="X525" s="290"/>
      <c r="Y525" s="290"/>
      <c r="Z525" s="290"/>
      <c r="AA525" s="290"/>
      <c r="AB525" s="290"/>
      <c r="AC525" s="290"/>
      <c r="AD525" s="290"/>
      <c r="AE525" s="290"/>
      <c r="AF525" s="290"/>
      <c r="AG525" s="290"/>
      <c r="AH525" s="290"/>
      <c r="AI525" s="290"/>
      <c r="AJ525" s="290"/>
      <c r="AK525" s="290"/>
    </row>
    <row r="526" spans="11:37" x14ac:dyDescent="0.2">
      <c r="K526" s="290"/>
      <c r="L526" s="290"/>
      <c r="M526" s="290"/>
      <c r="N526" s="290"/>
      <c r="O526" s="290"/>
      <c r="P526" s="290"/>
      <c r="Q526" s="290"/>
      <c r="R526" s="290"/>
      <c r="S526" s="290"/>
      <c r="T526" s="290"/>
      <c r="U526" s="290"/>
      <c r="V526" s="290"/>
      <c r="W526" s="290"/>
      <c r="X526" s="290"/>
      <c r="Y526" s="290"/>
      <c r="Z526" s="290"/>
      <c r="AA526" s="290"/>
      <c r="AB526" s="290"/>
      <c r="AC526" s="290"/>
      <c r="AD526" s="290"/>
      <c r="AE526" s="290"/>
      <c r="AF526" s="290"/>
      <c r="AG526" s="290"/>
      <c r="AH526" s="290"/>
      <c r="AI526" s="290"/>
      <c r="AJ526" s="290"/>
      <c r="AK526" s="290"/>
    </row>
    <row r="527" spans="11:37" x14ac:dyDescent="0.2">
      <c r="K527" s="290"/>
      <c r="L527" s="290"/>
      <c r="M527" s="290"/>
      <c r="N527" s="290"/>
      <c r="O527" s="290"/>
      <c r="P527" s="290"/>
      <c r="Q527" s="290"/>
      <c r="R527" s="290"/>
      <c r="S527" s="290"/>
      <c r="T527" s="290"/>
      <c r="U527" s="290"/>
      <c r="V527" s="290"/>
      <c r="W527" s="290"/>
      <c r="X527" s="290"/>
      <c r="Y527" s="290"/>
      <c r="Z527" s="290"/>
      <c r="AA527" s="290"/>
      <c r="AB527" s="290"/>
      <c r="AC527" s="290"/>
      <c r="AD527" s="290"/>
      <c r="AE527" s="290"/>
      <c r="AF527" s="290"/>
      <c r="AG527" s="290"/>
      <c r="AH527" s="290"/>
      <c r="AI527" s="290"/>
      <c r="AJ527" s="290"/>
      <c r="AK527" s="290"/>
    </row>
    <row r="528" spans="11:37" x14ac:dyDescent="0.2">
      <c r="K528" s="290"/>
      <c r="L528" s="290"/>
      <c r="M528" s="290"/>
      <c r="N528" s="290"/>
      <c r="O528" s="290"/>
      <c r="P528" s="290"/>
      <c r="Q528" s="290"/>
      <c r="R528" s="290"/>
      <c r="S528" s="290"/>
      <c r="T528" s="290"/>
      <c r="U528" s="290"/>
      <c r="V528" s="290"/>
      <c r="W528" s="290"/>
      <c r="X528" s="290"/>
      <c r="Y528" s="290"/>
      <c r="Z528" s="290"/>
      <c r="AA528" s="290"/>
      <c r="AB528" s="290"/>
      <c r="AC528" s="290"/>
      <c r="AD528" s="290"/>
      <c r="AE528" s="290"/>
      <c r="AF528" s="290"/>
      <c r="AG528" s="290"/>
      <c r="AH528" s="290"/>
      <c r="AI528" s="290"/>
      <c r="AJ528" s="290"/>
      <c r="AK528" s="290"/>
    </row>
    <row r="529" spans="11:37" x14ac:dyDescent="0.2">
      <c r="K529" s="290"/>
      <c r="L529" s="290"/>
      <c r="M529" s="290"/>
      <c r="N529" s="290"/>
      <c r="O529" s="290"/>
      <c r="P529" s="290"/>
      <c r="Q529" s="290"/>
      <c r="R529" s="290"/>
      <c r="S529" s="290"/>
      <c r="T529" s="290"/>
      <c r="U529" s="290"/>
      <c r="V529" s="290"/>
      <c r="W529" s="290"/>
      <c r="X529" s="290"/>
      <c r="Y529" s="290"/>
      <c r="Z529" s="290"/>
      <c r="AA529" s="290"/>
      <c r="AB529" s="290"/>
      <c r="AC529" s="290"/>
      <c r="AD529" s="290"/>
      <c r="AE529" s="290"/>
      <c r="AF529" s="290"/>
      <c r="AG529" s="290"/>
      <c r="AH529" s="290"/>
      <c r="AI529" s="290"/>
      <c r="AJ529" s="290"/>
      <c r="AK529" s="290"/>
    </row>
    <row r="530" spans="11:37" x14ac:dyDescent="0.2">
      <c r="K530" s="290"/>
      <c r="L530" s="290"/>
      <c r="M530" s="290"/>
      <c r="N530" s="290"/>
      <c r="O530" s="290"/>
      <c r="P530" s="290"/>
      <c r="Q530" s="290"/>
      <c r="R530" s="290"/>
      <c r="S530" s="290"/>
      <c r="T530" s="290"/>
      <c r="U530" s="290"/>
      <c r="V530" s="290"/>
      <c r="W530" s="290"/>
      <c r="X530" s="290"/>
      <c r="Y530" s="290"/>
      <c r="Z530" s="290"/>
      <c r="AA530" s="290"/>
      <c r="AB530" s="290"/>
      <c r="AC530" s="290"/>
      <c r="AD530" s="290"/>
      <c r="AE530" s="290"/>
      <c r="AF530" s="290"/>
      <c r="AG530" s="290"/>
      <c r="AH530" s="290"/>
      <c r="AI530" s="290"/>
      <c r="AJ530" s="290"/>
      <c r="AK530" s="290"/>
    </row>
    <row r="531" spans="11:37" x14ac:dyDescent="0.2">
      <c r="K531" s="290"/>
      <c r="L531" s="290"/>
      <c r="M531" s="290"/>
      <c r="N531" s="290"/>
      <c r="O531" s="290"/>
      <c r="P531" s="290"/>
      <c r="Q531" s="290"/>
      <c r="R531" s="290"/>
      <c r="S531" s="290"/>
      <c r="T531" s="290"/>
      <c r="U531" s="290"/>
      <c r="V531" s="290"/>
      <c r="W531" s="290"/>
      <c r="X531" s="290"/>
      <c r="Y531" s="290"/>
      <c r="Z531" s="290"/>
      <c r="AA531" s="290"/>
      <c r="AB531" s="290"/>
      <c r="AC531" s="290"/>
      <c r="AD531" s="290"/>
      <c r="AE531" s="290"/>
      <c r="AF531" s="290"/>
      <c r="AG531" s="290"/>
      <c r="AH531" s="290"/>
      <c r="AI531" s="290"/>
      <c r="AJ531" s="290"/>
      <c r="AK531" s="290"/>
    </row>
    <row r="532" spans="11:37" x14ac:dyDescent="0.2">
      <c r="K532" s="290"/>
      <c r="L532" s="290"/>
      <c r="M532" s="290"/>
      <c r="N532" s="290"/>
      <c r="O532" s="290"/>
      <c r="P532" s="290"/>
      <c r="Q532" s="290"/>
      <c r="R532" s="290"/>
      <c r="S532" s="290"/>
      <c r="T532" s="290"/>
      <c r="U532" s="290"/>
      <c r="V532" s="290"/>
      <c r="W532" s="290"/>
      <c r="X532" s="290"/>
      <c r="Y532" s="290"/>
      <c r="Z532" s="290"/>
      <c r="AA532" s="290"/>
      <c r="AB532" s="290"/>
      <c r="AC532" s="290"/>
      <c r="AD532" s="290"/>
      <c r="AE532" s="290"/>
      <c r="AF532" s="290"/>
      <c r="AG532" s="290"/>
      <c r="AH532" s="290"/>
      <c r="AI532" s="290"/>
      <c r="AJ532" s="290"/>
      <c r="AK532" s="290"/>
    </row>
    <row r="533" spans="11:37" x14ac:dyDescent="0.2">
      <c r="K533" s="290"/>
      <c r="L533" s="290"/>
      <c r="M533" s="290"/>
      <c r="N533" s="290"/>
      <c r="O533" s="290"/>
      <c r="P533" s="290"/>
      <c r="Q533" s="290"/>
      <c r="R533" s="290"/>
      <c r="S533" s="290"/>
      <c r="T533" s="290"/>
      <c r="U533" s="290"/>
      <c r="V533" s="290"/>
      <c r="W533" s="290"/>
      <c r="X533" s="290"/>
      <c r="Y533" s="290"/>
      <c r="Z533" s="290"/>
      <c r="AA533" s="290"/>
      <c r="AB533" s="290"/>
      <c r="AC533" s="290"/>
      <c r="AD533" s="290"/>
      <c r="AE533" s="290"/>
      <c r="AF533" s="290"/>
      <c r="AG533" s="290"/>
      <c r="AH533" s="290"/>
      <c r="AI533" s="290"/>
      <c r="AJ533" s="290"/>
      <c r="AK533" s="290"/>
    </row>
    <row r="534" spans="11:37" x14ac:dyDescent="0.2">
      <c r="K534" s="290"/>
      <c r="L534" s="290"/>
      <c r="M534" s="290"/>
      <c r="N534" s="290"/>
      <c r="O534" s="290"/>
      <c r="P534" s="290"/>
      <c r="Q534" s="290"/>
      <c r="R534" s="290"/>
      <c r="S534" s="290"/>
      <c r="T534" s="290"/>
      <c r="U534" s="290"/>
      <c r="V534" s="290"/>
      <c r="W534" s="290"/>
      <c r="X534" s="290"/>
      <c r="Y534" s="290"/>
      <c r="Z534" s="290"/>
      <c r="AA534" s="290"/>
      <c r="AB534" s="290"/>
      <c r="AC534" s="290"/>
      <c r="AD534" s="290"/>
      <c r="AE534" s="290"/>
      <c r="AF534" s="290"/>
      <c r="AG534" s="290"/>
      <c r="AH534" s="290"/>
      <c r="AI534" s="290"/>
      <c r="AJ534" s="290"/>
      <c r="AK534" s="290"/>
    </row>
    <row r="535" spans="11:37" x14ac:dyDescent="0.2">
      <c r="K535" s="290"/>
      <c r="L535" s="290"/>
      <c r="M535" s="290"/>
      <c r="N535" s="290"/>
      <c r="O535" s="290"/>
      <c r="P535" s="290"/>
      <c r="Q535" s="290"/>
      <c r="R535" s="290"/>
      <c r="S535" s="290"/>
      <c r="T535" s="290"/>
      <c r="U535" s="290"/>
      <c r="V535" s="290"/>
      <c r="W535" s="290"/>
      <c r="X535" s="290"/>
      <c r="Y535" s="290"/>
      <c r="Z535" s="290"/>
      <c r="AA535" s="290"/>
      <c r="AB535" s="290"/>
      <c r="AC535" s="290"/>
      <c r="AD535" s="290"/>
      <c r="AE535" s="290"/>
      <c r="AF535" s="290"/>
      <c r="AG535" s="290"/>
      <c r="AH535" s="290"/>
      <c r="AI535" s="290"/>
      <c r="AJ535" s="290"/>
      <c r="AK535" s="290"/>
    </row>
    <row r="536" spans="11:37" x14ac:dyDescent="0.2">
      <c r="K536" s="290"/>
      <c r="L536" s="290"/>
      <c r="M536" s="290"/>
      <c r="N536" s="290"/>
      <c r="O536" s="290"/>
      <c r="P536" s="290"/>
      <c r="Q536" s="290"/>
      <c r="R536" s="290"/>
      <c r="S536" s="290"/>
      <c r="T536" s="290"/>
      <c r="U536" s="290"/>
      <c r="V536" s="290"/>
      <c r="W536" s="290"/>
      <c r="X536" s="290"/>
      <c r="Y536" s="290"/>
      <c r="Z536" s="290"/>
      <c r="AA536" s="290"/>
      <c r="AB536" s="290"/>
      <c r="AC536" s="290"/>
      <c r="AD536" s="290"/>
      <c r="AE536" s="290"/>
      <c r="AF536" s="290"/>
      <c r="AG536" s="290"/>
      <c r="AH536" s="290"/>
      <c r="AI536" s="290"/>
      <c r="AJ536" s="290"/>
      <c r="AK536" s="290"/>
    </row>
    <row r="537" spans="11:37" x14ac:dyDescent="0.2">
      <c r="K537" s="290"/>
      <c r="L537" s="290"/>
      <c r="M537" s="290"/>
      <c r="N537" s="290"/>
      <c r="O537" s="290"/>
      <c r="P537" s="290"/>
      <c r="Q537" s="290"/>
      <c r="R537" s="290"/>
      <c r="S537" s="290"/>
      <c r="T537" s="290"/>
      <c r="U537" s="290"/>
      <c r="V537" s="290"/>
      <c r="W537" s="290"/>
      <c r="X537" s="290"/>
      <c r="Y537" s="290"/>
      <c r="Z537" s="290"/>
      <c r="AA537" s="290"/>
      <c r="AB537" s="290"/>
      <c r="AC537" s="290"/>
      <c r="AD537" s="290"/>
      <c r="AE537" s="290"/>
      <c r="AF537" s="290"/>
      <c r="AG537" s="290"/>
      <c r="AH537" s="290"/>
      <c r="AI537" s="290"/>
      <c r="AJ537" s="290"/>
      <c r="AK537" s="290"/>
    </row>
    <row r="538" spans="11:37" x14ac:dyDescent="0.2">
      <c r="K538" s="290"/>
      <c r="L538" s="290"/>
      <c r="M538" s="290"/>
      <c r="N538" s="290"/>
      <c r="O538" s="290"/>
      <c r="P538" s="290"/>
      <c r="Q538" s="290"/>
      <c r="R538" s="290"/>
      <c r="S538" s="290"/>
      <c r="T538" s="290"/>
      <c r="U538" s="290"/>
      <c r="V538" s="290"/>
      <c r="W538" s="290"/>
      <c r="X538" s="290"/>
      <c r="Y538" s="290"/>
      <c r="Z538" s="290"/>
      <c r="AA538" s="290"/>
      <c r="AB538" s="290"/>
      <c r="AC538" s="290"/>
      <c r="AD538" s="290"/>
      <c r="AE538" s="290"/>
      <c r="AF538" s="290"/>
      <c r="AG538" s="290"/>
      <c r="AH538" s="290"/>
      <c r="AI538" s="290"/>
      <c r="AJ538" s="290"/>
      <c r="AK538" s="290"/>
    </row>
    <row r="539" spans="11:37" x14ac:dyDescent="0.2">
      <c r="K539" s="290"/>
      <c r="L539" s="290"/>
      <c r="M539" s="290"/>
      <c r="N539" s="290"/>
      <c r="O539" s="290"/>
      <c r="P539" s="290"/>
      <c r="Q539" s="290"/>
      <c r="R539" s="290"/>
      <c r="S539" s="290"/>
      <c r="T539" s="290"/>
      <c r="U539" s="290"/>
      <c r="V539" s="290"/>
      <c r="W539" s="290"/>
      <c r="X539" s="290"/>
      <c r="Y539" s="290"/>
      <c r="Z539" s="290"/>
      <c r="AA539" s="290"/>
      <c r="AB539" s="290"/>
      <c r="AC539" s="290"/>
      <c r="AD539" s="290"/>
      <c r="AE539" s="290"/>
      <c r="AF539" s="290"/>
      <c r="AG539" s="290"/>
      <c r="AH539" s="290"/>
      <c r="AI539" s="290"/>
      <c r="AJ539" s="290"/>
      <c r="AK539" s="290"/>
    </row>
    <row r="540" spans="11:37" x14ac:dyDescent="0.2">
      <c r="K540" s="290"/>
      <c r="L540" s="290"/>
      <c r="M540" s="290"/>
      <c r="N540" s="290"/>
      <c r="O540" s="290"/>
      <c r="P540" s="290"/>
      <c r="Q540" s="290"/>
      <c r="R540" s="290"/>
      <c r="S540" s="290"/>
      <c r="T540" s="290"/>
      <c r="U540" s="290"/>
      <c r="V540" s="290"/>
      <c r="W540" s="290"/>
      <c r="X540" s="290"/>
      <c r="Y540" s="290"/>
      <c r="Z540" s="290"/>
      <c r="AA540" s="290"/>
      <c r="AB540" s="290"/>
      <c r="AC540" s="290"/>
      <c r="AD540" s="290"/>
      <c r="AE540" s="290"/>
      <c r="AF540" s="290"/>
      <c r="AG540" s="290"/>
      <c r="AH540" s="290"/>
      <c r="AI540" s="290"/>
      <c r="AJ540" s="290"/>
      <c r="AK540" s="290"/>
    </row>
    <row r="541" spans="11:37" x14ac:dyDescent="0.2">
      <c r="K541" s="290"/>
      <c r="L541" s="290"/>
      <c r="M541" s="290"/>
      <c r="N541" s="290"/>
      <c r="O541" s="290"/>
      <c r="P541" s="290"/>
      <c r="Q541" s="290"/>
      <c r="R541" s="290"/>
      <c r="S541" s="290"/>
      <c r="T541" s="290"/>
      <c r="U541" s="290"/>
      <c r="V541" s="290"/>
      <c r="W541" s="290"/>
      <c r="X541" s="290"/>
      <c r="Y541" s="290"/>
      <c r="Z541" s="290"/>
      <c r="AA541" s="290"/>
      <c r="AB541" s="290"/>
      <c r="AC541" s="290"/>
      <c r="AD541" s="290"/>
      <c r="AE541" s="290"/>
      <c r="AF541" s="290"/>
      <c r="AG541" s="290"/>
      <c r="AH541" s="290"/>
      <c r="AI541" s="290"/>
      <c r="AJ541" s="290"/>
      <c r="AK541" s="290"/>
    </row>
    <row r="542" spans="11:37" x14ac:dyDescent="0.2">
      <c r="K542" s="290"/>
      <c r="L542" s="290"/>
      <c r="M542" s="290"/>
      <c r="N542" s="290"/>
      <c r="O542" s="290"/>
      <c r="P542" s="290"/>
      <c r="Q542" s="290"/>
      <c r="R542" s="290"/>
      <c r="S542" s="290"/>
      <c r="T542" s="290"/>
      <c r="U542" s="290"/>
      <c r="V542" s="290"/>
      <c r="W542" s="290"/>
      <c r="X542" s="290"/>
      <c r="Y542" s="290"/>
      <c r="Z542" s="290"/>
      <c r="AA542" s="290"/>
      <c r="AB542" s="290"/>
      <c r="AC542" s="290"/>
      <c r="AD542" s="290"/>
      <c r="AE542" s="290"/>
      <c r="AF542" s="290"/>
      <c r="AG542" s="290"/>
      <c r="AH542" s="290"/>
      <c r="AI542" s="290"/>
      <c r="AJ542" s="290"/>
      <c r="AK542" s="290"/>
    </row>
    <row r="543" spans="11:37" x14ac:dyDescent="0.2">
      <c r="K543" s="290"/>
      <c r="L543" s="290"/>
      <c r="M543" s="290"/>
      <c r="N543" s="290"/>
      <c r="O543" s="290"/>
      <c r="P543" s="290"/>
      <c r="Q543" s="290"/>
      <c r="R543" s="290"/>
      <c r="S543" s="290"/>
      <c r="T543" s="290"/>
      <c r="U543" s="290"/>
      <c r="V543" s="290"/>
      <c r="W543" s="290"/>
      <c r="X543" s="290"/>
      <c r="Y543" s="290"/>
      <c r="Z543" s="290"/>
      <c r="AA543" s="290"/>
      <c r="AB543" s="290"/>
      <c r="AC543" s="290"/>
      <c r="AD543" s="290"/>
      <c r="AE543" s="290"/>
      <c r="AF543" s="290"/>
      <c r="AG543" s="290"/>
      <c r="AH543" s="290"/>
      <c r="AI543" s="290"/>
      <c r="AJ543" s="290"/>
      <c r="AK543" s="290"/>
    </row>
    <row r="544" spans="11:37" x14ac:dyDescent="0.2">
      <c r="K544" s="290"/>
      <c r="L544" s="290"/>
      <c r="M544" s="290"/>
      <c r="N544" s="290"/>
      <c r="O544" s="290"/>
      <c r="P544" s="290"/>
      <c r="Q544" s="290"/>
      <c r="R544" s="290"/>
      <c r="S544" s="290"/>
      <c r="T544" s="290"/>
      <c r="U544" s="290"/>
      <c r="V544" s="290"/>
      <c r="W544" s="290"/>
      <c r="X544" s="290"/>
      <c r="Y544" s="290"/>
      <c r="Z544" s="290"/>
      <c r="AA544" s="290"/>
      <c r="AB544" s="290"/>
      <c r="AC544" s="290"/>
      <c r="AD544" s="290"/>
      <c r="AE544" s="290"/>
      <c r="AF544" s="290"/>
      <c r="AG544" s="290"/>
      <c r="AH544" s="290"/>
      <c r="AI544" s="290"/>
      <c r="AJ544" s="290"/>
      <c r="AK544" s="290"/>
    </row>
    <row r="545" spans="11:37" x14ac:dyDescent="0.2">
      <c r="K545" s="290"/>
      <c r="L545" s="290"/>
      <c r="M545" s="290"/>
      <c r="N545" s="290"/>
      <c r="O545" s="290"/>
      <c r="P545" s="290"/>
      <c r="Q545" s="290"/>
      <c r="R545" s="290"/>
      <c r="S545" s="290"/>
      <c r="T545" s="290"/>
      <c r="U545" s="290"/>
      <c r="V545" s="290"/>
      <c r="W545" s="290"/>
      <c r="X545" s="290"/>
      <c r="Y545" s="290"/>
      <c r="Z545" s="290"/>
      <c r="AA545" s="290"/>
      <c r="AB545" s="290"/>
      <c r="AC545" s="290"/>
      <c r="AD545" s="290"/>
      <c r="AE545" s="290"/>
      <c r="AF545" s="290"/>
      <c r="AG545" s="290"/>
      <c r="AH545" s="290"/>
      <c r="AI545" s="290"/>
      <c r="AJ545" s="290"/>
      <c r="AK545" s="290"/>
    </row>
    <row r="546" spans="11:37" x14ac:dyDescent="0.2">
      <c r="K546" s="290"/>
      <c r="L546" s="290"/>
      <c r="M546" s="290"/>
      <c r="N546" s="290"/>
      <c r="O546" s="290"/>
      <c r="P546" s="290"/>
      <c r="Q546" s="290"/>
      <c r="R546" s="290"/>
      <c r="S546" s="290"/>
      <c r="T546" s="290"/>
      <c r="U546" s="290"/>
      <c r="V546" s="290"/>
      <c r="W546" s="290"/>
      <c r="X546" s="290"/>
      <c r="Y546" s="290"/>
      <c r="Z546" s="290"/>
      <c r="AA546" s="290"/>
      <c r="AB546" s="290"/>
      <c r="AC546" s="290"/>
      <c r="AD546" s="290"/>
      <c r="AE546" s="290"/>
      <c r="AF546" s="290"/>
      <c r="AG546" s="290"/>
      <c r="AH546" s="290"/>
      <c r="AI546" s="290"/>
      <c r="AJ546" s="290"/>
      <c r="AK546" s="290"/>
    </row>
    <row r="547" spans="11:37" x14ac:dyDescent="0.2">
      <c r="K547" s="290"/>
      <c r="L547" s="290"/>
      <c r="M547" s="290"/>
      <c r="N547" s="290"/>
      <c r="O547" s="290"/>
      <c r="P547" s="290"/>
      <c r="Q547" s="290"/>
      <c r="R547" s="290"/>
      <c r="S547" s="290"/>
      <c r="T547" s="290"/>
      <c r="U547" s="290"/>
      <c r="V547" s="290"/>
      <c r="W547" s="290"/>
      <c r="X547" s="290"/>
      <c r="Y547" s="290"/>
      <c r="Z547" s="290"/>
      <c r="AA547" s="290"/>
      <c r="AB547" s="290"/>
      <c r="AC547" s="290"/>
      <c r="AD547" s="290"/>
      <c r="AE547" s="290"/>
      <c r="AF547" s="290"/>
      <c r="AG547" s="290"/>
      <c r="AH547" s="290"/>
      <c r="AI547" s="290"/>
      <c r="AJ547" s="290"/>
      <c r="AK547" s="290"/>
    </row>
    <row r="548" spans="11:37" x14ac:dyDescent="0.2">
      <c r="K548" s="290"/>
      <c r="L548" s="290"/>
      <c r="M548" s="290"/>
      <c r="N548" s="290"/>
      <c r="O548" s="290"/>
      <c r="P548" s="290"/>
      <c r="Q548" s="290"/>
      <c r="R548" s="290"/>
      <c r="S548" s="290"/>
      <c r="T548" s="290"/>
      <c r="U548" s="290"/>
      <c r="V548" s="290"/>
      <c r="W548" s="290"/>
      <c r="X548" s="290"/>
      <c r="Y548" s="290"/>
      <c r="Z548" s="290"/>
      <c r="AA548" s="290"/>
      <c r="AB548" s="290"/>
      <c r="AC548" s="290"/>
      <c r="AD548" s="290"/>
      <c r="AE548" s="290"/>
      <c r="AF548" s="290"/>
      <c r="AG548" s="290"/>
      <c r="AH548" s="290"/>
      <c r="AI548" s="290"/>
      <c r="AJ548" s="290"/>
      <c r="AK548" s="290"/>
    </row>
    <row r="549" spans="11:37" x14ac:dyDescent="0.2">
      <c r="K549" s="290"/>
      <c r="L549" s="290"/>
      <c r="M549" s="290"/>
      <c r="N549" s="290"/>
      <c r="O549" s="290"/>
      <c r="P549" s="290"/>
      <c r="Q549" s="290"/>
      <c r="R549" s="290"/>
      <c r="S549" s="290"/>
      <c r="T549" s="290"/>
      <c r="U549" s="290"/>
      <c r="V549" s="290"/>
      <c r="W549" s="290"/>
      <c r="X549" s="290"/>
      <c r="Y549" s="290"/>
      <c r="Z549" s="290"/>
      <c r="AA549" s="290"/>
      <c r="AB549" s="290"/>
      <c r="AC549" s="290"/>
      <c r="AD549" s="290"/>
      <c r="AE549" s="290"/>
      <c r="AF549" s="290"/>
      <c r="AG549" s="290"/>
      <c r="AH549" s="290"/>
      <c r="AI549" s="290"/>
      <c r="AJ549" s="290"/>
      <c r="AK549" s="290"/>
    </row>
    <row r="550" spans="11:37" x14ac:dyDescent="0.2">
      <c r="K550" s="290"/>
      <c r="L550" s="290"/>
      <c r="M550" s="290"/>
      <c r="N550" s="290"/>
      <c r="O550" s="290"/>
      <c r="P550" s="290"/>
      <c r="Q550" s="290"/>
      <c r="R550" s="290"/>
      <c r="S550" s="290"/>
      <c r="T550" s="290"/>
      <c r="U550" s="290"/>
      <c r="V550" s="290"/>
      <c r="W550" s="290"/>
      <c r="X550" s="290"/>
      <c r="Y550" s="290"/>
      <c r="Z550" s="290"/>
      <c r="AA550" s="290"/>
      <c r="AB550" s="290"/>
      <c r="AC550" s="290"/>
      <c r="AD550" s="290"/>
      <c r="AE550" s="290"/>
      <c r="AF550" s="290"/>
      <c r="AG550" s="290"/>
      <c r="AH550" s="290"/>
      <c r="AI550" s="290"/>
      <c r="AJ550" s="290"/>
      <c r="AK550" s="290"/>
    </row>
    <row r="551" spans="11:37" x14ac:dyDescent="0.2">
      <c r="K551" s="290"/>
      <c r="L551" s="290"/>
      <c r="M551" s="290"/>
      <c r="N551" s="290"/>
      <c r="O551" s="290"/>
      <c r="P551" s="290"/>
      <c r="Q551" s="290"/>
      <c r="R551" s="290"/>
      <c r="S551" s="290"/>
      <c r="T551" s="290"/>
      <c r="U551" s="290"/>
      <c r="V551" s="290"/>
      <c r="W551" s="290"/>
      <c r="X551" s="290"/>
      <c r="Y551" s="290"/>
      <c r="Z551" s="290"/>
      <c r="AA551" s="290"/>
      <c r="AB551" s="290"/>
      <c r="AC551" s="290"/>
      <c r="AD551" s="290"/>
      <c r="AE551" s="290"/>
      <c r="AF551" s="290"/>
      <c r="AG551" s="290"/>
      <c r="AH551" s="290"/>
      <c r="AI551" s="290"/>
      <c r="AJ551" s="290"/>
      <c r="AK551" s="290"/>
    </row>
    <row r="552" spans="11:37" x14ac:dyDescent="0.2">
      <c r="K552" s="290"/>
      <c r="L552" s="290"/>
      <c r="M552" s="290"/>
      <c r="N552" s="290"/>
      <c r="O552" s="290"/>
      <c r="P552" s="290"/>
      <c r="Q552" s="290"/>
      <c r="R552" s="290"/>
      <c r="S552" s="290"/>
      <c r="T552" s="290"/>
      <c r="U552" s="290"/>
      <c r="V552" s="290"/>
      <c r="W552" s="290"/>
      <c r="X552" s="290"/>
      <c r="Y552" s="290"/>
      <c r="Z552" s="290"/>
      <c r="AA552" s="290"/>
      <c r="AB552" s="290"/>
      <c r="AC552" s="290"/>
      <c r="AD552" s="290"/>
      <c r="AE552" s="290"/>
      <c r="AF552" s="290"/>
      <c r="AG552" s="290"/>
      <c r="AH552" s="290"/>
      <c r="AI552" s="290"/>
      <c r="AJ552" s="290"/>
      <c r="AK552" s="290"/>
    </row>
    <row r="553" spans="11:37" x14ac:dyDescent="0.2">
      <c r="K553" s="290"/>
      <c r="L553" s="290"/>
      <c r="M553" s="290"/>
      <c r="N553" s="290"/>
      <c r="O553" s="290"/>
      <c r="P553" s="290"/>
      <c r="Q553" s="290"/>
      <c r="R553" s="290"/>
      <c r="S553" s="290"/>
      <c r="T553" s="290"/>
      <c r="U553" s="290"/>
      <c r="V553" s="290"/>
      <c r="W553" s="290"/>
      <c r="X553" s="290"/>
      <c r="Y553" s="290"/>
      <c r="Z553" s="290"/>
      <c r="AA553" s="290"/>
      <c r="AB553" s="290"/>
      <c r="AC553" s="290"/>
      <c r="AD553" s="290"/>
      <c r="AE553" s="290"/>
      <c r="AF553" s="290"/>
      <c r="AG553" s="290"/>
      <c r="AH553" s="290"/>
      <c r="AI553" s="290"/>
      <c r="AJ553" s="290"/>
      <c r="AK553" s="290"/>
    </row>
    <row r="554" spans="11:37" x14ac:dyDescent="0.2">
      <c r="K554" s="290"/>
      <c r="L554" s="290"/>
      <c r="M554" s="290"/>
      <c r="N554" s="290"/>
      <c r="O554" s="290"/>
      <c r="P554" s="290"/>
      <c r="Q554" s="290"/>
      <c r="R554" s="290"/>
      <c r="S554" s="290"/>
      <c r="T554" s="290"/>
      <c r="U554" s="290"/>
      <c r="V554" s="290"/>
      <c r="W554" s="290"/>
      <c r="X554" s="290"/>
      <c r="Y554" s="290"/>
      <c r="Z554" s="290"/>
      <c r="AA554" s="290"/>
      <c r="AB554" s="290"/>
      <c r="AC554" s="290"/>
      <c r="AD554" s="290"/>
      <c r="AE554" s="290"/>
      <c r="AF554" s="290"/>
      <c r="AG554" s="290"/>
      <c r="AH554" s="290"/>
      <c r="AI554" s="290"/>
      <c r="AJ554" s="290"/>
      <c r="AK554" s="290"/>
    </row>
    <row r="555" spans="11:37" x14ac:dyDescent="0.2">
      <c r="K555" s="290"/>
      <c r="L555" s="290"/>
      <c r="M555" s="290"/>
      <c r="N555" s="290"/>
      <c r="O555" s="290"/>
      <c r="P555" s="290"/>
      <c r="Q555" s="290"/>
      <c r="R555" s="290"/>
      <c r="S555" s="290"/>
      <c r="T555" s="290"/>
      <c r="U555" s="290"/>
      <c r="V555" s="290"/>
      <c r="W555" s="290"/>
      <c r="X555" s="290"/>
      <c r="Y555" s="290"/>
      <c r="Z555" s="290"/>
      <c r="AA555" s="290"/>
      <c r="AB555" s="290"/>
      <c r="AC555" s="290"/>
      <c r="AD555" s="290"/>
      <c r="AE555" s="290"/>
      <c r="AF555" s="290"/>
      <c r="AG555" s="290"/>
      <c r="AH555" s="290"/>
      <c r="AI555" s="290"/>
      <c r="AJ555" s="290"/>
      <c r="AK555" s="290"/>
    </row>
    <row r="556" spans="11:37" x14ac:dyDescent="0.2">
      <c r="K556" s="290"/>
      <c r="L556" s="290"/>
      <c r="M556" s="290"/>
      <c r="N556" s="290"/>
      <c r="O556" s="290"/>
      <c r="P556" s="290"/>
      <c r="Q556" s="290"/>
      <c r="R556" s="290"/>
      <c r="S556" s="290"/>
      <c r="T556" s="290"/>
      <c r="U556" s="290"/>
      <c r="V556" s="290"/>
      <c r="W556" s="290"/>
      <c r="X556" s="290"/>
      <c r="Y556" s="290"/>
      <c r="Z556" s="290"/>
      <c r="AA556" s="290"/>
      <c r="AB556" s="290"/>
      <c r="AC556" s="290"/>
      <c r="AD556" s="290"/>
      <c r="AE556" s="290"/>
      <c r="AF556" s="290"/>
      <c r="AG556" s="290"/>
      <c r="AH556" s="290"/>
      <c r="AI556" s="290"/>
      <c r="AJ556" s="290"/>
      <c r="AK556" s="290"/>
    </row>
    <row r="557" spans="11:37" x14ac:dyDescent="0.2">
      <c r="K557" s="290"/>
      <c r="L557" s="290"/>
      <c r="M557" s="290"/>
      <c r="N557" s="290"/>
      <c r="O557" s="290"/>
      <c r="P557" s="290"/>
      <c r="Q557" s="290"/>
      <c r="R557" s="290"/>
      <c r="S557" s="290"/>
      <c r="T557" s="290"/>
      <c r="U557" s="290"/>
      <c r="V557" s="290"/>
      <c r="W557" s="290"/>
      <c r="X557" s="290"/>
      <c r="Y557" s="290"/>
      <c r="Z557" s="290"/>
      <c r="AA557" s="290"/>
      <c r="AB557" s="290"/>
      <c r="AC557" s="290"/>
      <c r="AD557" s="290"/>
      <c r="AE557" s="290"/>
      <c r="AF557" s="290"/>
      <c r="AG557" s="290"/>
      <c r="AH557" s="290"/>
      <c r="AI557" s="290"/>
      <c r="AJ557" s="290"/>
      <c r="AK557" s="290"/>
    </row>
    <row r="558" spans="11:37" x14ac:dyDescent="0.2">
      <c r="K558" s="290"/>
      <c r="L558" s="290"/>
      <c r="M558" s="290"/>
      <c r="N558" s="290"/>
      <c r="O558" s="290"/>
      <c r="P558" s="290"/>
      <c r="Q558" s="290"/>
      <c r="R558" s="290"/>
      <c r="S558" s="290"/>
      <c r="T558" s="290"/>
      <c r="U558" s="290"/>
      <c r="V558" s="290"/>
      <c r="W558" s="290"/>
      <c r="X558" s="290"/>
      <c r="Y558" s="290"/>
      <c r="Z558" s="290"/>
      <c r="AA558" s="290"/>
      <c r="AB558" s="290"/>
      <c r="AC558" s="290"/>
      <c r="AD558" s="290"/>
      <c r="AE558" s="290"/>
      <c r="AF558" s="290"/>
      <c r="AG558" s="290"/>
      <c r="AH558" s="290"/>
      <c r="AI558" s="290"/>
      <c r="AJ558" s="290"/>
      <c r="AK558" s="290"/>
    </row>
    <row r="559" spans="11:37" x14ac:dyDescent="0.2">
      <c r="K559" s="290"/>
      <c r="L559" s="290"/>
      <c r="M559" s="290"/>
      <c r="N559" s="290"/>
      <c r="O559" s="290"/>
      <c r="P559" s="290"/>
      <c r="Q559" s="290"/>
      <c r="R559" s="290"/>
      <c r="S559" s="290"/>
      <c r="T559" s="290"/>
      <c r="U559" s="290"/>
      <c r="V559" s="290"/>
      <c r="W559" s="290"/>
      <c r="X559" s="290"/>
      <c r="Y559" s="290"/>
      <c r="Z559" s="290"/>
      <c r="AA559" s="290"/>
      <c r="AB559" s="290"/>
      <c r="AC559" s="290"/>
      <c r="AD559" s="290"/>
      <c r="AE559" s="290"/>
      <c r="AF559" s="290"/>
      <c r="AG559" s="290"/>
      <c r="AH559" s="290"/>
      <c r="AI559" s="290"/>
      <c r="AJ559" s="290"/>
      <c r="AK559" s="290"/>
    </row>
    <row r="560" spans="11:37" x14ac:dyDescent="0.2">
      <c r="K560" s="290"/>
      <c r="L560" s="290"/>
      <c r="M560" s="290"/>
      <c r="N560" s="290"/>
      <c r="O560" s="290"/>
      <c r="P560" s="290"/>
      <c r="Q560" s="290"/>
      <c r="R560" s="290"/>
      <c r="S560" s="290"/>
      <c r="T560" s="290"/>
      <c r="U560" s="290"/>
      <c r="V560" s="290"/>
      <c r="W560" s="290"/>
      <c r="X560" s="290"/>
      <c r="Y560" s="290"/>
      <c r="Z560" s="290"/>
      <c r="AA560" s="290"/>
      <c r="AB560" s="290"/>
      <c r="AC560" s="290"/>
      <c r="AD560" s="290"/>
      <c r="AE560" s="290"/>
      <c r="AF560" s="290"/>
      <c r="AG560" s="290"/>
      <c r="AH560" s="290"/>
      <c r="AI560" s="290"/>
      <c r="AJ560" s="290"/>
      <c r="AK560" s="290"/>
    </row>
    <row r="561" spans="11:37" x14ac:dyDescent="0.2">
      <c r="K561" s="290"/>
      <c r="L561" s="290"/>
      <c r="M561" s="290"/>
      <c r="N561" s="290"/>
      <c r="O561" s="290"/>
      <c r="P561" s="290"/>
      <c r="Q561" s="290"/>
      <c r="R561" s="290"/>
      <c r="S561" s="290"/>
      <c r="T561" s="290"/>
      <c r="U561" s="290"/>
      <c r="V561" s="290"/>
      <c r="W561" s="290"/>
      <c r="X561" s="290"/>
      <c r="Y561" s="290"/>
      <c r="Z561" s="290"/>
      <c r="AA561" s="290"/>
      <c r="AB561" s="290"/>
      <c r="AC561" s="290"/>
      <c r="AD561" s="290"/>
      <c r="AE561" s="290"/>
      <c r="AF561" s="290"/>
      <c r="AG561" s="290"/>
      <c r="AH561" s="290"/>
      <c r="AI561" s="290"/>
      <c r="AJ561" s="290"/>
      <c r="AK561" s="290"/>
    </row>
    <row r="562" spans="11:37" x14ac:dyDescent="0.2">
      <c r="K562" s="290"/>
      <c r="L562" s="290"/>
      <c r="M562" s="290"/>
      <c r="N562" s="290"/>
      <c r="O562" s="290"/>
      <c r="P562" s="290"/>
      <c r="Q562" s="290"/>
      <c r="R562" s="290"/>
      <c r="S562" s="290"/>
      <c r="T562" s="290"/>
      <c r="U562" s="290"/>
      <c r="V562" s="290"/>
      <c r="W562" s="290"/>
      <c r="X562" s="290"/>
      <c r="Y562" s="290"/>
      <c r="Z562" s="290"/>
      <c r="AA562" s="290"/>
      <c r="AB562" s="290"/>
      <c r="AC562" s="290"/>
      <c r="AD562" s="290"/>
      <c r="AE562" s="290"/>
      <c r="AF562" s="290"/>
      <c r="AG562" s="290"/>
      <c r="AH562" s="290"/>
      <c r="AI562" s="290"/>
      <c r="AJ562" s="290"/>
      <c r="AK562" s="290"/>
    </row>
    <row r="563" spans="11:37" x14ac:dyDescent="0.2">
      <c r="K563" s="290"/>
      <c r="L563" s="290"/>
      <c r="M563" s="290"/>
      <c r="N563" s="290"/>
      <c r="O563" s="290"/>
      <c r="P563" s="290"/>
      <c r="Q563" s="290"/>
      <c r="R563" s="290"/>
      <c r="S563" s="290"/>
      <c r="T563" s="290"/>
      <c r="U563" s="290"/>
      <c r="V563" s="290"/>
      <c r="W563" s="290"/>
      <c r="X563" s="290"/>
      <c r="Y563" s="290"/>
      <c r="Z563" s="290"/>
      <c r="AA563" s="290"/>
      <c r="AB563" s="290"/>
      <c r="AC563" s="290"/>
      <c r="AD563" s="290"/>
      <c r="AE563" s="290"/>
      <c r="AF563" s="290"/>
      <c r="AG563" s="290"/>
      <c r="AH563" s="290"/>
      <c r="AI563" s="290"/>
      <c r="AJ563" s="290"/>
      <c r="AK563" s="290"/>
    </row>
    <row r="564" spans="11:37" x14ac:dyDescent="0.2">
      <c r="K564" s="290"/>
      <c r="L564" s="290"/>
      <c r="M564" s="290"/>
      <c r="N564" s="290"/>
      <c r="O564" s="290"/>
      <c r="P564" s="290"/>
      <c r="Q564" s="290"/>
      <c r="R564" s="290"/>
      <c r="S564" s="290"/>
      <c r="T564" s="290"/>
      <c r="U564" s="290"/>
      <c r="V564" s="290"/>
      <c r="W564" s="290"/>
      <c r="X564" s="290"/>
      <c r="Y564" s="290"/>
      <c r="Z564" s="290"/>
      <c r="AA564" s="290"/>
      <c r="AB564" s="290"/>
      <c r="AC564" s="290"/>
      <c r="AD564" s="290"/>
      <c r="AE564" s="290"/>
      <c r="AF564" s="290"/>
      <c r="AG564" s="290"/>
      <c r="AH564" s="290"/>
      <c r="AI564" s="290"/>
      <c r="AJ564" s="290"/>
      <c r="AK564" s="290"/>
    </row>
    <row r="565" spans="11:37" x14ac:dyDescent="0.2">
      <c r="K565" s="290"/>
      <c r="L565" s="290"/>
      <c r="M565" s="290"/>
      <c r="N565" s="290"/>
      <c r="O565" s="290"/>
      <c r="P565" s="290"/>
      <c r="Q565" s="290"/>
      <c r="R565" s="290"/>
      <c r="S565" s="290"/>
      <c r="T565" s="290"/>
      <c r="U565" s="290"/>
      <c r="V565" s="290"/>
      <c r="W565" s="290"/>
      <c r="X565" s="290"/>
      <c r="Y565" s="290"/>
      <c r="Z565" s="290"/>
      <c r="AA565" s="290"/>
      <c r="AB565" s="290"/>
      <c r="AC565" s="290"/>
      <c r="AD565" s="290"/>
      <c r="AE565" s="290"/>
      <c r="AF565" s="290"/>
      <c r="AG565" s="290"/>
      <c r="AH565" s="290"/>
      <c r="AI565" s="290"/>
      <c r="AJ565" s="290"/>
      <c r="AK565" s="290"/>
    </row>
    <row r="566" spans="11:37" x14ac:dyDescent="0.2">
      <c r="K566" s="290"/>
      <c r="L566" s="290"/>
      <c r="M566" s="290"/>
      <c r="N566" s="290"/>
      <c r="O566" s="290"/>
      <c r="P566" s="290"/>
      <c r="Q566" s="290"/>
      <c r="R566" s="290"/>
      <c r="S566" s="290"/>
      <c r="T566" s="290"/>
      <c r="U566" s="290"/>
      <c r="V566" s="290"/>
      <c r="W566" s="290"/>
      <c r="X566" s="290"/>
      <c r="Y566" s="290"/>
      <c r="Z566" s="290"/>
      <c r="AA566" s="290"/>
      <c r="AB566" s="290"/>
      <c r="AC566" s="290"/>
      <c r="AD566" s="290"/>
      <c r="AE566" s="290"/>
      <c r="AF566" s="290"/>
      <c r="AG566" s="290"/>
      <c r="AH566" s="290"/>
      <c r="AI566" s="290"/>
      <c r="AJ566" s="290"/>
      <c r="AK566" s="290"/>
    </row>
    <row r="567" spans="11:37" x14ac:dyDescent="0.2">
      <c r="K567" s="290"/>
      <c r="L567" s="290"/>
      <c r="M567" s="290"/>
      <c r="N567" s="290"/>
      <c r="O567" s="290"/>
      <c r="P567" s="290"/>
      <c r="Q567" s="290"/>
      <c r="R567" s="290"/>
      <c r="S567" s="290"/>
      <c r="T567" s="290"/>
      <c r="U567" s="290"/>
      <c r="V567" s="290"/>
      <c r="W567" s="290"/>
      <c r="X567" s="290"/>
      <c r="Y567" s="290"/>
      <c r="Z567" s="290"/>
      <c r="AA567" s="290"/>
      <c r="AB567" s="290"/>
      <c r="AC567" s="290"/>
      <c r="AD567" s="290"/>
      <c r="AE567" s="290"/>
      <c r="AF567" s="290"/>
      <c r="AG567" s="290"/>
      <c r="AH567" s="290"/>
      <c r="AI567" s="290"/>
      <c r="AJ567" s="290"/>
      <c r="AK567" s="290"/>
    </row>
    <row r="568" spans="11:37" x14ac:dyDescent="0.2">
      <c r="K568" s="290"/>
      <c r="L568" s="290"/>
      <c r="M568" s="290"/>
      <c r="N568" s="290"/>
      <c r="O568" s="290"/>
      <c r="P568" s="290"/>
      <c r="Q568" s="290"/>
      <c r="R568" s="290"/>
      <c r="S568" s="290"/>
      <c r="T568" s="290"/>
      <c r="U568" s="290"/>
      <c r="V568" s="290"/>
      <c r="W568" s="290"/>
      <c r="X568" s="290"/>
      <c r="Y568" s="290"/>
      <c r="Z568" s="290"/>
      <c r="AA568" s="290"/>
      <c r="AB568" s="290"/>
      <c r="AC568" s="290"/>
      <c r="AD568" s="290"/>
      <c r="AE568" s="290"/>
      <c r="AF568" s="290"/>
      <c r="AG568" s="290"/>
      <c r="AH568" s="290"/>
      <c r="AI568" s="290"/>
      <c r="AJ568" s="290"/>
      <c r="AK568" s="290"/>
    </row>
    <row r="569" spans="11:37" x14ac:dyDescent="0.2">
      <c r="K569" s="290"/>
      <c r="L569" s="290"/>
      <c r="M569" s="290"/>
      <c r="N569" s="290"/>
      <c r="O569" s="290"/>
      <c r="P569" s="290"/>
      <c r="Q569" s="290"/>
      <c r="R569" s="290"/>
      <c r="S569" s="290"/>
      <c r="T569" s="290"/>
      <c r="U569" s="290"/>
      <c r="V569" s="290"/>
      <c r="W569" s="290"/>
      <c r="X569" s="290"/>
      <c r="Y569" s="290"/>
      <c r="Z569" s="290"/>
      <c r="AA569" s="290"/>
      <c r="AB569" s="290"/>
      <c r="AC569" s="290"/>
      <c r="AD569" s="290"/>
      <c r="AE569" s="290"/>
      <c r="AF569" s="290"/>
      <c r="AG569" s="290"/>
      <c r="AH569" s="290"/>
      <c r="AI569" s="290"/>
      <c r="AJ569" s="290"/>
      <c r="AK569" s="290"/>
    </row>
    <row r="570" spans="11:37" x14ac:dyDescent="0.2">
      <c r="K570" s="290"/>
      <c r="L570" s="290"/>
      <c r="M570" s="290"/>
      <c r="N570" s="290"/>
      <c r="O570" s="290"/>
      <c r="P570" s="290"/>
      <c r="Q570" s="290"/>
      <c r="R570" s="290"/>
      <c r="S570" s="290"/>
      <c r="T570" s="290"/>
      <c r="U570" s="290"/>
      <c r="V570" s="290"/>
      <c r="W570" s="290"/>
      <c r="X570" s="290"/>
      <c r="Y570" s="290"/>
      <c r="Z570" s="290"/>
      <c r="AA570" s="290"/>
      <c r="AB570" s="290"/>
      <c r="AC570" s="290"/>
      <c r="AD570" s="290"/>
      <c r="AE570" s="290"/>
      <c r="AF570" s="290"/>
      <c r="AG570" s="290"/>
      <c r="AH570" s="290"/>
      <c r="AI570" s="290"/>
      <c r="AJ570" s="290"/>
      <c r="AK570" s="290"/>
    </row>
    <row r="571" spans="11:37" x14ac:dyDescent="0.2">
      <c r="K571" s="290"/>
      <c r="L571" s="290"/>
      <c r="M571" s="290"/>
      <c r="N571" s="290"/>
      <c r="O571" s="290"/>
      <c r="P571" s="290"/>
      <c r="Q571" s="290"/>
      <c r="R571" s="290"/>
      <c r="S571" s="290"/>
      <c r="T571" s="290"/>
      <c r="U571" s="290"/>
      <c r="V571" s="290"/>
      <c r="W571" s="290"/>
      <c r="X571" s="290"/>
      <c r="Y571" s="290"/>
      <c r="Z571" s="290"/>
      <c r="AA571" s="290"/>
      <c r="AB571" s="290"/>
      <c r="AC571" s="290"/>
      <c r="AD571" s="290"/>
      <c r="AE571" s="290"/>
      <c r="AF571" s="290"/>
      <c r="AG571" s="290"/>
      <c r="AH571" s="290"/>
      <c r="AI571" s="290"/>
      <c r="AJ571" s="290"/>
      <c r="AK571" s="290"/>
    </row>
    <row r="572" spans="11:37" x14ac:dyDescent="0.2">
      <c r="K572" s="290"/>
      <c r="L572" s="290"/>
      <c r="M572" s="290"/>
      <c r="N572" s="290"/>
      <c r="O572" s="290"/>
      <c r="P572" s="290"/>
      <c r="Q572" s="290"/>
      <c r="R572" s="290"/>
      <c r="S572" s="290"/>
      <c r="T572" s="290"/>
      <c r="U572" s="290"/>
      <c r="V572" s="290"/>
      <c r="W572" s="290"/>
      <c r="X572" s="290"/>
      <c r="Y572" s="290"/>
      <c r="Z572" s="290"/>
      <c r="AA572" s="290"/>
      <c r="AB572" s="290"/>
      <c r="AC572" s="290"/>
      <c r="AD572" s="290"/>
      <c r="AE572" s="290"/>
      <c r="AF572" s="290"/>
      <c r="AG572" s="290"/>
      <c r="AH572" s="290"/>
      <c r="AI572" s="290"/>
      <c r="AJ572" s="290"/>
      <c r="AK572" s="290"/>
    </row>
    <row r="573" spans="11:37" x14ac:dyDescent="0.2">
      <c r="K573" s="290"/>
      <c r="L573" s="290"/>
      <c r="M573" s="290"/>
      <c r="N573" s="290"/>
      <c r="O573" s="290"/>
      <c r="P573" s="290"/>
      <c r="Q573" s="290"/>
      <c r="R573" s="290"/>
      <c r="S573" s="290"/>
      <c r="T573" s="290"/>
      <c r="U573" s="290"/>
      <c r="V573" s="290"/>
      <c r="W573" s="290"/>
      <c r="X573" s="290"/>
      <c r="Y573" s="290"/>
      <c r="Z573" s="290"/>
      <c r="AA573" s="290"/>
      <c r="AB573" s="290"/>
      <c r="AC573" s="290"/>
      <c r="AD573" s="290"/>
      <c r="AE573" s="290"/>
      <c r="AF573" s="290"/>
      <c r="AG573" s="290"/>
      <c r="AH573" s="290"/>
      <c r="AI573" s="290"/>
      <c r="AJ573" s="290"/>
      <c r="AK573" s="290"/>
    </row>
    <row r="574" spans="11:37" x14ac:dyDescent="0.2">
      <c r="K574" s="290"/>
      <c r="L574" s="290"/>
      <c r="M574" s="290"/>
      <c r="N574" s="290"/>
      <c r="O574" s="290"/>
      <c r="P574" s="290"/>
      <c r="Q574" s="290"/>
      <c r="R574" s="290"/>
      <c r="S574" s="290"/>
      <c r="T574" s="290"/>
      <c r="U574" s="290"/>
      <c r="V574" s="290"/>
      <c r="W574" s="290"/>
      <c r="X574" s="290"/>
      <c r="Y574" s="290"/>
      <c r="Z574" s="290"/>
      <c r="AA574" s="290"/>
      <c r="AB574" s="290"/>
      <c r="AC574" s="290"/>
      <c r="AD574" s="290"/>
      <c r="AE574" s="290"/>
      <c r="AF574" s="290"/>
      <c r="AG574" s="290"/>
      <c r="AH574" s="290"/>
      <c r="AI574" s="290"/>
      <c r="AJ574" s="290"/>
      <c r="AK574" s="290"/>
    </row>
    <row r="575" spans="11:37" x14ac:dyDescent="0.2">
      <c r="K575" s="290"/>
      <c r="L575" s="290"/>
      <c r="M575" s="290"/>
      <c r="N575" s="290"/>
      <c r="O575" s="290"/>
      <c r="P575" s="290"/>
      <c r="Q575" s="290"/>
      <c r="R575" s="290"/>
      <c r="S575" s="290"/>
      <c r="T575" s="290"/>
      <c r="U575" s="290"/>
      <c r="V575" s="290"/>
      <c r="W575" s="290"/>
      <c r="X575" s="290"/>
      <c r="Y575" s="290"/>
      <c r="Z575" s="290"/>
      <c r="AA575" s="290"/>
      <c r="AB575" s="290"/>
      <c r="AC575" s="290"/>
      <c r="AD575" s="290"/>
      <c r="AE575" s="290"/>
      <c r="AF575" s="290"/>
      <c r="AG575" s="290"/>
      <c r="AH575" s="290"/>
      <c r="AI575" s="290"/>
      <c r="AJ575" s="290"/>
      <c r="AK575" s="290"/>
    </row>
    <row r="576" spans="11:37" x14ac:dyDescent="0.2">
      <c r="K576" s="290"/>
      <c r="L576" s="290"/>
      <c r="M576" s="290"/>
      <c r="N576" s="290"/>
      <c r="O576" s="290"/>
      <c r="P576" s="290"/>
      <c r="Q576" s="290"/>
      <c r="R576" s="290"/>
      <c r="S576" s="290"/>
      <c r="T576" s="290"/>
      <c r="U576" s="290"/>
      <c r="V576" s="290"/>
      <c r="W576" s="290"/>
      <c r="X576" s="290"/>
      <c r="Y576" s="290"/>
      <c r="Z576" s="290"/>
      <c r="AA576" s="290"/>
      <c r="AB576" s="290"/>
      <c r="AC576" s="290"/>
      <c r="AD576" s="290"/>
      <c r="AE576" s="290"/>
      <c r="AF576" s="290"/>
      <c r="AG576" s="290"/>
      <c r="AH576" s="290"/>
      <c r="AI576" s="290"/>
      <c r="AJ576" s="290"/>
      <c r="AK576" s="290"/>
    </row>
    <row r="577" spans="11:37" x14ac:dyDescent="0.2">
      <c r="K577" s="290"/>
      <c r="L577" s="290"/>
      <c r="M577" s="290"/>
      <c r="N577" s="290"/>
      <c r="O577" s="290"/>
      <c r="P577" s="290"/>
      <c r="Q577" s="290"/>
      <c r="R577" s="290"/>
      <c r="S577" s="290"/>
      <c r="T577" s="290"/>
      <c r="U577" s="290"/>
      <c r="V577" s="290"/>
      <c r="W577" s="290"/>
      <c r="X577" s="290"/>
      <c r="Y577" s="290"/>
      <c r="Z577" s="290"/>
      <c r="AA577" s="290"/>
      <c r="AB577" s="290"/>
      <c r="AC577" s="290"/>
      <c r="AD577" s="290"/>
      <c r="AE577" s="290"/>
      <c r="AF577" s="290"/>
      <c r="AG577" s="290"/>
      <c r="AH577" s="290"/>
      <c r="AI577" s="290"/>
      <c r="AJ577" s="290"/>
      <c r="AK577" s="290"/>
    </row>
    <row r="578" spans="11:37" x14ac:dyDescent="0.2">
      <c r="K578" s="290"/>
      <c r="L578" s="290"/>
      <c r="M578" s="290"/>
      <c r="N578" s="290"/>
      <c r="O578" s="290"/>
      <c r="P578" s="290"/>
      <c r="Q578" s="290"/>
      <c r="R578" s="290"/>
      <c r="S578" s="290"/>
      <c r="T578" s="290"/>
      <c r="U578" s="290"/>
      <c r="V578" s="290"/>
      <c r="W578" s="290"/>
      <c r="X578" s="290"/>
      <c r="Y578" s="290"/>
      <c r="Z578" s="290"/>
      <c r="AA578" s="290"/>
      <c r="AB578" s="290"/>
      <c r="AC578" s="290"/>
      <c r="AD578" s="290"/>
      <c r="AE578" s="290"/>
      <c r="AF578" s="290"/>
      <c r="AG578" s="290"/>
      <c r="AH578" s="290"/>
      <c r="AI578" s="290"/>
      <c r="AJ578" s="290"/>
      <c r="AK578" s="290"/>
    </row>
    <row r="579" spans="11:37" x14ac:dyDescent="0.2">
      <c r="K579" s="290"/>
      <c r="L579" s="290"/>
      <c r="M579" s="290"/>
      <c r="N579" s="290"/>
      <c r="O579" s="290"/>
      <c r="P579" s="290"/>
      <c r="Q579" s="290"/>
      <c r="R579" s="290"/>
      <c r="S579" s="290"/>
      <c r="T579" s="290"/>
      <c r="U579" s="290"/>
      <c r="V579" s="290"/>
      <c r="W579" s="290"/>
      <c r="X579" s="290"/>
      <c r="Y579" s="290"/>
      <c r="Z579" s="290"/>
      <c r="AA579" s="290"/>
      <c r="AB579" s="290"/>
      <c r="AC579" s="290"/>
      <c r="AD579" s="290"/>
      <c r="AE579" s="290"/>
      <c r="AF579" s="290"/>
      <c r="AG579" s="290"/>
      <c r="AH579" s="290"/>
      <c r="AI579" s="290"/>
      <c r="AJ579" s="290"/>
      <c r="AK579" s="290"/>
    </row>
    <row r="580" spans="11:37" x14ac:dyDescent="0.2">
      <c r="K580" s="290"/>
      <c r="L580" s="290"/>
      <c r="M580" s="290"/>
      <c r="N580" s="290"/>
      <c r="O580" s="290"/>
      <c r="P580" s="290"/>
      <c r="Q580" s="290"/>
      <c r="R580" s="290"/>
      <c r="S580" s="290"/>
      <c r="T580" s="290"/>
      <c r="U580" s="290"/>
      <c r="V580" s="290"/>
      <c r="W580" s="290"/>
      <c r="X580" s="290"/>
      <c r="Y580" s="290"/>
      <c r="Z580" s="290"/>
      <c r="AA580" s="290"/>
      <c r="AB580" s="290"/>
      <c r="AC580" s="290"/>
      <c r="AD580" s="290"/>
      <c r="AE580" s="290"/>
      <c r="AF580" s="290"/>
      <c r="AG580" s="290"/>
      <c r="AH580" s="290"/>
      <c r="AI580" s="290"/>
      <c r="AJ580" s="290"/>
      <c r="AK580" s="290"/>
    </row>
    <row r="581" spans="11:37" x14ac:dyDescent="0.2">
      <c r="K581" s="290"/>
      <c r="L581" s="290"/>
      <c r="M581" s="290"/>
      <c r="N581" s="290"/>
      <c r="O581" s="290"/>
      <c r="P581" s="290"/>
      <c r="Q581" s="290"/>
      <c r="R581" s="290"/>
      <c r="S581" s="290"/>
      <c r="T581" s="290"/>
      <c r="U581" s="290"/>
      <c r="V581" s="290"/>
      <c r="W581" s="290"/>
      <c r="X581" s="290"/>
      <c r="Y581" s="290"/>
      <c r="Z581" s="290"/>
      <c r="AA581" s="290"/>
      <c r="AB581" s="290"/>
      <c r="AC581" s="290"/>
      <c r="AD581" s="290"/>
      <c r="AE581" s="290"/>
      <c r="AF581" s="290"/>
      <c r="AG581" s="290"/>
      <c r="AH581" s="290"/>
      <c r="AI581" s="290"/>
      <c r="AJ581" s="290"/>
      <c r="AK581" s="290"/>
    </row>
    <row r="582" spans="11:37" x14ac:dyDescent="0.2">
      <c r="K582" s="290"/>
      <c r="L582" s="290"/>
      <c r="M582" s="290"/>
      <c r="N582" s="290"/>
      <c r="O582" s="290"/>
      <c r="P582" s="290"/>
      <c r="Q582" s="290"/>
      <c r="R582" s="290"/>
      <c r="S582" s="290"/>
      <c r="T582" s="290"/>
      <c r="U582" s="290"/>
      <c r="V582" s="290"/>
      <c r="W582" s="290"/>
      <c r="X582" s="290"/>
      <c r="Y582" s="290"/>
      <c r="Z582" s="290"/>
      <c r="AA582" s="290"/>
      <c r="AB582" s="290"/>
      <c r="AC582" s="290"/>
      <c r="AD582" s="290"/>
      <c r="AE582" s="290"/>
      <c r="AF582" s="290"/>
      <c r="AG582" s="290"/>
      <c r="AH582" s="290"/>
      <c r="AI582" s="290"/>
      <c r="AJ582" s="290"/>
      <c r="AK582" s="290"/>
    </row>
    <row r="583" spans="11:37" x14ac:dyDescent="0.2">
      <c r="K583" s="290"/>
      <c r="L583" s="290"/>
      <c r="M583" s="290"/>
      <c r="N583" s="290"/>
      <c r="O583" s="290"/>
      <c r="P583" s="290"/>
      <c r="Q583" s="290"/>
      <c r="R583" s="290"/>
      <c r="S583" s="290"/>
      <c r="T583" s="290"/>
      <c r="U583" s="290"/>
      <c r="V583" s="290"/>
      <c r="W583" s="290"/>
      <c r="X583" s="290"/>
      <c r="Y583" s="290"/>
      <c r="Z583" s="290"/>
      <c r="AA583" s="290"/>
      <c r="AB583" s="290"/>
      <c r="AC583" s="290"/>
      <c r="AD583" s="290"/>
      <c r="AE583" s="290"/>
      <c r="AF583" s="290"/>
      <c r="AG583" s="290"/>
      <c r="AH583" s="290"/>
      <c r="AI583" s="290"/>
      <c r="AJ583" s="290"/>
      <c r="AK583" s="290"/>
    </row>
    <row r="584" spans="11:37" x14ac:dyDescent="0.2">
      <c r="K584" s="290"/>
      <c r="L584" s="290"/>
      <c r="M584" s="290"/>
      <c r="N584" s="290"/>
      <c r="O584" s="290"/>
      <c r="P584" s="290"/>
      <c r="Q584" s="290"/>
      <c r="R584" s="290"/>
      <c r="S584" s="290"/>
      <c r="T584" s="290"/>
      <c r="U584" s="290"/>
      <c r="V584" s="290"/>
      <c r="W584" s="290"/>
      <c r="X584" s="290"/>
      <c r="Y584" s="290"/>
      <c r="Z584" s="290"/>
      <c r="AA584" s="290"/>
      <c r="AB584" s="290"/>
      <c r="AC584" s="290"/>
      <c r="AD584" s="290"/>
      <c r="AE584" s="290"/>
      <c r="AF584" s="290"/>
      <c r="AG584" s="290"/>
      <c r="AH584" s="290"/>
      <c r="AI584" s="290"/>
      <c r="AJ584" s="290"/>
      <c r="AK584" s="290"/>
    </row>
    <row r="585" spans="11:37" x14ac:dyDescent="0.2">
      <c r="K585" s="290"/>
      <c r="L585" s="290"/>
      <c r="M585" s="290"/>
      <c r="N585" s="290"/>
      <c r="O585" s="290"/>
      <c r="P585" s="290"/>
      <c r="Q585" s="290"/>
      <c r="R585" s="290"/>
      <c r="S585" s="290"/>
      <c r="T585" s="290"/>
      <c r="U585" s="290"/>
      <c r="V585" s="290"/>
      <c r="W585" s="290"/>
      <c r="X585" s="290"/>
      <c r="Y585" s="290"/>
      <c r="Z585" s="290"/>
      <c r="AA585" s="290"/>
      <c r="AB585" s="290"/>
      <c r="AC585" s="290"/>
      <c r="AD585" s="290"/>
      <c r="AE585" s="290"/>
      <c r="AF585" s="290"/>
      <c r="AG585" s="290"/>
      <c r="AH585" s="290"/>
      <c r="AI585" s="290"/>
      <c r="AJ585" s="290"/>
      <c r="AK585" s="290"/>
    </row>
    <row r="586" spans="11:37" x14ac:dyDescent="0.2">
      <c r="K586" s="290"/>
      <c r="L586" s="290"/>
      <c r="M586" s="290"/>
      <c r="N586" s="290"/>
      <c r="O586" s="290"/>
      <c r="P586" s="290"/>
      <c r="Q586" s="290"/>
      <c r="R586" s="290"/>
      <c r="S586" s="290"/>
      <c r="T586" s="290"/>
      <c r="U586" s="290"/>
      <c r="V586" s="290"/>
      <c r="W586" s="290"/>
      <c r="X586" s="290"/>
      <c r="Y586" s="290"/>
      <c r="Z586" s="290"/>
      <c r="AA586" s="290"/>
      <c r="AB586" s="290"/>
      <c r="AC586" s="290"/>
      <c r="AD586" s="290"/>
      <c r="AE586" s="290"/>
      <c r="AF586" s="290"/>
      <c r="AG586" s="290"/>
      <c r="AH586" s="290"/>
      <c r="AI586" s="290"/>
      <c r="AJ586" s="290"/>
      <c r="AK586" s="290"/>
    </row>
    <row r="587" spans="11:37" x14ac:dyDescent="0.2">
      <c r="K587" s="290"/>
      <c r="L587" s="290"/>
      <c r="M587" s="290"/>
      <c r="N587" s="290"/>
      <c r="O587" s="290"/>
      <c r="P587" s="290"/>
      <c r="Q587" s="290"/>
      <c r="R587" s="290"/>
      <c r="S587" s="290"/>
      <c r="T587" s="290"/>
      <c r="U587" s="290"/>
      <c r="V587" s="290"/>
      <c r="W587" s="290"/>
      <c r="X587" s="290"/>
      <c r="Y587" s="290"/>
      <c r="Z587" s="290"/>
      <c r="AA587" s="290"/>
      <c r="AB587" s="290"/>
      <c r="AC587" s="290"/>
      <c r="AD587" s="290"/>
      <c r="AE587" s="290"/>
      <c r="AF587" s="290"/>
      <c r="AG587" s="290"/>
      <c r="AH587" s="290"/>
      <c r="AI587" s="290"/>
      <c r="AJ587" s="290"/>
      <c r="AK587" s="290"/>
    </row>
    <row r="588" spans="11:37" x14ac:dyDescent="0.2">
      <c r="K588" s="290"/>
      <c r="L588" s="290"/>
      <c r="M588" s="290"/>
      <c r="N588" s="290"/>
      <c r="O588" s="290"/>
      <c r="P588" s="290"/>
      <c r="Q588" s="290"/>
      <c r="R588" s="290"/>
      <c r="S588" s="290"/>
      <c r="T588" s="290"/>
      <c r="U588" s="290"/>
      <c r="V588" s="290"/>
      <c r="W588" s="290"/>
      <c r="X588" s="290"/>
      <c r="Y588" s="290"/>
      <c r="Z588" s="290"/>
      <c r="AA588" s="290"/>
      <c r="AB588" s="290"/>
      <c r="AC588" s="290"/>
      <c r="AD588" s="290"/>
      <c r="AE588" s="290"/>
      <c r="AF588" s="290"/>
      <c r="AG588" s="290"/>
      <c r="AH588" s="290"/>
      <c r="AI588" s="290"/>
      <c r="AJ588" s="290"/>
      <c r="AK588" s="290"/>
    </row>
    <row r="589" spans="11:37" x14ac:dyDescent="0.2">
      <c r="K589" s="290"/>
      <c r="L589" s="290"/>
      <c r="M589" s="290"/>
      <c r="N589" s="290"/>
      <c r="O589" s="290"/>
      <c r="P589" s="290"/>
      <c r="Q589" s="290"/>
      <c r="R589" s="290"/>
      <c r="S589" s="290"/>
      <c r="T589" s="290"/>
      <c r="U589" s="290"/>
      <c r="V589" s="290"/>
      <c r="W589" s="290"/>
      <c r="X589" s="290"/>
      <c r="Y589" s="290"/>
      <c r="Z589" s="290"/>
      <c r="AA589" s="290"/>
      <c r="AB589" s="290"/>
      <c r="AC589" s="290"/>
      <c r="AD589" s="290"/>
      <c r="AE589" s="290"/>
      <c r="AF589" s="290"/>
      <c r="AG589" s="290"/>
      <c r="AH589" s="290"/>
      <c r="AI589" s="290"/>
      <c r="AJ589" s="290"/>
      <c r="AK589" s="290"/>
    </row>
    <row r="590" spans="11:37" x14ac:dyDescent="0.2">
      <c r="K590" s="290"/>
      <c r="L590" s="290"/>
      <c r="M590" s="290"/>
      <c r="N590" s="290"/>
      <c r="O590" s="290"/>
      <c r="P590" s="290"/>
      <c r="Q590" s="290"/>
      <c r="R590" s="290"/>
      <c r="S590" s="290"/>
      <c r="T590" s="290"/>
      <c r="U590" s="290"/>
      <c r="V590" s="290"/>
      <c r="W590" s="290"/>
      <c r="X590" s="290"/>
      <c r="Y590" s="290"/>
      <c r="Z590" s="290"/>
      <c r="AA590" s="290"/>
      <c r="AB590" s="290"/>
      <c r="AC590" s="290"/>
      <c r="AD590" s="290"/>
      <c r="AE590" s="290"/>
      <c r="AF590" s="290"/>
      <c r="AG590" s="290"/>
      <c r="AH590" s="290"/>
      <c r="AI590" s="290"/>
      <c r="AJ590" s="290"/>
      <c r="AK590" s="290"/>
    </row>
    <row r="591" spans="11:37" x14ac:dyDescent="0.2">
      <c r="K591" s="290"/>
      <c r="L591" s="290"/>
      <c r="M591" s="290"/>
      <c r="N591" s="290"/>
      <c r="O591" s="290"/>
      <c r="P591" s="290"/>
      <c r="Q591" s="290"/>
      <c r="R591" s="290"/>
      <c r="S591" s="290"/>
      <c r="T591" s="290"/>
      <c r="U591" s="290"/>
      <c r="V591" s="290"/>
      <c r="W591" s="290"/>
      <c r="X591" s="290"/>
      <c r="Y591" s="290"/>
      <c r="Z591" s="290"/>
      <c r="AA591" s="290"/>
      <c r="AB591" s="290"/>
      <c r="AC591" s="290"/>
      <c r="AD591" s="290"/>
      <c r="AE591" s="290"/>
      <c r="AF591" s="290"/>
      <c r="AG591" s="290"/>
      <c r="AH591" s="290"/>
      <c r="AI591" s="290"/>
      <c r="AJ591" s="290"/>
      <c r="AK591" s="290"/>
    </row>
    <row r="592" spans="11:37" x14ac:dyDescent="0.2">
      <c r="K592" s="290"/>
      <c r="L592" s="290"/>
      <c r="M592" s="290"/>
      <c r="N592" s="290"/>
      <c r="O592" s="290"/>
      <c r="P592" s="290"/>
      <c r="Q592" s="290"/>
      <c r="R592" s="290"/>
      <c r="S592" s="290"/>
      <c r="T592" s="290"/>
      <c r="U592" s="290"/>
      <c r="V592" s="290"/>
      <c r="W592" s="290"/>
      <c r="X592" s="290"/>
      <c r="Y592" s="290"/>
      <c r="Z592" s="290"/>
      <c r="AA592" s="290"/>
      <c r="AB592" s="290"/>
      <c r="AC592" s="290"/>
      <c r="AD592" s="290"/>
      <c r="AE592" s="290"/>
      <c r="AF592" s="290"/>
      <c r="AG592" s="290"/>
      <c r="AH592" s="290"/>
      <c r="AI592" s="290"/>
      <c r="AJ592" s="290"/>
      <c r="AK592" s="290"/>
    </row>
    <row r="593" spans="11:37" x14ac:dyDescent="0.2">
      <c r="K593" s="290"/>
      <c r="L593" s="290"/>
      <c r="M593" s="290"/>
      <c r="N593" s="290"/>
      <c r="O593" s="290"/>
      <c r="P593" s="290"/>
      <c r="Q593" s="290"/>
      <c r="R593" s="290"/>
      <c r="S593" s="290"/>
      <c r="T593" s="290"/>
      <c r="U593" s="290"/>
      <c r="V593" s="290"/>
      <c r="W593" s="290"/>
      <c r="X593" s="290"/>
      <c r="Y593" s="290"/>
      <c r="Z593" s="290"/>
      <c r="AA593" s="290"/>
      <c r="AB593" s="290"/>
      <c r="AC593" s="290"/>
      <c r="AD593" s="290"/>
      <c r="AE593" s="290"/>
      <c r="AF593" s="290"/>
      <c r="AG593" s="290"/>
      <c r="AH593" s="290"/>
      <c r="AI593" s="290"/>
      <c r="AJ593" s="290"/>
      <c r="AK593" s="290"/>
    </row>
    <row r="594" spans="11:37" x14ac:dyDescent="0.2">
      <c r="K594" s="290"/>
      <c r="L594" s="290"/>
      <c r="M594" s="290"/>
      <c r="N594" s="290"/>
      <c r="O594" s="290"/>
      <c r="P594" s="290"/>
      <c r="Q594" s="290"/>
      <c r="R594" s="290"/>
      <c r="S594" s="290"/>
      <c r="T594" s="290"/>
      <c r="U594" s="290"/>
      <c r="V594" s="290"/>
      <c r="W594" s="290"/>
      <c r="X594" s="290"/>
      <c r="Y594" s="290"/>
      <c r="Z594" s="290"/>
      <c r="AA594" s="290"/>
      <c r="AB594" s="290"/>
      <c r="AC594" s="290"/>
      <c r="AD594" s="290"/>
      <c r="AE594" s="290"/>
      <c r="AF594" s="290"/>
      <c r="AG594" s="290"/>
      <c r="AH594" s="290"/>
      <c r="AI594" s="290"/>
      <c r="AJ594" s="290"/>
      <c r="AK594" s="290"/>
    </row>
    <row r="595" spans="11:37" x14ac:dyDescent="0.2">
      <c r="K595" s="290"/>
      <c r="L595" s="290"/>
      <c r="M595" s="290"/>
      <c r="N595" s="290"/>
      <c r="O595" s="290"/>
      <c r="P595" s="290"/>
      <c r="Q595" s="290"/>
      <c r="R595" s="290"/>
      <c r="S595" s="290"/>
      <c r="T595" s="290"/>
      <c r="U595" s="290"/>
      <c r="V595" s="290"/>
      <c r="W595" s="290"/>
      <c r="X595" s="290"/>
      <c r="Y595" s="290"/>
      <c r="Z595" s="290"/>
      <c r="AA595" s="290"/>
      <c r="AB595" s="290"/>
      <c r="AC595" s="290"/>
      <c r="AD595" s="290"/>
      <c r="AE595" s="290"/>
      <c r="AF595" s="290"/>
      <c r="AG595" s="290"/>
      <c r="AH595" s="290"/>
      <c r="AI595" s="290"/>
      <c r="AJ595" s="290"/>
      <c r="AK595" s="290"/>
    </row>
    <row r="596" spans="11:37" x14ac:dyDescent="0.2">
      <c r="K596" s="290"/>
      <c r="L596" s="290"/>
      <c r="M596" s="290"/>
      <c r="N596" s="290"/>
      <c r="O596" s="290"/>
      <c r="P596" s="290"/>
      <c r="Q596" s="290"/>
      <c r="R596" s="290"/>
      <c r="S596" s="290"/>
      <c r="T596" s="290"/>
      <c r="U596" s="290"/>
      <c r="V596" s="290"/>
      <c r="W596" s="290"/>
      <c r="X596" s="290"/>
      <c r="Y596" s="290"/>
      <c r="Z596" s="290"/>
      <c r="AA596" s="290"/>
      <c r="AB596" s="290"/>
      <c r="AC596" s="290"/>
      <c r="AD596" s="290"/>
      <c r="AE596" s="290"/>
      <c r="AF596" s="290"/>
      <c r="AG596" s="290"/>
      <c r="AH596" s="290"/>
      <c r="AI596" s="290"/>
      <c r="AJ596" s="290"/>
      <c r="AK596" s="290"/>
    </row>
    <row r="597" spans="11:37" x14ac:dyDescent="0.2">
      <c r="K597" s="290"/>
      <c r="L597" s="290"/>
      <c r="M597" s="290"/>
      <c r="N597" s="290"/>
      <c r="O597" s="290"/>
      <c r="P597" s="290"/>
      <c r="Q597" s="290"/>
      <c r="R597" s="290"/>
      <c r="S597" s="290"/>
      <c r="T597" s="290"/>
      <c r="U597" s="290"/>
      <c r="V597" s="290"/>
      <c r="W597" s="290"/>
      <c r="X597" s="290"/>
      <c r="Y597" s="290"/>
      <c r="Z597" s="290"/>
      <c r="AA597" s="290"/>
      <c r="AB597" s="290"/>
      <c r="AC597" s="290"/>
      <c r="AD597" s="290"/>
      <c r="AE597" s="290"/>
      <c r="AF597" s="290"/>
      <c r="AG597" s="290"/>
      <c r="AH597" s="290"/>
      <c r="AI597" s="290"/>
      <c r="AJ597" s="290"/>
      <c r="AK597" s="290"/>
    </row>
    <row r="598" spans="11:37" x14ac:dyDescent="0.2">
      <c r="K598" s="290"/>
      <c r="L598" s="290"/>
      <c r="M598" s="290"/>
      <c r="N598" s="290"/>
      <c r="O598" s="290"/>
      <c r="P598" s="290"/>
      <c r="Q598" s="290"/>
      <c r="R598" s="290"/>
      <c r="S598" s="290"/>
      <c r="T598" s="290"/>
      <c r="U598" s="290"/>
      <c r="V598" s="290"/>
      <c r="W598" s="290"/>
      <c r="X598" s="290"/>
      <c r="Y598" s="290"/>
      <c r="Z598" s="290"/>
      <c r="AA598" s="290"/>
      <c r="AB598" s="290"/>
      <c r="AC598" s="290"/>
      <c r="AD598" s="290"/>
      <c r="AE598" s="290"/>
      <c r="AF598" s="290"/>
      <c r="AG598" s="290"/>
      <c r="AH598" s="290"/>
      <c r="AI598" s="290"/>
      <c r="AJ598" s="290"/>
      <c r="AK598" s="290"/>
    </row>
    <row r="599" spans="11:37" x14ac:dyDescent="0.2">
      <c r="K599" s="290"/>
      <c r="L599" s="290"/>
      <c r="M599" s="290"/>
      <c r="N599" s="290"/>
      <c r="O599" s="290"/>
      <c r="P599" s="290"/>
      <c r="Q599" s="290"/>
      <c r="R599" s="290"/>
      <c r="S599" s="290"/>
      <c r="T599" s="290"/>
      <c r="U599" s="290"/>
      <c r="V599" s="290"/>
      <c r="W599" s="290"/>
      <c r="X599" s="290"/>
      <c r="Y599" s="290"/>
      <c r="Z599" s="290"/>
      <c r="AA599" s="290"/>
      <c r="AB599" s="290"/>
      <c r="AC599" s="290"/>
      <c r="AD599" s="290"/>
      <c r="AE599" s="290"/>
      <c r="AF599" s="290"/>
      <c r="AG599" s="290"/>
      <c r="AH599" s="290"/>
      <c r="AI599" s="290"/>
      <c r="AJ599" s="290"/>
      <c r="AK599" s="290"/>
    </row>
    <row r="600" spans="11:37" x14ac:dyDescent="0.2">
      <c r="K600" s="290"/>
      <c r="L600" s="290"/>
      <c r="M600" s="290"/>
      <c r="N600" s="290"/>
      <c r="O600" s="290"/>
      <c r="P600" s="290"/>
      <c r="Q600" s="290"/>
      <c r="R600" s="290"/>
      <c r="S600" s="290"/>
      <c r="T600" s="290"/>
      <c r="U600" s="290"/>
      <c r="V600" s="290"/>
      <c r="W600" s="290"/>
      <c r="X600" s="290"/>
      <c r="Y600" s="290"/>
      <c r="Z600" s="290"/>
      <c r="AA600" s="290"/>
      <c r="AB600" s="290"/>
      <c r="AC600" s="290"/>
      <c r="AD600" s="290"/>
      <c r="AE600" s="290"/>
      <c r="AF600" s="290"/>
      <c r="AG600" s="290"/>
      <c r="AH600" s="290"/>
      <c r="AI600" s="290"/>
      <c r="AJ600" s="290"/>
      <c r="AK600" s="290"/>
    </row>
    <row r="601" spans="11:37" x14ac:dyDescent="0.2">
      <c r="K601" s="290"/>
      <c r="L601" s="290"/>
      <c r="M601" s="290"/>
      <c r="N601" s="290"/>
      <c r="O601" s="290"/>
      <c r="P601" s="290"/>
      <c r="Q601" s="290"/>
      <c r="R601" s="290"/>
      <c r="S601" s="290"/>
      <c r="T601" s="290"/>
      <c r="U601" s="290"/>
      <c r="V601" s="290"/>
      <c r="W601" s="290"/>
      <c r="X601" s="290"/>
      <c r="Y601" s="290"/>
      <c r="Z601" s="290"/>
      <c r="AA601" s="290"/>
      <c r="AB601" s="290"/>
      <c r="AC601" s="290"/>
      <c r="AD601" s="290"/>
      <c r="AE601" s="290"/>
      <c r="AF601" s="290"/>
      <c r="AG601" s="290"/>
      <c r="AH601" s="290"/>
      <c r="AI601" s="290"/>
      <c r="AJ601" s="290"/>
      <c r="AK601" s="290"/>
    </row>
    <row r="602" spans="11:37" x14ac:dyDescent="0.2">
      <c r="K602" s="290"/>
      <c r="L602" s="290"/>
      <c r="M602" s="290"/>
      <c r="N602" s="290"/>
      <c r="O602" s="290"/>
      <c r="P602" s="290"/>
      <c r="Q602" s="290"/>
      <c r="R602" s="290"/>
      <c r="S602" s="290"/>
      <c r="T602" s="290"/>
      <c r="U602" s="290"/>
      <c r="V602" s="290"/>
      <c r="W602" s="290"/>
      <c r="X602" s="290"/>
      <c r="Y602" s="290"/>
      <c r="Z602" s="290"/>
      <c r="AA602" s="290"/>
      <c r="AB602" s="290"/>
      <c r="AC602" s="290"/>
      <c r="AD602" s="290"/>
      <c r="AE602" s="290"/>
      <c r="AF602" s="290"/>
      <c r="AG602" s="290"/>
      <c r="AH602" s="290"/>
      <c r="AI602" s="290"/>
      <c r="AJ602" s="290"/>
      <c r="AK602" s="290"/>
    </row>
    <row r="603" spans="11:37" x14ac:dyDescent="0.2">
      <c r="K603" s="290"/>
      <c r="L603" s="290"/>
      <c r="M603" s="290"/>
      <c r="N603" s="290"/>
      <c r="O603" s="290"/>
      <c r="P603" s="290"/>
      <c r="Q603" s="290"/>
      <c r="R603" s="290"/>
      <c r="S603" s="290"/>
      <c r="T603" s="290"/>
      <c r="U603" s="290"/>
      <c r="V603" s="290"/>
      <c r="W603" s="290"/>
      <c r="X603" s="290"/>
      <c r="Y603" s="290"/>
      <c r="Z603" s="290"/>
      <c r="AA603" s="290"/>
      <c r="AB603" s="290"/>
      <c r="AC603" s="290"/>
      <c r="AD603" s="290"/>
      <c r="AE603" s="290"/>
      <c r="AF603" s="290"/>
      <c r="AG603" s="290"/>
      <c r="AH603" s="290"/>
      <c r="AI603" s="290"/>
      <c r="AJ603" s="290"/>
      <c r="AK603" s="290"/>
    </row>
    <row r="604" spans="11:37" x14ac:dyDescent="0.2">
      <c r="K604" s="290"/>
      <c r="L604" s="290"/>
      <c r="M604" s="290"/>
      <c r="N604" s="290"/>
      <c r="O604" s="290"/>
      <c r="P604" s="290"/>
      <c r="Q604" s="290"/>
      <c r="R604" s="290"/>
      <c r="S604" s="290"/>
      <c r="T604" s="290"/>
      <c r="U604" s="290"/>
      <c r="V604" s="290"/>
      <c r="W604" s="290"/>
      <c r="X604" s="290"/>
      <c r="Y604" s="290"/>
      <c r="Z604" s="290"/>
      <c r="AA604" s="290"/>
      <c r="AB604" s="290"/>
      <c r="AC604" s="290"/>
      <c r="AD604" s="290"/>
      <c r="AE604" s="290"/>
      <c r="AF604" s="290"/>
      <c r="AG604" s="290"/>
      <c r="AH604" s="290"/>
      <c r="AI604" s="290"/>
      <c r="AJ604" s="290"/>
      <c r="AK604" s="290"/>
    </row>
    <row r="605" spans="11:37" x14ac:dyDescent="0.2">
      <c r="K605" s="290"/>
      <c r="L605" s="290"/>
      <c r="M605" s="290"/>
      <c r="N605" s="290"/>
      <c r="O605" s="290"/>
      <c r="P605" s="290"/>
      <c r="Q605" s="290"/>
      <c r="R605" s="290"/>
      <c r="S605" s="290"/>
      <c r="T605" s="290"/>
      <c r="U605" s="290"/>
      <c r="V605" s="290"/>
      <c r="W605" s="290"/>
      <c r="X605" s="290"/>
      <c r="Y605" s="290"/>
      <c r="Z605" s="290"/>
      <c r="AA605" s="290"/>
      <c r="AB605" s="290"/>
      <c r="AC605" s="290"/>
      <c r="AD605" s="290"/>
      <c r="AE605" s="290"/>
      <c r="AF605" s="290"/>
      <c r="AG605" s="290"/>
      <c r="AH605" s="290"/>
      <c r="AI605" s="290"/>
      <c r="AJ605" s="290"/>
      <c r="AK605" s="290"/>
    </row>
    <row r="606" spans="11:37" x14ac:dyDescent="0.2">
      <c r="K606" s="290"/>
      <c r="L606" s="290"/>
      <c r="M606" s="290"/>
      <c r="N606" s="290"/>
      <c r="O606" s="290"/>
      <c r="P606" s="290"/>
      <c r="Q606" s="290"/>
      <c r="R606" s="290"/>
      <c r="S606" s="290"/>
      <c r="T606" s="290"/>
      <c r="U606" s="290"/>
      <c r="V606" s="290"/>
      <c r="W606" s="290"/>
      <c r="X606" s="290"/>
      <c r="Y606" s="290"/>
      <c r="Z606" s="290"/>
      <c r="AA606" s="290"/>
      <c r="AB606" s="290"/>
      <c r="AC606" s="290"/>
      <c r="AD606" s="290"/>
      <c r="AE606" s="290"/>
      <c r="AF606" s="290"/>
      <c r="AG606" s="290"/>
      <c r="AH606" s="290"/>
      <c r="AI606" s="290"/>
      <c r="AJ606" s="290"/>
      <c r="AK606" s="290"/>
    </row>
    <row r="607" spans="11:37" x14ac:dyDescent="0.2">
      <c r="K607" s="290"/>
      <c r="L607" s="290"/>
      <c r="M607" s="290"/>
      <c r="N607" s="290"/>
      <c r="O607" s="290"/>
      <c r="P607" s="290"/>
      <c r="Q607" s="290"/>
      <c r="R607" s="290"/>
      <c r="S607" s="290"/>
      <c r="T607" s="290"/>
      <c r="U607" s="290"/>
      <c r="V607" s="290"/>
      <c r="W607" s="290"/>
      <c r="X607" s="290"/>
      <c r="Y607" s="290"/>
      <c r="Z607" s="290"/>
      <c r="AA607" s="290"/>
      <c r="AB607" s="290"/>
      <c r="AC607" s="290"/>
      <c r="AD607" s="290"/>
      <c r="AE607" s="290"/>
      <c r="AF607" s="290"/>
      <c r="AG607" s="290"/>
      <c r="AH607" s="290"/>
      <c r="AI607" s="290"/>
      <c r="AJ607" s="290"/>
      <c r="AK607" s="290"/>
    </row>
    <row r="608" spans="11:37" x14ac:dyDescent="0.2">
      <c r="K608" s="290"/>
      <c r="L608" s="290"/>
      <c r="M608" s="290"/>
      <c r="N608" s="290"/>
      <c r="O608" s="290"/>
      <c r="P608" s="290"/>
      <c r="Q608" s="290"/>
      <c r="R608" s="290"/>
      <c r="S608" s="290"/>
      <c r="T608" s="290"/>
      <c r="U608" s="290"/>
      <c r="V608" s="290"/>
      <c r="W608" s="290"/>
      <c r="X608" s="290"/>
      <c r="Y608" s="290"/>
      <c r="Z608" s="290"/>
      <c r="AA608" s="290"/>
      <c r="AB608" s="290"/>
      <c r="AC608" s="290"/>
      <c r="AD608" s="290"/>
      <c r="AE608" s="290"/>
      <c r="AF608" s="290"/>
      <c r="AG608" s="290"/>
      <c r="AH608" s="290"/>
      <c r="AI608" s="290"/>
      <c r="AJ608" s="290"/>
      <c r="AK608" s="290"/>
    </row>
    <row r="609" spans="11:37" x14ac:dyDescent="0.2">
      <c r="K609" s="290"/>
      <c r="L609" s="290"/>
      <c r="M609" s="290"/>
      <c r="N609" s="290"/>
      <c r="O609" s="290"/>
      <c r="P609" s="290"/>
      <c r="Q609" s="290"/>
      <c r="R609" s="290"/>
      <c r="S609" s="290"/>
      <c r="T609" s="290"/>
      <c r="U609" s="290"/>
      <c r="V609" s="290"/>
      <c r="W609" s="290"/>
      <c r="X609" s="290"/>
      <c r="Y609" s="290"/>
      <c r="Z609" s="290"/>
      <c r="AA609" s="290"/>
      <c r="AB609" s="290"/>
      <c r="AC609" s="290"/>
      <c r="AD609" s="290"/>
      <c r="AE609" s="290"/>
      <c r="AF609" s="290"/>
      <c r="AG609" s="290"/>
      <c r="AH609" s="290"/>
      <c r="AI609" s="290"/>
      <c r="AJ609" s="290"/>
      <c r="AK609" s="290"/>
    </row>
    <row r="610" spans="11:37" x14ac:dyDescent="0.2">
      <c r="K610" s="290"/>
      <c r="L610" s="290"/>
      <c r="M610" s="290"/>
      <c r="N610" s="290"/>
      <c r="O610" s="290"/>
      <c r="P610" s="290"/>
      <c r="Q610" s="290"/>
      <c r="R610" s="290"/>
      <c r="S610" s="290"/>
      <c r="T610" s="290"/>
      <c r="U610" s="290"/>
      <c r="V610" s="290"/>
      <c r="W610" s="290"/>
      <c r="X610" s="290"/>
      <c r="Y610" s="290"/>
      <c r="Z610" s="290"/>
      <c r="AA610" s="290"/>
      <c r="AB610" s="290"/>
      <c r="AC610" s="290"/>
      <c r="AD610" s="290"/>
      <c r="AE610" s="290"/>
      <c r="AF610" s="290"/>
      <c r="AG610" s="290"/>
      <c r="AH610" s="290"/>
      <c r="AI610" s="290"/>
      <c r="AJ610" s="290"/>
      <c r="AK610" s="290"/>
    </row>
    <row r="611" spans="11:37" x14ac:dyDescent="0.2">
      <c r="K611" s="290"/>
      <c r="L611" s="290"/>
      <c r="M611" s="290"/>
      <c r="N611" s="290"/>
      <c r="O611" s="290"/>
      <c r="P611" s="290"/>
      <c r="Q611" s="290"/>
      <c r="R611" s="290"/>
      <c r="S611" s="290"/>
      <c r="T611" s="290"/>
      <c r="U611" s="290"/>
      <c r="V611" s="290"/>
      <c r="W611" s="290"/>
      <c r="X611" s="290"/>
      <c r="Y611" s="290"/>
      <c r="Z611" s="290"/>
      <c r="AA611" s="290"/>
      <c r="AB611" s="290"/>
      <c r="AC611" s="290"/>
      <c r="AD611" s="290"/>
      <c r="AE611" s="290"/>
      <c r="AF611" s="290"/>
      <c r="AG611" s="290"/>
      <c r="AH611" s="290"/>
      <c r="AI611" s="290"/>
      <c r="AJ611" s="290"/>
      <c r="AK611" s="290"/>
    </row>
    <row r="612" spans="11:37" x14ac:dyDescent="0.2">
      <c r="K612" s="290"/>
      <c r="L612" s="290"/>
      <c r="M612" s="290"/>
      <c r="N612" s="290"/>
      <c r="O612" s="290"/>
      <c r="P612" s="290"/>
      <c r="Q612" s="290"/>
      <c r="R612" s="290"/>
      <c r="S612" s="290"/>
      <c r="T612" s="290"/>
      <c r="U612" s="290"/>
      <c r="V612" s="290"/>
      <c r="W612" s="290"/>
      <c r="X612" s="290"/>
      <c r="Y612" s="290"/>
      <c r="Z612" s="290"/>
      <c r="AA612" s="290"/>
      <c r="AB612" s="290"/>
      <c r="AC612" s="290"/>
      <c r="AD612" s="290"/>
      <c r="AE612" s="290"/>
      <c r="AF612" s="290"/>
      <c r="AG612" s="290"/>
      <c r="AH612" s="290"/>
      <c r="AI612" s="290"/>
      <c r="AJ612" s="290"/>
      <c r="AK612" s="290"/>
    </row>
    <row r="613" spans="11:37" x14ac:dyDescent="0.2">
      <c r="K613" s="290"/>
      <c r="L613" s="290"/>
      <c r="M613" s="290"/>
      <c r="N613" s="290"/>
      <c r="O613" s="290"/>
      <c r="P613" s="290"/>
      <c r="Q613" s="290"/>
      <c r="R613" s="290"/>
      <c r="S613" s="290"/>
      <c r="T613" s="290"/>
      <c r="U613" s="290"/>
      <c r="V613" s="290"/>
      <c r="W613" s="290"/>
      <c r="X613" s="290"/>
      <c r="Y613" s="290"/>
      <c r="Z613" s="290"/>
      <c r="AA613" s="290"/>
      <c r="AB613" s="290"/>
      <c r="AC613" s="290"/>
      <c r="AD613" s="290"/>
      <c r="AE613" s="290"/>
      <c r="AF613" s="290"/>
      <c r="AG613" s="290"/>
      <c r="AH613" s="290"/>
      <c r="AI613" s="290"/>
      <c r="AJ613" s="290"/>
      <c r="AK613" s="290"/>
    </row>
    <row r="614" spans="11:37" x14ac:dyDescent="0.2">
      <c r="K614" s="290"/>
      <c r="L614" s="290"/>
      <c r="M614" s="290"/>
      <c r="N614" s="290"/>
      <c r="O614" s="290"/>
      <c r="P614" s="290"/>
      <c r="Q614" s="290"/>
      <c r="R614" s="290"/>
      <c r="S614" s="290"/>
      <c r="T614" s="290"/>
      <c r="U614" s="290"/>
      <c r="V614" s="290"/>
      <c r="W614" s="290"/>
      <c r="X614" s="290"/>
      <c r="Y614" s="290"/>
      <c r="Z614" s="290"/>
      <c r="AA614" s="290"/>
      <c r="AB614" s="290"/>
      <c r="AC614" s="290"/>
      <c r="AD614" s="290"/>
      <c r="AE614" s="290"/>
      <c r="AF614" s="290"/>
      <c r="AG614" s="290"/>
      <c r="AH614" s="290"/>
      <c r="AI614" s="290"/>
      <c r="AJ614" s="290"/>
      <c r="AK614" s="290"/>
    </row>
    <row r="615" spans="11:37" x14ac:dyDescent="0.2">
      <c r="K615" s="290"/>
      <c r="L615" s="290"/>
      <c r="M615" s="290"/>
      <c r="N615" s="290"/>
      <c r="O615" s="290"/>
      <c r="P615" s="290"/>
      <c r="Q615" s="290"/>
      <c r="R615" s="290"/>
      <c r="S615" s="290"/>
      <c r="T615" s="290"/>
      <c r="U615" s="290"/>
      <c r="V615" s="290"/>
      <c r="W615" s="290"/>
      <c r="X615" s="290"/>
      <c r="Y615" s="290"/>
      <c r="Z615" s="290"/>
      <c r="AA615" s="290"/>
      <c r="AB615" s="290"/>
      <c r="AC615" s="290"/>
      <c r="AD615" s="290"/>
      <c r="AE615" s="290"/>
      <c r="AF615" s="290"/>
      <c r="AG615" s="290"/>
      <c r="AH615" s="290"/>
      <c r="AI615" s="290"/>
      <c r="AJ615" s="290"/>
      <c r="AK615" s="290"/>
    </row>
    <row r="616" spans="11:37" x14ac:dyDescent="0.2">
      <c r="K616" s="290"/>
      <c r="L616" s="290"/>
      <c r="M616" s="290"/>
      <c r="N616" s="290"/>
      <c r="O616" s="290"/>
      <c r="P616" s="290"/>
      <c r="Q616" s="290"/>
      <c r="R616" s="290"/>
      <c r="S616" s="290"/>
      <c r="T616" s="290"/>
      <c r="U616" s="290"/>
      <c r="V616" s="290"/>
      <c r="W616" s="290"/>
      <c r="X616" s="290"/>
      <c r="Y616" s="290"/>
      <c r="Z616" s="290"/>
      <c r="AA616" s="290"/>
      <c r="AB616" s="290"/>
      <c r="AC616" s="290"/>
      <c r="AD616" s="290"/>
      <c r="AE616" s="290"/>
      <c r="AF616" s="290"/>
      <c r="AG616" s="290"/>
      <c r="AH616" s="290"/>
      <c r="AI616" s="290"/>
      <c r="AJ616" s="290"/>
      <c r="AK616" s="290"/>
    </row>
    <row r="617" spans="11:37" x14ac:dyDescent="0.2">
      <c r="K617" s="290"/>
      <c r="L617" s="290"/>
      <c r="M617" s="290"/>
      <c r="N617" s="290"/>
      <c r="O617" s="290"/>
      <c r="P617" s="290"/>
      <c r="Q617" s="290"/>
      <c r="R617" s="290"/>
      <c r="S617" s="290"/>
      <c r="T617" s="290"/>
      <c r="U617" s="290"/>
      <c r="V617" s="290"/>
      <c r="W617" s="290"/>
      <c r="X617" s="290"/>
      <c r="Y617" s="290"/>
      <c r="Z617" s="290"/>
      <c r="AA617" s="290"/>
      <c r="AB617" s="290"/>
      <c r="AC617" s="290"/>
      <c r="AD617" s="290"/>
      <c r="AE617" s="290"/>
      <c r="AF617" s="290"/>
      <c r="AG617" s="290"/>
      <c r="AH617" s="290"/>
      <c r="AI617" s="290"/>
      <c r="AJ617" s="290"/>
      <c r="AK617" s="290"/>
    </row>
    <row r="618" spans="11:37" x14ac:dyDescent="0.2">
      <c r="K618" s="290"/>
      <c r="L618" s="290"/>
      <c r="M618" s="290"/>
      <c r="N618" s="290"/>
      <c r="O618" s="290"/>
      <c r="P618" s="290"/>
      <c r="Q618" s="290"/>
      <c r="R618" s="290"/>
      <c r="S618" s="290"/>
      <c r="T618" s="290"/>
      <c r="U618" s="290"/>
      <c r="V618" s="290"/>
      <c r="W618" s="290"/>
      <c r="X618" s="290"/>
      <c r="Y618" s="290"/>
      <c r="Z618" s="290"/>
      <c r="AA618" s="290"/>
      <c r="AB618" s="290"/>
      <c r="AC618" s="290"/>
      <c r="AD618" s="290"/>
      <c r="AE618" s="290"/>
      <c r="AF618" s="290"/>
      <c r="AG618" s="290"/>
      <c r="AH618" s="290"/>
      <c r="AI618" s="290"/>
      <c r="AJ618" s="290"/>
      <c r="AK618" s="290"/>
    </row>
    <row r="619" spans="11:37" x14ac:dyDescent="0.2">
      <c r="K619" s="290"/>
      <c r="L619" s="290"/>
      <c r="M619" s="290"/>
      <c r="N619" s="290"/>
      <c r="O619" s="290"/>
      <c r="P619" s="290"/>
      <c r="Q619" s="290"/>
      <c r="R619" s="290"/>
      <c r="S619" s="290"/>
      <c r="T619" s="290"/>
      <c r="U619" s="290"/>
      <c r="V619" s="290"/>
      <c r="W619" s="290"/>
      <c r="X619" s="290"/>
      <c r="Y619" s="290"/>
      <c r="Z619" s="290"/>
      <c r="AA619" s="290"/>
      <c r="AB619" s="290"/>
      <c r="AC619" s="290"/>
      <c r="AD619" s="290"/>
      <c r="AE619" s="290"/>
      <c r="AF619" s="290"/>
      <c r="AG619" s="290"/>
      <c r="AH619" s="290"/>
      <c r="AI619" s="290"/>
      <c r="AJ619" s="290"/>
      <c r="AK619" s="290"/>
    </row>
    <row r="620" spans="11:37" x14ac:dyDescent="0.2">
      <c r="K620" s="290"/>
      <c r="L620" s="290"/>
      <c r="M620" s="290"/>
      <c r="N620" s="290"/>
      <c r="O620" s="290"/>
      <c r="P620" s="290"/>
      <c r="Q620" s="290"/>
      <c r="R620" s="290"/>
      <c r="S620" s="290"/>
      <c r="T620" s="290"/>
      <c r="U620" s="290"/>
      <c r="V620" s="290"/>
      <c r="W620" s="290"/>
      <c r="X620" s="290"/>
      <c r="Y620" s="290"/>
      <c r="Z620" s="290"/>
      <c r="AA620" s="290"/>
      <c r="AB620" s="290"/>
      <c r="AC620" s="290"/>
      <c r="AD620" s="290"/>
      <c r="AE620" s="290"/>
      <c r="AF620" s="290"/>
      <c r="AG620" s="290"/>
      <c r="AH620" s="290"/>
      <c r="AI620" s="290"/>
      <c r="AJ620" s="290"/>
      <c r="AK620" s="290"/>
    </row>
    <row r="621" spans="11:37" x14ac:dyDescent="0.2">
      <c r="K621" s="290"/>
      <c r="L621" s="290"/>
      <c r="M621" s="290"/>
      <c r="N621" s="290"/>
      <c r="O621" s="290"/>
      <c r="P621" s="290"/>
      <c r="Q621" s="290"/>
      <c r="R621" s="290"/>
      <c r="S621" s="290"/>
      <c r="T621" s="290"/>
      <c r="U621" s="290"/>
      <c r="V621" s="290"/>
      <c r="W621" s="290"/>
      <c r="X621" s="290"/>
      <c r="Y621" s="290"/>
      <c r="Z621" s="290"/>
      <c r="AA621" s="290"/>
      <c r="AB621" s="290"/>
      <c r="AC621" s="290"/>
      <c r="AD621" s="290"/>
      <c r="AE621" s="290"/>
      <c r="AF621" s="290"/>
      <c r="AG621" s="290"/>
      <c r="AH621" s="290"/>
      <c r="AI621" s="290"/>
      <c r="AJ621" s="290"/>
      <c r="AK621" s="290"/>
    </row>
    <row r="622" spans="11:37" x14ac:dyDescent="0.2">
      <c r="K622" s="290"/>
      <c r="L622" s="290"/>
      <c r="M622" s="290"/>
      <c r="N622" s="290"/>
      <c r="O622" s="290"/>
      <c r="P622" s="290"/>
      <c r="Q622" s="290"/>
      <c r="R622" s="290"/>
      <c r="S622" s="290"/>
      <c r="T622" s="290"/>
      <c r="U622" s="290"/>
      <c r="V622" s="290"/>
      <c r="W622" s="290"/>
      <c r="X622" s="290"/>
      <c r="Y622" s="290"/>
      <c r="Z622" s="290"/>
      <c r="AA622" s="290"/>
      <c r="AB622" s="290"/>
      <c r="AC622" s="290"/>
      <c r="AD622" s="290"/>
      <c r="AE622" s="290"/>
      <c r="AF622" s="290"/>
      <c r="AG622" s="290"/>
      <c r="AH622" s="290"/>
      <c r="AI622" s="290"/>
      <c r="AJ622" s="290"/>
      <c r="AK622" s="290"/>
    </row>
    <row r="623" spans="11:37" x14ac:dyDescent="0.2">
      <c r="K623" s="290"/>
      <c r="L623" s="290"/>
      <c r="M623" s="290"/>
      <c r="N623" s="290"/>
      <c r="O623" s="290"/>
      <c r="P623" s="290"/>
      <c r="Q623" s="290"/>
      <c r="R623" s="290"/>
      <c r="S623" s="290"/>
      <c r="T623" s="290"/>
      <c r="U623" s="290"/>
      <c r="V623" s="290"/>
      <c r="W623" s="290"/>
      <c r="X623" s="290"/>
      <c r="Y623" s="290"/>
      <c r="Z623" s="290"/>
      <c r="AA623" s="290"/>
      <c r="AB623" s="290"/>
      <c r="AC623" s="290"/>
      <c r="AD623" s="290"/>
      <c r="AE623" s="290"/>
      <c r="AF623" s="290"/>
      <c r="AG623" s="290"/>
      <c r="AH623" s="290"/>
      <c r="AI623" s="290"/>
      <c r="AJ623" s="290"/>
      <c r="AK623" s="290"/>
    </row>
    <row r="624" spans="11:37" x14ac:dyDescent="0.2">
      <c r="K624" s="290"/>
      <c r="L624" s="290"/>
      <c r="M624" s="290"/>
      <c r="N624" s="290"/>
      <c r="O624" s="290"/>
      <c r="P624" s="290"/>
      <c r="Q624" s="290"/>
      <c r="R624" s="290"/>
      <c r="S624" s="290"/>
      <c r="T624" s="290"/>
      <c r="U624" s="290"/>
      <c r="V624" s="290"/>
      <c r="W624" s="290"/>
      <c r="X624" s="290"/>
      <c r="Y624" s="290"/>
      <c r="Z624" s="290"/>
      <c r="AA624" s="290"/>
      <c r="AB624" s="290"/>
      <c r="AC624" s="290"/>
      <c r="AD624" s="290"/>
      <c r="AE624" s="290"/>
      <c r="AF624" s="290"/>
      <c r="AG624" s="290"/>
      <c r="AH624" s="290"/>
      <c r="AI624" s="290"/>
      <c r="AJ624" s="290"/>
      <c r="AK624" s="290"/>
    </row>
    <row r="625" spans="11:37" x14ac:dyDescent="0.2">
      <c r="K625" s="290"/>
      <c r="L625" s="290"/>
      <c r="M625" s="290"/>
      <c r="N625" s="290"/>
      <c r="O625" s="290"/>
      <c r="P625" s="290"/>
      <c r="Q625" s="290"/>
      <c r="R625" s="290"/>
      <c r="S625" s="290"/>
      <c r="T625" s="290"/>
      <c r="U625" s="290"/>
      <c r="V625" s="290"/>
      <c r="W625" s="290"/>
      <c r="X625" s="290"/>
      <c r="Y625" s="290"/>
      <c r="Z625" s="290"/>
      <c r="AA625" s="290"/>
      <c r="AB625" s="290"/>
      <c r="AC625" s="290"/>
      <c r="AD625" s="290"/>
      <c r="AE625" s="290"/>
      <c r="AF625" s="290"/>
      <c r="AG625" s="290"/>
      <c r="AH625" s="290"/>
      <c r="AI625" s="290"/>
      <c r="AJ625" s="290"/>
      <c r="AK625" s="290"/>
    </row>
    <row r="626" spans="11:37" x14ac:dyDescent="0.2">
      <c r="K626" s="290"/>
      <c r="L626" s="290"/>
      <c r="M626" s="290"/>
      <c r="N626" s="290"/>
      <c r="O626" s="290"/>
      <c r="P626" s="290"/>
      <c r="Q626" s="290"/>
      <c r="R626" s="290"/>
      <c r="S626" s="290"/>
      <c r="T626" s="290"/>
      <c r="U626" s="290"/>
      <c r="V626" s="290"/>
      <c r="W626" s="290"/>
      <c r="X626" s="290"/>
      <c r="Y626" s="290"/>
      <c r="Z626" s="290"/>
      <c r="AA626" s="290"/>
      <c r="AB626" s="290"/>
      <c r="AC626" s="290"/>
      <c r="AD626" s="290"/>
      <c r="AE626" s="290"/>
      <c r="AF626" s="290"/>
      <c r="AG626" s="290"/>
      <c r="AH626" s="290"/>
      <c r="AI626" s="290"/>
      <c r="AJ626" s="290"/>
      <c r="AK626" s="290"/>
    </row>
    <row r="627" spans="11:37" x14ac:dyDescent="0.2">
      <c r="K627" s="290"/>
      <c r="L627" s="290"/>
      <c r="M627" s="290"/>
      <c r="N627" s="290"/>
      <c r="O627" s="290"/>
      <c r="P627" s="290"/>
      <c r="Q627" s="290"/>
      <c r="R627" s="290"/>
      <c r="S627" s="290"/>
      <c r="T627" s="290"/>
      <c r="U627" s="290"/>
      <c r="V627" s="290"/>
      <c r="W627" s="290"/>
      <c r="X627" s="290"/>
      <c r="Y627" s="290"/>
      <c r="Z627" s="290"/>
      <c r="AA627" s="290"/>
      <c r="AB627" s="290"/>
      <c r="AC627" s="290"/>
      <c r="AD627" s="290"/>
      <c r="AE627" s="290"/>
      <c r="AF627" s="290"/>
      <c r="AG627" s="290"/>
      <c r="AH627" s="290"/>
      <c r="AI627" s="290"/>
      <c r="AJ627" s="290"/>
      <c r="AK627" s="290"/>
    </row>
    <row r="628" spans="11:37" x14ac:dyDescent="0.2">
      <c r="K628" s="290"/>
      <c r="L628" s="290"/>
      <c r="M628" s="290"/>
      <c r="N628" s="290"/>
      <c r="O628" s="290"/>
      <c r="P628" s="290"/>
      <c r="Q628" s="290"/>
      <c r="R628" s="290"/>
      <c r="S628" s="290"/>
      <c r="T628" s="290"/>
      <c r="U628" s="290"/>
      <c r="V628" s="290"/>
      <c r="W628" s="290"/>
      <c r="X628" s="290"/>
      <c r="Y628" s="290"/>
      <c r="Z628" s="290"/>
      <c r="AA628" s="290"/>
      <c r="AB628" s="290"/>
      <c r="AC628" s="290"/>
      <c r="AD628" s="290"/>
      <c r="AE628" s="290"/>
      <c r="AF628" s="290"/>
      <c r="AG628" s="290"/>
      <c r="AH628" s="290"/>
      <c r="AI628" s="290"/>
      <c r="AJ628" s="290"/>
      <c r="AK628" s="290"/>
    </row>
    <row r="629" spans="11:37" x14ac:dyDescent="0.2">
      <c r="K629" s="290"/>
      <c r="L629" s="290"/>
      <c r="M629" s="290"/>
      <c r="N629" s="290"/>
      <c r="O629" s="290"/>
      <c r="P629" s="290"/>
      <c r="Q629" s="290"/>
      <c r="R629" s="290"/>
      <c r="S629" s="290"/>
      <c r="T629" s="290"/>
      <c r="U629" s="290"/>
      <c r="V629" s="290"/>
      <c r="W629" s="290"/>
      <c r="X629" s="290"/>
      <c r="Y629" s="290"/>
      <c r="Z629" s="290"/>
      <c r="AA629" s="290"/>
      <c r="AB629" s="290"/>
      <c r="AC629" s="290"/>
      <c r="AD629" s="290"/>
      <c r="AE629" s="290"/>
      <c r="AF629" s="290"/>
      <c r="AG629" s="290"/>
      <c r="AH629" s="290"/>
      <c r="AI629" s="290"/>
      <c r="AJ629" s="290"/>
      <c r="AK629" s="290"/>
    </row>
    <row r="630" spans="11:37" x14ac:dyDescent="0.2">
      <c r="K630" s="290"/>
      <c r="L630" s="290"/>
      <c r="M630" s="290"/>
      <c r="N630" s="290"/>
      <c r="O630" s="290"/>
      <c r="P630" s="290"/>
      <c r="Q630" s="290"/>
      <c r="R630" s="290"/>
      <c r="S630" s="290"/>
      <c r="T630" s="290"/>
      <c r="U630" s="290"/>
      <c r="V630" s="290"/>
      <c r="W630" s="290"/>
      <c r="X630" s="290"/>
      <c r="Y630" s="290"/>
      <c r="Z630" s="290"/>
      <c r="AA630" s="290"/>
      <c r="AB630" s="290"/>
      <c r="AC630" s="290"/>
      <c r="AD630" s="290"/>
      <c r="AE630" s="290"/>
      <c r="AF630" s="290"/>
      <c r="AG630" s="290"/>
      <c r="AH630" s="290"/>
      <c r="AI630" s="290"/>
      <c r="AJ630" s="290"/>
      <c r="AK630" s="290"/>
    </row>
    <row r="631" spans="11:37" x14ac:dyDescent="0.2">
      <c r="K631" s="290"/>
      <c r="L631" s="290"/>
      <c r="M631" s="290"/>
      <c r="N631" s="290"/>
      <c r="O631" s="290"/>
      <c r="P631" s="290"/>
      <c r="Q631" s="290"/>
      <c r="R631" s="290"/>
      <c r="S631" s="290"/>
      <c r="T631" s="290"/>
      <c r="U631" s="290"/>
      <c r="V631" s="290"/>
      <c r="W631" s="290"/>
      <c r="X631" s="290"/>
      <c r="Y631" s="290"/>
      <c r="Z631" s="290"/>
      <c r="AA631" s="290"/>
      <c r="AB631" s="290"/>
      <c r="AC631" s="290"/>
      <c r="AD631" s="290"/>
      <c r="AE631" s="290"/>
      <c r="AF631" s="290"/>
      <c r="AG631" s="290"/>
      <c r="AH631" s="290"/>
      <c r="AI631" s="290"/>
      <c r="AJ631" s="290"/>
      <c r="AK631" s="290"/>
    </row>
    <row r="632" spans="11:37" x14ac:dyDescent="0.2">
      <c r="K632" s="290"/>
      <c r="L632" s="290"/>
      <c r="M632" s="290"/>
      <c r="N632" s="290"/>
      <c r="O632" s="290"/>
      <c r="P632" s="290"/>
      <c r="Q632" s="290"/>
      <c r="R632" s="290"/>
      <c r="S632" s="290"/>
      <c r="T632" s="290"/>
      <c r="U632" s="290"/>
      <c r="V632" s="290"/>
      <c r="W632" s="290"/>
      <c r="X632" s="290"/>
      <c r="Y632" s="290"/>
      <c r="Z632" s="290"/>
      <c r="AA632" s="290"/>
      <c r="AB632" s="290"/>
      <c r="AC632" s="290"/>
      <c r="AD632" s="290"/>
      <c r="AE632" s="290"/>
      <c r="AF632" s="290"/>
      <c r="AG632" s="290"/>
      <c r="AH632" s="290"/>
      <c r="AI632" s="290"/>
      <c r="AJ632" s="290"/>
      <c r="AK632" s="290"/>
    </row>
    <row r="633" spans="11:37" x14ac:dyDescent="0.2">
      <c r="K633" s="290"/>
      <c r="L633" s="290"/>
      <c r="M633" s="290"/>
      <c r="N633" s="290"/>
      <c r="O633" s="290"/>
      <c r="P633" s="290"/>
      <c r="Q633" s="290"/>
      <c r="R633" s="290"/>
      <c r="S633" s="290"/>
      <c r="T633" s="290"/>
      <c r="U633" s="290"/>
      <c r="V633" s="290"/>
      <c r="W633" s="290"/>
      <c r="X633" s="290"/>
      <c r="Y633" s="290"/>
      <c r="Z633" s="290"/>
      <c r="AA633" s="290"/>
      <c r="AB633" s="290"/>
      <c r="AC633" s="290"/>
      <c r="AD633" s="290"/>
      <c r="AE633" s="290"/>
      <c r="AF633" s="290"/>
      <c r="AG633" s="290"/>
      <c r="AH633" s="290"/>
      <c r="AI633" s="290"/>
      <c r="AJ633" s="290"/>
      <c r="AK633" s="290"/>
    </row>
    <row r="634" spans="11:37" x14ac:dyDescent="0.2">
      <c r="K634" s="290"/>
      <c r="L634" s="290"/>
      <c r="M634" s="290"/>
      <c r="N634" s="290"/>
      <c r="O634" s="290"/>
      <c r="P634" s="290"/>
      <c r="Q634" s="290"/>
      <c r="R634" s="290"/>
      <c r="S634" s="290"/>
      <c r="T634" s="290"/>
      <c r="U634" s="290"/>
      <c r="V634" s="290"/>
      <c r="W634" s="290"/>
      <c r="X634" s="290"/>
      <c r="Y634" s="290"/>
      <c r="Z634" s="290"/>
      <c r="AA634" s="290"/>
      <c r="AB634" s="290"/>
      <c r="AC634" s="290"/>
      <c r="AD634" s="290"/>
      <c r="AE634" s="290"/>
      <c r="AF634" s="290"/>
      <c r="AG634" s="290"/>
      <c r="AH634" s="290"/>
      <c r="AI634" s="290"/>
      <c r="AJ634" s="290"/>
      <c r="AK634" s="290"/>
    </row>
    <row r="635" spans="11:37" x14ac:dyDescent="0.2">
      <c r="K635" s="290"/>
      <c r="L635" s="290"/>
      <c r="M635" s="290"/>
      <c r="N635" s="290"/>
      <c r="O635" s="290"/>
      <c r="P635" s="290"/>
      <c r="Q635" s="290"/>
      <c r="R635" s="290"/>
      <c r="S635" s="290"/>
      <c r="T635" s="290"/>
      <c r="U635" s="290"/>
      <c r="V635" s="290"/>
      <c r="W635" s="290"/>
      <c r="X635" s="290"/>
      <c r="Y635" s="290"/>
      <c r="Z635" s="290"/>
      <c r="AA635" s="290"/>
      <c r="AB635" s="290"/>
      <c r="AC635" s="290"/>
      <c r="AD635" s="290"/>
      <c r="AE635" s="290"/>
      <c r="AF635" s="290"/>
      <c r="AG635" s="290"/>
      <c r="AH635" s="290"/>
      <c r="AI635" s="290"/>
      <c r="AJ635" s="290"/>
      <c r="AK635" s="290"/>
    </row>
    <row r="636" spans="11:37" x14ac:dyDescent="0.2">
      <c r="K636" s="290"/>
      <c r="L636" s="290"/>
      <c r="M636" s="290"/>
      <c r="N636" s="290"/>
      <c r="O636" s="290"/>
      <c r="P636" s="290"/>
      <c r="Q636" s="290"/>
      <c r="R636" s="290"/>
      <c r="S636" s="290"/>
      <c r="T636" s="290"/>
      <c r="U636" s="290"/>
      <c r="V636" s="290"/>
      <c r="W636" s="290"/>
      <c r="X636" s="290"/>
      <c r="Y636" s="290"/>
      <c r="Z636" s="290"/>
      <c r="AA636" s="290"/>
      <c r="AB636" s="290"/>
      <c r="AC636" s="290"/>
      <c r="AD636" s="290"/>
      <c r="AE636" s="290"/>
      <c r="AF636" s="290"/>
      <c r="AG636" s="290"/>
      <c r="AH636" s="290"/>
      <c r="AI636" s="290"/>
      <c r="AJ636" s="290"/>
      <c r="AK636" s="290"/>
    </row>
    <row r="637" spans="11:37" x14ac:dyDescent="0.2">
      <c r="K637" s="290"/>
      <c r="L637" s="290"/>
      <c r="M637" s="290"/>
      <c r="N637" s="290"/>
      <c r="O637" s="290"/>
      <c r="P637" s="290"/>
      <c r="Q637" s="290"/>
      <c r="R637" s="290"/>
      <c r="S637" s="290"/>
      <c r="T637" s="290"/>
      <c r="U637" s="290"/>
      <c r="V637" s="290"/>
      <c r="W637" s="290"/>
      <c r="X637" s="290"/>
      <c r="Y637" s="290"/>
      <c r="Z637" s="290"/>
      <c r="AA637" s="290"/>
      <c r="AB637" s="290"/>
      <c r="AC637" s="290"/>
      <c r="AD637" s="290"/>
      <c r="AE637" s="290"/>
      <c r="AF637" s="290"/>
      <c r="AG637" s="290"/>
      <c r="AH637" s="290"/>
      <c r="AI637" s="290"/>
      <c r="AJ637" s="290"/>
      <c r="AK637" s="290"/>
    </row>
    <row r="638" spans="11:37" x14ac:dyDescent="0.2">
      <c r="K638" s="290"/>
      <c r="L638" s="290"/>
      <c r="M638" s="290"/>
      <c r="N638" s="290"/>
      <c r="O638" s="290"/>
      <c r="P638" s="290"/>
      <c r="Q638" s="290"/>
      <c r="R638" s="290"/>
      <c r="S638" s="290"/>
      <c r="T638" s="290"/>
      <c r="U638" s="290"/>
      <c r="V638" s="290"/>
      <c r="W638" s="290"/>
      <c r="X638" s="290"/>
      <c r="Y638" s="290"/>
      <c r="Z638" s="290"/>
      <c r="AA638" s="290"/>
      <c r="AB638" s="290"/>
      <c r="AC638" s="290"/>
      <c r="AD638" s="290"/>
      <c r="AE638" s="290"/>
      <c r="AF638" s="290"/>
      <c r="AG638" s="290"/>
      <c r="AH638" s="290"/>
      <c r="AI638" s="290"/>
      <c r="AJ638" s="290"/>
      <c r="AK638" s="290"/>
    </row>
    <row r="639" spans="11:37" x14ac:dyDescent="0.2">
      <c r="K639" s="290"/>
      <c r="L639" s="290"/>
      <c r="M639" s="290"/>
      <c r="N639" s="290"/>
      <c r="O639" s="290"/>
      <c r="P639" s="290"/>
      <c r="Q639" s="290"/>
      <c r="R639" s="290"/>
      <c r="S639" s="290"/>
      <c r="T639" s="290"/>
      <c r="U639" s="290"/>
      <c r="V639" s="290"/>
      <c r="W639" s="290"/>
      <c r="X639" s="290"/>
      <c r="Y639" s="290"/>
      <c r="Z639" s="290"/>
      <c r="AA639" s="290"/>
      <c r="AB639" s="290"/>
      <c r="AC639" s="290"/>
      <c r="AD639" s="290"/>
      <c r="AE639" s="290"/>
      <c r="AF639" s="290"/>
      <c r="AG639" s="290"/>
      <c r="AH639" s="290"/>
      <c r="AI639" s="290"/>
      <c r="AJ639" s="290"/>
      <c r="AK639" s="290"/>
    </row>
    <row r="640" spans="11:37" x14ac:dyDescent="0.2">
      <c r="K640" s="290"/>
      <c r="L640" s="290"/>
      <c r="M640" s="290"/>
      <c r="N640" s="290"/>
      <c r="O640" s="290"/>
      <c r="P640" s="290"/>
      <c r="Q640" s="290"/>
      <c r="R640" s="290"/>
      <c r="S640" s="290"/>
      <c r="T640" s="290"/>
      <c r="U640" s="290"/>
      <c r="V640" s="290"/>
      <c r="W640" s="290"/>
      <c r="X640" s="290"/>
      <c r="Y640" s="290"/>
      <c r="Z640" s="290"/>
      <c r="AA640" s="290"/>
      <c r="AB640" s="290"/>
      <c r="AC640" s="290"/>
      <c r="AD640" s="290"/>
      <c r="AE640" s="290"/>
      <c r="AF640" s="290"/>
      <c r="AG640" s="290"/>
      <c r="AH640" s="290"/>
      <c r="AI640" s="290"/>
      <c r="AJ640" s="290"/>
      <c r="AK640" s="290"/>
    </row>
    <row r="641" spans="11:37" x14ac:dyDescent="0.2">
      <c r="K641" s="290"/>
      <c r="L641" s="290"/>
      <c r="M641" s="290"/>
      <c r="N641" s="290"/>
      <c r="O641" s="290"/>
      <c r="P641" s="290"/>
      <c r="Q641" s="290"/>
      <c r="R641" s="290"/>
      <c r="S641" s="290"/>
      <c r="T641" s="290"/>
      <c r="U641" s="290"/>
      <c r="V641" s="290"/>
      <c r="W641" s="290"/>
      <c r="X641" s="290"/>
      <c r="Y641" s="290"/>
      <c r="Z641" s="290"/>
      <c r="AA641" s="290"/>
      <c r="AB641" s="290"/>
      <c r="AC641" s="290"/>
      <c r="AD641" s="290"/>
      <c r="AE641" s="290"/>
      <c r="AF641" s="290"/>
      <c r="AG641" s="290"/>
      <c r="AH641" s="290"/>
      <c r="AI641" s="290"/>
      <c r="AJ641" s="290"/>
      <c r="AK641" s="290"/>
    </row>
    <row r="642" spans="11:37" x14ac:dyDescent="0.2">
      <c r="K642" s="290"/>
      <c r="L642" s="290"/>
      <c r="M642" s="290"/>
      <c r="N642" s="290"/>
      <c r="O642" s="290"/>
      <c r="P642" s="290"/>
      <c r="Q642" s="290"/>
      <c r="R642" s="290"/>
      <c r="S642" s="290"/>
      <c r="T642" s="290"/>
      <c r="U642" s="290"/>
      <c r="V642" s="290"/>
      <c r="W642" s="290"/>
      <c r="X642" s="290"/>
      <c r="Y642" s="290"/>
      <c r="Z642" s="290"/>
      <c r="AA642" s="290"/>
      <c r="AB642" s="290"/>
      <c r="AC642" s="290"/>
      <c r="AD642" s="290"/>
      <c r="AE642" s="290"/>
      <c r="AF642" s="290"/>
      <c r="AG642" s="290"/>
      <c r="AH642" s="290"/>
      <c r="AI642" s="290"/>
      <c r="AJ642" s="290"/>
      <c r="AK642" s="290"/>
    </row>
    <row r="643" spans="11:37" x14ac:dyDescent="0.2">
      <c r="K643" s="290"/>
      <c r="L643" s="290"/>
      <c r="M643" s="290"/>
      <c r="N643" s="290"/>
      <c r="O643" s="290"/>
      <c r="P643" s="290"/>
      <c r="Q643" s="290"/>
      <c r="R643" s="290"/>
      <c r="S643" s="290"/>
      <c r="T643" s="290"/>
      <c r="U643" s="290"/>
      <c r="V643" s="290"/>
      <c r="W643" s="290"/>
      <c r="X643" s="290"/>
      <c r="Y643" s="290"/>
      <c r="Z643" s="290"/>
      <c r="AA643" s="290"/>
      <c r="AB643" s="290"/>
      <c r="AC643" s="290"/>
      <c r="AD643" s="290"/>
      <c r="AE643" s="290"/>
      <c r="AF643" s="290"/>
      <c r="AG643" s="290"/>
      <c r="AH643" s="290"/>
      <c r="AI643" s="290"/>
      <c r="AJ643" s="290"/>
      <c r="AK643" s="290"/>
    </row>
    <row r="644" spans="11:37" x14ac:dyDescent="0.2">
      <c r="K644" s="290"/>
      <c r="L644" s="290"/>
      <c r="M644" s="290"/>
      <c r="N644" s="290"/>
      <c r="O644" s="290"/>
      <c r="P644" s="290"/>
      <c r="Q644" s="290"/>
      <c r="R644" s="290"/>
      <c r="S644" s="290"/>
      <c r="T644" s="290"/>
      <c r="U644" s="290"/>
      <c r="V644" s="290"/>
      <c r="W644" s="290"/>
      <c r="X644" s="290"/>
      <c r="Y644" s="290"/>
      <c r="Z644" s="290"/>
      <c r="AA644" s="290"/>
      <c r="AB644" s="290"/>
      <c r="AC644" s="290"/>
      <c r="AD644" s="290"/>
      <c r="AE644" s="290"/>
      <c r="AF644" s="290"/>
      <c r="AG644" s="290"/>
      <c r="AH644" s="290"/>
      <c r="AI644" s="290"/>
      <c r="AJ644" s="290"/>
      <c r="AK644" s="290"/>
    </row>
    <row r="645" spans="11:37" x14ac:dyDescent="0.2">
      <c r="K645" s="290"/>
      <c r="L645" s="290"/>
      <c r="M645" s="290"/>
      <c r="N645" s="290"/>
      <c r="O645" s="290"/>
      <c r="P645" s="290"/>
      <c r="Q645" s="290"/>
      <c r="R645" s="290"/>
      <c r="S645" s="290"/>
      <c r="T645" s="290"/>
      <c r="U645" s="290"/>
      <c r="V645" s="290"/>
      <c r="W645" s="290"/>
      <c r="X645" s="290"/>
      <c r="Y645" s="290"/>
      <c r="Z645" s="290"/>
      <c r="AA645" s="290"/>
      <c r="AB645" s="290"/>
      <c r="AC645" s="290"/>
      <c r="AD645" s="290"/>
      <c r="AE645" s="290"/>
      <c r="AF645" s="290"/>
      <c r="AG645" s="290"/>
      <c r="AH645" s="290"/>
      <c r="AI645" s="290"/>
      <c r="AJ645" s="290"/>
      <c r="AK645" s="290"/>
    </row>
    <row r="646" spans="11:37" x14ac:dyDescent="0.2">
      <c r="K646" s="290"/>
      <c r="L646" s="290"/>
      <c r="M646" s="290"/>
      <c r="N646" s="290"/>
      <c r="O646" s="290"/>
      <c r="P646" s="290"/>
      <c r="Q646" s="290"/>
      <c r="R646" s="290"/>
      <c r="S646" s="290"/>
      <c r="T646" s="290"/>
      <c r="U646" s="290"/>
      <c r="V646" s="290"/>
      <c r="W646" s="290"/>
      <c r="X646" s="290"/>
      <c r="Y646" s="290"/>
      <c r="Z646" s="290"/>
      <c r="AA646" s="290"/>
      <c r="AB646" s="290"/>
      <c r="AC646" s="290"/>
      <c r="AD646" s="290"/>
      <c r="AE646" s="290"/>
      <c r="AF646" s="290"/>
      <c r="AG646" s="290"/>
      <c r="AH646" s="290"/>
      <c r="AI646" s="290"/>
      <c r="AJ646" s="290"/>
      <c r="AK646" s="290"/>
    </row>
    <row r="647" spans="11:37" x14ac:dyDescent="0.2">
      <c r="K647" s="290"/>
      <c r="L647" s="290"/>
      <c r="M647" s="290"/>
      <c r="N647" s="290"/>
      <c r="O647" s="290"/>
      <c r="P647" s="290"/>
      <c r="Q647" s="290"/>
      <c r="R647" s="290"/>
      <c r="S647" s="290"/>
      <c r="T647" s="290"/>
      <c r="U647" s="290"/>
      <c r="V647" s="290"/>
      <c r="W647" s="290"/>
      <c r="X647" s="290"/>
      <c r="Y647" s="290"/>
      <c r="Z647" s="290"/>
      <c r="AA647" s="290"/>
      <c r="AB647" s="290"/>
      <c r="AC647" s="290"/>
      <c r="AD647" s="290"/>
      <c r="AE647" s="290"/>
      <c r="AF647" s="290"/>
      <c r="AG647" s="290"/>
      <c r="AH647" s="290"/>
      <c r="AI647" s="290"/>
      <c r="AJ647" s="290"/>
      <c r="AK647" s="290"/>
    </row>
    <row r="648" spans="11:37" x14ac:dyDescent="0.2">
      <c r="K648" s="290"/>
      <c r="L648" s="290"/>
      <c r="M648" s="290"/>
      <c r="N648" s="290"/>
      <c r="O648" s="290"/>
      <c r="P648" s="290"/>
      <c r="Q648" s="290"/>
      <c r="R648" s="290"/>
      <c r="S648" s="290"/>
      <c r="T648" s="290"/>
      <c r="U648" s="290"/>
      <c r="V648" s="290"/>
      <c r="W648" s="290"/>
      <c r="X648" s="290"/>
      <c r="Y648" s="290"/>
      <c r="Z648" s="290"/>
      <c r="AA648" s="290"/>
      <c r="AB648" s="290"/>
      <c r="AC648" s="290"/>
      <c r="AD648" s="290"/>
      <c r="AE648" s="290"/>
      <c r="AF648" s="290"/>
      <c r="AG648" s="290"/>
      <c r="AH648" s="290"/>
      <c r="AI648" s="290"/>
      <c r="AJ648" s="290"/>
      <c r="AK648" s="290"/>
    </row>
    <row r="649" spans="11:37" x14ac:dyDescent="0.2">
      <c r="K649" s="290"/>
      <c r="L649" s="290"/>
      <c r="M649" s="290"/>
      <c r="N649" s="290"/>
      <c r="O649" s="290"/>
      <c r="P649" s="290"/>
      <c r="Q649" s="290"/>
      <c r="R649" s="290"/>
      <c r="S649" s="290"/>
      <c r="T649" s="290"/>
      <c r="U649" s="290"/>
      <c r="V649" s="290"/>
      <c r="W649" s="290"/>
      <c r="X649" s="290"/>
      <c r="Y649" s="290"/>
      <c r="Z649" s="290"/>
      <c r="AA649" s="290"/>
      <c r="AB649" s="290"/>
      <c r="AC649" s="290"/>
      <c r="AD649" s="290"/>
      <c r="AE649" s="290"/>
      <c r="AF649" s="290"/>
      <c r="AG649" s="290"/>
      <c r="AH649" s="290"/>
      <c r="AI649" s="290"/>
      <c r="AJ649" s="290"/>
      <c r="AK649" s="290"/>
    </row>
    <row r="650" spans="11:37" x14ac:dyDescent="0.2">
      <c r="K650" s="290"/>
      <c r="L650" s="290"/>
      <c r="M650" s="290"/>
      <c r="N650" s="290"/>
      <c r="O650" s="290"/>
      <c r="P650" s="290"/>
      <c r="Q650" s="290"/>
      <c r="R650" s="290"/>
      <c r="S650" s="290"/>
      <c r="T650" s="290"/>
      <c r="U650" s="290"/>
      <c r="V650" s="290"/>
      <c r="W650" s="290"/>
      <c r="X650" s="290"/>
      <c r="Y650" s="290"/>
      <c r="Z650" s="290"/>
      <c r="AA650" s="290"/>
      <c r="AB650" s="290"/>
      <c r="AC650" s="290"/>
      <c r="AD650" s="290"/>
      <c r="AE650" s="290"/>
      <c r="AF650" s="290"/>
      <c r="AG650" s="290"/>
      <c r="AH650" s="290"/>
      <c r="AI650" s="290"/>
      <c r="AJ650" s="290"/>
      <c r="AK650" s="290"/>
    </row>
    <row r="651" spans="11:37" x14ac:dyDescent="0.2">
      <c r="K651" s="290"/>
      <c r="L651" s="290"/>
      <c r="M651" s="290"/>
      <c r="N651" s="290"/>
      <c r="O651" s="290"/>
      <c r="P651" s="290"/>
      <c r="Q651" s="290"/>
      <c r="R651" s="290"/>
      <c r="S651" s="290"/>
      <c r="T651" s="290"/>
      <c r="U651" s="290"/>
      <c r="V651" s="290"/>
      <c r="W651" s="290"/>
      <c r="X651" s="290"/>
      <c r="Y651" s="290"/>
      <c r="Z651" s="290"/>
      <c r="AA651" s="290"/>
      <c r="AB651" s="290"/>
      <c r="AC651" s="290"/>
      <c r="AD651" s="290"/>
      <c r="AE651" s="290"/>
      <c r="AF651" s="290"/>
      <c r="AG651" s="290"/>
      <c r="AH651" s="290"/>
      <c r="AI651" s="290"/>
      <c r="AJ651" s="290"/>
      <c r="AK651" s="290"/>
    </row>
    <row r="652" spans="11:37" x14ac:dyDescent="0.2">
      <c r="K652" s="290"/>
      <c r="L652" s="290"/>
      <c r="M652" s="290"/>
      <c r="N652" s="290"/>
      <c r="O652" s="290"/>
      <c r="P652" s="290"/>
      <c r="Q652" s="290"/>
      <c r="R652" s="290"/>
      <c r="S652" s="290"/>
      <c r="T652" s="290"/>
      <c r="U652" s="290"/>
      <c r="V652" s="290"/>
      <c r="W652" s="290"/>
      <c r="X652" s="290"/>
      <c r="Y652" s="290"/>
      <c r="Z652" s="290"/>
      <c r="AA652" s="290"/>
      <c r="AB652" s="290"/>
      <c r="AC652" s="290"/>
      <c r="AD652" s="290"/>
      <c r="AE652" s="290"/>
      <c r="AF652" s="290"/>
      <c r="AG652" s="290"/>
      <c r="AH652" s="290"/>
      <c r="AI652" s="290"/>
      <c r="AJ652" s="290"/>
      <c r="AK652" s="290"/>
    </row>
    <row r="653" spans="11:37" x14ac:dyDescent="0.2">
      <c r="K653" s="290"/>
      <c r="L653" s="290"/>
      <c r="M653" s="290"/>
      <c r="N653" s="290"/>
      <c r="O653" s="290"/>
      <c r="P653" s="290"/>
      <c r="Q653" s="290"/>
      <c r="R653" s="290"/>
      <c r="S653" s="290"/>
      <c r="T653" s="290"/>
      <c r="U653" s="290"/>
      <c r="V653" s="290"/>
      <c r="W653" s="290"/>
      <c r="X653" s="290"/>
      <c r="Y653" s="290"/>
      <c r="Z653" s="290"/>
      <c r="AA653" s="290"/>
      <c r="AB653" s="290"/>
      <c r="AC653" s="290"/>
      <c r="AD653" s="290"/>
      <c r="AE653" s="290"/>
      <c r="AF653" s="290"/>
      <c r="AG653" s="290"/>
      <c r="AH653" s="290"/>
      <c r="AI653" s="290"/>
      <c r="AJ653" s="290"/>
      <c r="AK653" s="290"/>
    </row>
    <row r="654" spans="11:37" x14ac:dyDescent="0.2">
      <c r="K654" s="290"/>
      <c r="L654" s="290"/>
      <c r="M654" s="290"/>
      <c r="N654" s="290"/>
      <c r="O654" s="290"/>
      <c r="P654" s="290"/>
      <c r="Q654" s="290"/>
      <c r="R654" s="290"/>
      <c r="S654" s="290"/>
      <c r="T654" s="290"/>
      <c r="U654" s="290"/>
      <c r="V654" s="290"/>
      <c r="W654" s="290"/>
      <c r="X654" s="290"/>
      <c r="Y654" s="290"/>
      <c r="Z654" s="290"/>
      <c r="AA654" s="290"/>
      <c r="AB654" s="290"/>
      <c r="AC654" s="290"/>
      <c r="AD654" s="290"/>
      <c r="AE654" s="290"/>
      <c r="AF654" s="290"/>
      <c r="AG654" s="290"/>
      <c r="AH654" s="290"/>
      <c r="AI654" s="290"/>
      <c r="AJ654" s="290"/>
      <c r="AK654" s="290"/>
    </row>
    <row r="655" spans="11:37" x14ac:dyDescent="0.2">
      <c r="K655" s="290"/>
      <c r="L655" s="290"/>
      <c r="M655" s="290"/>
      <c r="N655" s="290"/>
      <c r="O655" s="290"/>
      <c r="P655" s="290"/>
      <c r="Q655" s="290"/>
      <c r="R655" s="290"/>
      <c r="S655" s="290"/>
      <c r="T655" s="290"/>
      <c r="U655" s="290"/>
      <c r="V655" s="290"/>
      <c r="W655" s="290"/>
      <c r="X655" s="290"/>
      <c r="Y655" s="290"/>
      <c r="Z655" s="290"/>
      <c r="AA655" s="290"/>
      <c r="AB655" s="290"/>
      <c r="AC655" s="290"/>
      <c r="AD655" s="290"/>
      <c r="AE655" s="290"/>
      <c r="AF655" s="290"/>
      <c r="AG655" s="290"/>
      <c r="AH655" s="290"/>
      <c r="AI655" s="290"/>
      <c r="AJ655" s="290"/>
      <c r="AK655" s="290"/>
    </row>
    <row r="656" spans="11:37" x14ac:dyDescent="0.2">
      <c r="K656" s="290"/>
      <c r="L656" s="290"/>
      <c r="M656" s="290"/>
      <c r="N656" s="290"/>
      <c r="O656" s="290"/>
      <c r="P656" s="290"/>
      <c r="Q656" s="290"/>
      <c r="R656" s="290"/>
      <c r="S656" s="290"/>
      <c r="T656" s="290"/>
      <c r="U656" s="290"/>
      <c r="V656" s="290"/>
      <c r="W656" s="290"/>
      <c r="X656" s="290"/>
      <c r="Y656" s="290"/>
      <c r="Z656" s="290"/>
      <c r="AA656" s="290"/>
      <c r="AB656" s="290"/>
      <c r="AC656" s="290"/>
      <c r="AD656" s="290"/>
      <c r="AE656" s="290"/>
      <c r="AF656" s="290"/>
      <c r="AG656" s="290"/>
      <c r="AH656" s="290"/>
      <c r="AI656" s="290"/>
      <c r="AJ656" s="290"/>
      <c r="AK656" s="290"/>
    </row>
    <row r="657" spans="11:37" x14ac:dyDescent="0.2">
      <c r="K657" s="290"/>
      <c r="L657" s="290"/>
      <c r="M657" s="290"/>
      <c r="N657" s="290"/>
      <c r="O657" s="290"/>
      <c r="P657" s="290"/>
      <c r="Q657" s="290"/>
      <c r="R657" s="290"/>
      <c r="S657" s="290"/>
      <c r="T657" s="290"/>
      <c r="U657" s="290"/>
      <c r="V657" s="290"/>
      <c r="W657" s="290"/>
      <c r="X657" s="290"/>
      <c r="Y657" s="290"/>
      <c r="Z657" s="290"/>
      <c r="AA657" s="290"/>
      <c r="AB657" s="290"/>
      <c r="AC657" s="290"/>
      <c r="AD657" s="290"/>
      <c r="AE657" s="290"/>
      <c r="AF657" s="290"/>
      <c r="AG657" s="290"/>
      <c r="AH657" s="290"/>
      <c r="AI657" s="290"/>
      <c r="AJ657" s="290"/>
      <c r="AK657" s="290"/>
    </row>
    <row r="658" spans="11:37" x14ac:dyDescent="0.2">
      <c r="K658" s="290"/>
      <c r="L658" s="290"/>
      <c r="M658" s="290"/>
      <c r="N658" s="290"/>
      <c r="O658" s="290"/>
      <c r="P658" s="290"/>
      <c r="Q658" s="290"/>
      <c r="R658" s="290"/>
      <c r="S658" s="290"/>
      <c r="T658" s="290"/>
      <c r="U658" s="290"/>
      <c r="V658" s="290"/>
      <c r="W658" s="290"/>
      <c r="X658" s="290"/>
      <c r="Y658" s="290"/>
      <c r="Z658" s="290"/>
      <c r="AA658" s="290"/>
      <c r="AB658" s="290"/>
      <c r="AC658" s="290"/>
      <c r="AD658" s="290"/>
      <c r="AE658" s="290"/>
      <c r="AF658" s="290"/>
      <c r="AG658" s="290"/>
      <c r="AH658" s="290"/>
      <c r="AI658" s="290"/>
      <c r="AJ658" s="290"/>
      <c r="AK658" s="290"/>
    </row>
    <row r="659" spans="11:37" x14ac:dyDescent="0.2">
      <c r="K659" s="290"/>
      <c r="L659" s="290"/>
      <c r="M659" s="290"/>
      <c r="N659" s="290"/>
      <c r="O659" s="290"/>
      <c r="P659" s="290"/>
      <c r="Q659" s="290"/>
      <c r="R659" s="290"/>
      <c r="S659" s="290"/>
      <c r="T659" s="290"/>
      <c r="U659" s="290"/>
      <c r="V659" s="290"/>
      <c r="W659" s="290"/>
      <c r="X659" s="290"/>
      <c r="Y659" s="290"/>
      <c r="Z659" s="290"/>
      <c r="AA659" s="290"/>
      <c r="AB659" s="290"/>
      <c r="AC659" s="290"/>
      <c r="AD659" s="290"/>
      <c r="AE659" s="290"/>
      <c r="AF659" s="290"/>
      <c r="AG659" s="290"/>
      <c r="AH659" s="290"/>
      <c r="AI659" s="290"/>
      <c r="AJ659" s="290"/>
      <c r="AK659" s="290"/>
    </row>
    <row r="660" spans="11:37" x14ac:dyDescent="0.2">
      <c r="K660" s="290"/>
      <c r="L660" s="290"/>
      <c r="M660" s="290"/>
      <c r="N660" s="290"/>
      <c r="O660" s="290"/>
      <c r="P660" s="290"/>
      <c r="Q660" s="290"/>
      <c r="R660" s="290"/>
      <c r="S660" s="290"/>
      <c r="T660" s="290"/>
      <c r="U660" s="290"/>
      <c r="V660" s="290"/>
      <c r="W660" s="290"/>
      <c r="X660" s="290"/>
      <c r="Y660" s="290"/>
      <c r="Z660" s="290"/>
      <c r="AA660" s="290"/>
      <c r="AB660" s="290"/>
      <c r="AC660" s="290"/>
      <c r="AD660" s="290"/>
      <c r="AE660" s="290"/>
      <c r="AF660" s="290"/>
      <c r="AG660" s="290"/>
      <c r="AH660" s="290"/>
      <c r="AI660" s="290"/>
      <c r="AJ660" s="290"/>
      <c r="AK660" s="290"/>
    </row>
    <row r="661" spans="11:37" x14ac:dyDescent="0.2">
      <c r="K661" s="290"/>
      <c r="L661" s="290"/>
      <c r="M661" s="290"/>
      <c r="N661" s="290"/>
      <c r="O661" s="290"/>
      <c r="P661" s="290"/>
      <c r="Q661" s="290"/>
      <c r="R661" s="290"/>
      <c r="S661" s="290"/>
      <c r="T661" s="290"/>
      <c r="U661" s="290"/>
      <c r="V661" s="290"/>
      <c r="W661" s="290"/>
      <c r="X661" s="290"/>
      <c r="Y661" s="290"/>
      <c r="Z661" s="290"/>
      <c r="AA661" s="290"/>
      <c r="AB661" s="290"/>
      <c r="AC661" s="290"/>
      <c r="AD661" s="290"/>
      <c r="AE661" s="290"/>
      <c r="AF661" s="290"/>
      <c r="AG661" s="290"/>
      <c r="AH661" s="290"/>
      <c r="AI661" s="290"/>
      <c r="AJ661" s="290"/>
      <c r="AK661" s="290"/>
    </row>
    <row r="662" spans="11:37" x14ac:dyDescent="0.2">
      <c r="K662" s="290"/>
      <c r="L662" s="290"/>
      <c r="M662" s="290"/>
      <c r="N662" s="290"/>
      <c r="O662" s="290"/>
      <c r="P662" s="290"/>
      <c r="Q662" s="290"/>
      <c r="R662" s="290"/>
      <c r="S662" s="290"/>
      <c r="T662" s="290"/>
      <c r="U662" s="290"/>
      <c r="V662" s="290"/>
      <c r="W662" s="290"/>
      <c r="X662" s="290"/>
      <c r="Y662" s="290"/>
      <c r="Z662" s="290"/>
      <c r="AA662" s="290"/>
      <c r="AB662" s="290"/>
      <c r="AC662" s="290"/>
      <c r="AD662" s="290"/>
      <c r="AE662" s="290"/>
      <c r="AF662" s="290"/>
      <c r="AG662" s="290"/>
      <c r="AH662" s="290"/>
      <c r="AI662" s="290"/>
      <c r="AJ662" s="290"/>
      <c r="AK662" s="290"/>
    </row>
    <row r="663" spans="11:37" x14ac:dyDescent="0.2">
      <c r="K663" s="290"/>
      <c r="L663" s="290"/>
      <c r="M663" s="290"/>
      <c r="N663" s="290"/>
      <c r="O663" s="290"/>
      <c r="P663" s="290"/>
      <c r="Q663" s="290"/>
      <c r="R663" s="290"/>
      <c r="S663" s="290"/>
      <c r="T663" s="290"/>
      <c r="U663" s="290"/>
      <c r="V663" s="290"/>
      <c r="W663" s="290"/>
      <c r="X663" s="290"/>
      <c r="Y663" s="290"/>
      <c r="Z663" s="290"/>
      <c r="AA663" s="290"/>
      <c r="AB663" s="290"/>
      <c r="AC663" s="290"/>
      <c r="AD663" s="290"/>
      <c r="AE663" s="290"/>
      <c r="AF663" s="290"/>
      <c r="AG663" s="290"/>
      <c r="AH663" s="290"/>
      <c r="AI663" s="290"/>
      <c r="AJ663" s="290"/>
      <c r="AK663" s="290"/>
    </row>
    <row r="664" spans="11:37" x14ac:dyDescent="0.2">
      <c r="K664" s="290"/>
      <c r="L664" s="290"/>
      <c r="M664" s="290"/>
      <c r="N664" s="290"/>
      <c r="O664" s="290"/>
      <c r="P664" s="290"/>
      <c r="Q664" s="290"/>
      <c r="R664" s="290"/>
      <c r="S664" s="290"/>
      <c r="T664" s="290"/>
      <c r="U664" s="290"/>
      <c r="V664" s="290"/>
      <c r="W664" s="290"/>
      <c r="X664" s="290"/>
      <c r="Y664" s="290"/>
      <c r="Z664" s="290"/>
      <c r="AA664" s="290"/>
      <c r="AB664" s="290"/>
      <c r="AC664" s="290"/>
      <c r="AD664" s="290"/>
      <c r="AE664" s="290"/>
      <c r="AF664" s="290"/>
      <c r="AG664" s="290"/>
      <c r="AH664" s="290"/>
      <c r="AI664" s="290"/>
      <c r="AJ664" s="290"/>
      <c r="AK664" s="290"/>
    </row>
    <row r="665" spans="11:37" x14ac:dyDescent="0.2">
      <c r="K665" s="290"/>
      <c r="L665" s="290"/>
      <c r="M665" s="290"/>
      <c r="N665" s="290"/>
      <c r="O665" s="290"/>
      <c r="P665" s="290"/>
      <c r="Q665" s="290"/>
      <c r="R665" s="290"/>
      <c r="S665" s="290"/>
      <c r="T665" s="290"/>
      <c r="U665" s="290"/>
      <c r="V665" s="290"/>
      <c r="W665" s="290"/>
      <c r="X665" s="290"/>
      <c r="Y665" s="290"/>
      <c r="Z665" s="290"/>
      <c r="AA665" s="290"/>
      <c r="AB665" s="290"/>
      <c r="AC665" s="290"/>
      <c r="AD665" s="290"/>
      <c r="AE665" s="290"/>
      <c r="AF665" s="290"/>
      <c r="AG665" s="290"/>
      <c r="AH665" s="290"/>
      <c r="AI665" s="290"/>
      <c r="AJ665" s="290"/>
      <c r="AK665" s="290"/>
    </row>
    <row r="666" spans="11:37" x14ac:dyDescent="0.2">
      <c r="K666" s="290"/>
      <c r="L666" s="290"/>
      <c r="M666" s="290"/>
      <c r="N666" s="290"/>
      <c r="O666" s="290"/>
      <c r="P666" s="290"/>
      <c r="Q666" s="290"/>
      <c r="R666" s="290"/>
      <c r="S666" s="290"/>
      <c r="T666" s="290"/>
      <c r="U666" s="290"/>
      <c r="V666" s="290"/>
      <c r="W666" s="290"/>
      <c r="X666" s="290"/>
      <c r="Y666" s="290"/>
      <c r="Z666" s="290"/>
      <c r="AA666" s="290"/>
      <c r="AB666" s="290"/>
      <c r="AC666" s="290"/>
      <c r="AD666" s="290"/>
      <c r="AE666" s="290"/>
      <c r="AF666" s="290"/>
      <c r="AG666" s="290"/>
      <c r="AH666" s="290"/>
      <c r="AI666" s="290"/>
      <c r="AJ666" s="290"/>
      <c r="AK666" s="290"/>
    </row>
    <row r="667" spans="11:37" x14ac:dyDescent="0.2">
      <c r="K667" s="290"/>
      <c r="L667" s="290"/>
      <c r="M667" s="290"/>
      <c r="N667" s="290"/>
      <c r="O667" s="290"/>
      <c r="P667" s="290"/>
      <c r="Q667" s="290"/>
      <c r="R667" s="290"/>
      <c r="S667" s="290"/>
      <c r="T667" s="290"/>
      <c r="U667" s="290"/>
      <c r="V667" s="290"/>
      <c r="W667" s="290"/>
      <c r="X667" s="290"/>
      <c r="Y667" s="290"/>
      <c r="Z667" s="290"/>
      <c r="AA667" s="290"/>
      <c r="AB667" s="290"/>
      <c r="AC667" s="290"/>
      <c r="AD667" s="290"/>
      <c r="AE667" s="290"/>
      <c r="AF667" s="290"/>
      <c r="AG667" s="290"/>
      <c r="AH667" s="290"/>
      <c r="AI667" s="290"/>
      <c r="AJ667" s="290"/>
      <c r="AK667" s="290"/>
    </row>
    <row r="668" spans="11:37" x14ac:dyDescent="0.2">
      <c r="K668" s="290"/>
      <c r="L668" s="290"/>
      <c r="M668" s="290"/>
      <c r="N668" s="290"/>
      <c r="O668" s="290"/>
      <c r="P668" s="290"/>
      <c r="Q668" s="290"/>
      <c r="R668" s="290"/>
      <c r="S668" s="290"/>
      <c r="T668" s="290"/>
      <c r="U668" s="290"/>
      <c r="V668" s="290"/>
      <c r="W668" s="290"/>
      <c r="X668" s="290"/>
      <c r="Y668" s="290"/>
      <c r="Z668" s="290"/>
      <c r="AA668" s="290"/>
      <c r="AB668" s="290"/>
      <c r="AC668" s="290"/>
      <c r="AD668" s="290"/>
      <c r="AE668" s="290"/>
      <c r="AF668" s="290"/>
      <c r="AG668" s="290"/>
      <c r="AH668" s="290"/>
      <c r="AI668" s="290"/>
      <c r="AJ668" s="290"/>
      <c r="AK668" s="290"/>
    </row>
    <row r="669" spans="11:37" x14ac:dyDescent="0.2">
      <c r="K669" s="290"/>
      <c r="L669" s="290"/>
      <c r="M669" s="290"/>
      <c r="N669" s="290"/>
      <c r="O669" s="290"/>
      <c r="P669" s="290"/>
      <c r="Q669" s="290"/>
      <c r="R669" s="290"/>
      <c r="S669" s="290"/>
      <c r="T669" s="290"/>
      <c r="U669" s="290"/>
      <c r="V669" s="290"/>
      <c r="W669" s="290"/>
      <c r="X669" s="290"/>
      <c r="Y669" s="290"/>
      <c r="Z669" s="290"/>
      <c r="AA669" s="290"/>
      <c r="AB669" s="290"/>
      <c r="AC669" s="290"/>
      <c r="AD669" s="290"/>
      <c r="AE669" s="290"/>
      <c r="AF669" s="290"/>
      <c r="AG669" s="290"/>
      <c r="AH669" s="290"/>
      <c r="AI669" s="290"/>
      <c r="AJ669" s="290"/>
      <c r="AK669" s="290"/>
    </row>
    <row r="670" spans="11:37" x14ac:dyDescent="0.2">
      <c r="K670" s="290"/>
      <c r="L670" s="290"/>
      <c r="M670" s="290"/>
      <c r="N670" s="290"/>
      <c r="O670" s="290"/>
      <c r="P670" s="290"/>
      <c r="Q670" s="290"/>
      <c r="R670" s="290"/>
      <c r="S670" s="290"/>
      <c r="T670" s="290"/>
      <c r="U670" s="290"/>
      <c r="V670" s="290"/>
      <c r="W670" s="290"/>
      <c r="X670" s="290"/>
      <c r="Y670" s="290"/>
      <c r="Z670" s="290"/>
      <c r="AA670" s="290"/>
      <c r="AB670" s="290"/>
      <c r="AC670" s="290"/>
      <c r="AD670" s="290"/>
      <c r="AE670" s="290"/>
      <c r="AF670" s="290"/>
      <c r="AG670" s="290"/>
      <c r="AH670" s="290"/>
      <c r="AI670" s="290"/>
      <c r="AJ670" s="290"/>
      <c r="AK670" s="290"/>
    </row>
    <row r="671" spans="11:37" x14ac:dyDescent="0.2">
      <c r="K671" s="290"/>
      <c r="L671" s="290"/>
      <c r="M671" s="290"/>
      <c r="N671" s="290"/>
      <c r="O671" s="290"/>
      <c r="P671" s="290"/>
      <c r="Q671" s="290"/>
      <c r="R671" s="290"/>
      <c r="S671" s="290"/>
      <c r="T671" s="290"/>
      <c r="U671" s="290"/>
      <c r="V671" s="290"/>
      <c r="W671" s="290"/>
      <c r="X671" s="290"/>
      <c r="Y671" s="290"/>
      <c r="Z671" s="290"/>
      <c r="AA671" s="290"/>
      <c r="AB671" s="290"/>
      <c r="AC671" s="290"/>
      <c r="AD671" s="290"/>
      <c r="AE671" s="290"/>
      <c r="AF671" s="290"/>
      <c r="AG671" s="290"/>
      <c r="AH671" s="290"/>
      <c r="AI671" s="290"/>
      <c r="AJ671" s="290"/>
      <c r="AK671" s="290"/>
    </row>
    <row r="672" spans="11:37" x14ac:dyDescent="0.2">
      <c r="K672" s="290"/>
      <c r="L672" s="290"/>
      <c r="M672" s="290"/>
      <c r="N672" s="290"/>
      <c r="O672" s="290"/>
      <c r="P672" s="290"/>
      <c r="Q672" s="290"/>
      <c r="R672" s="290"/>
      <c r="S672" s="290"/>
      <c r="T672" s="290"/>
      <c r="U672" s="290"/>
      <c r="V672" s="290"/>
      <c r="W672" s="290"/>
      <c r="X672" s="290"/>
      <c r="Y672" s="290"/>
      <c r="Z672" s="290"/>
      <c r="AA672" s="290"/>
      <c r="AB672" s="290"/>
      <c r="AC672" s="290"/>
      <c r="AD672" s="290"/>
      <c r="AE672" s="290"/>
      <c r="AF672" s="290"/>
      <c r="AG672" s="290"/>
      <c r="AH672" s="290"/>
      <c r="AI672" s="290"/>
      <c r="AJ672" s="290"/>
      <c r="AK672" s="290"/>
    </row>
    <row r="673" spans="11:37" x14ac:dyDescent="0.2">
      <c r="K673" s="290"/>
      <c r="L673" s="290"/>
      <c r="M673" s="290"/>
      <c r="N673" s="290"/>
      <c r="O673" s="290"/>
      <c r="P673" s="290"/>
      <c r="Q673" s="290"/>
      <c r="R673" s="290"/>
      <c r="S673" s="290"/>
      <c r="T673" s="290"/>
      <c r="U673" s="290"/>
      <c r="V673" s="290"/>
      <c r="W673" s="290"/>
      <c r="X673" s="290"/>
      <c r="Y673" s="290"/>
      <c r="Z673" s="290"/>
      <c r="AA673" s="290"/>
      <c r="AB673" s="290"/>
      <c r="AC673" s="290"/>
      <c r="AD673" s="290"/>
      <c r="AE673" s="290"/>
      <c r="AF673" s="290"/>
      <c r="AG673" s="290"/>
      <c r="AH673" s="290"/>
      <c r="AI673" s="290"/>
      <c r="AJ673" s="290"/>
      <c r="AK673" s="290"/>
    </row>
    <row r="674" spans="11:37" x14ac:dyDescent="0.2">
      <c r="K674" s="290"/>
      <c r="L674" s="290"/>
      <c r="M674" s="290"/>
      <c r="N674" s="290"/>
      <c r="O674" s="290"/>
      <c r="P674" s="290"/>
      <c r="Q674" s="290"/>
      <c r="R674" s="290"/>
      <c r="S674" s="290"/>
      <c r="T674" s="290"/>
      <c r="U674" s="290"/>
      <c r="V674" s="290"/>
      <c r="W674" s="290"/>
      <c r="X674" s="290"/>
      <c r="Y674" s="290"/>
      <c r="Z674" s="290"/>
      <c r="AA674" s="290"/>
      <c r="AB674" s="290"/>
      <c r="AC674" s="290"/>
      <c r="AD674" s="290"/>
      <c r="AE674" s="290"/>
      <c r="AF674" s="290"/>
      <c r="AG674" s="290"/>
      <c r="AH674" s="290"/>
      <c r="AI674" s="290"/>
      <c r="AJ674" s="290"/>
      <c r="AK674" s="290"/>
    </row>
    <row r="675" spans="11:37" x14ac:dyDescent="0.2">
      <c r="K675" s="290"/>
      <c r="L675" s="290"/>
      <c r="M675" s="290"/>
      <c r="N675" s="290"/>
      <c r="O675" s="290"/>
      <c r="P675" s="290"/>
      <c r="Q675" s="290"/>
      <c r="R675" s="290"/>
      <c r="S675" s="290"/>
      <c r="T675" s="290"/>
      <c r="U675" s="290"/>
      <c r="V675" s="290"/>
      <c r="W675" s="290"/>
      <c r="X675" s="290"/>
      <c r="Y675" s="290"/>
      <c r="Z675" s="290"/>
      <c r="AA675" s="290"/>
      <c r="AB675" s="290"/>
      <c r="AC675" s="290"/>
      <c r="AD675" s="290"/>
      <c r="AE675" s="290"/>
      <c r="AF675" s="290"/>
      <c r="AG675" s="290"/>
      <c r="AH675" s="290"/>
      <c r="AI675" s="290"/>
      <c r="AJ675" s="290"/>
      <c r="AK675" s="290"/>
    </row>
    <row r="676" spans="11:37" x14ac:dyDescent="0.2">
      <c r="K676" s="290"/>
      <c r="L676" s="290"/>
      <c r="M676" s="290"/>
      <c r="N676" s="290"/>
      <c r="O676" s="290"/>
      <c r="P676" s="290"/>
      <c r="Q676" s="290"/>
      <c r="R676" s="290"/>
      <c r="S676" s="290"/>
      <c r="T676" s="290"/>
      <c r="U676" s="290"/>
      <c r="V676" s="290"/>
      <c r="W676" s="290"/>
      <c r="X676" s="290"/>
      <c r="Y676" s="290"/>
      <c r="Z676" s="290"/>
      <c r="AA676" s="290"/>
      <c r="AB676" s="290"/>
      <c r="AC676" s="290"/>
      <c r="AD676" s="290"/>
      <c r="AE676" s="290"/>
      <c r="AF676" s="290"/>
      <c r="AG676" s="290"/>
      <c r="AH676" s="290"/>
      <c r="AI676" s="290"/>
      <c r="AJ676" s="290"/>
      <c r="AK676" s="290"/>
    </row>
    <row r="677" spans="11:37" x14ac:dyDescent="0.2">
      <c r="K677" s="290"/>
      <c r="L677" s="290"/>
      <c r="M677" s="290"/>
      <c r="N677" s="290"/>
      <c r="O677" s="290"/>
      <c r="P677" s="290"/>
      <c r="Q677" s="290"/>
      <c r="R677" s="290"/>
      <c r="S677" s="290"/>
      <c r="T677" s="290"/>
      <c r="U677" s="290"/>
      <c r="V677" s="290"/>
      <c r="W677" s="290"/>
      <c r="X677" s="290"/>
      <c r="Y677" s="290"/>
      <c r="Z677" s="290"/>
      <c r="AA677" s="290"/>
      <c r="AB677" s="290"/>
      <c r="AC677" s="290"/>
      <c r="AD677" s="290"/>
      <c r="AE677" s="290"/>
      <c r="AF677" s="290"/>
      <c r="AG677" s="290"/>
      <c r="AH677" s="290"/>
      <c r="AI677" s="290"/>
      <c r="AJ677" s="290"/>
      <c r="AK677" s="290"/>
    </row>
    <row r="678" spans="11:37" x14ac:dyDescent="0.2">
      <c r="K678" s="290"/>
      <c r="L678" s="290"/>
      <c r="M678" s="290"/>
      <c r="N678" s="290"/>
      <c r="O678" s="290"/>
      <c r="P678" s="290"/>
      <c r="Q678" s="290"/>
      <c r="R678" s="290"/>
      <c r="S678" s="290"/>
      <c r="T678" s="290"/>
      <c r="U678" s="290"/>
      <c r="V678" s="290"/>
      <c r="W678" s="290"/>
      <c r="X678" s="290"/>
      <c r="Y678" s="290"/>
      <c r="Z678" s="290"/>
      <c r="AA678" s="290"/>
      <c r="AB678" s="290"/>
      <c r="AC678" s="290"/>
      <c r="AD678" s="290"/>
      <c r="AE678" s="290"/>
      <c r="AF678" s="290"/>
      <c r="AG678" s="290"/>
      <c r="AH678" s="290"/>
      <c r="AI678" s="290"/>
      <c r="AJ678" s="290"/>
      <c r="AK678" s="290"/>
    </row>
    <row r="679" spans="11:37" x14ac:dyDescent="0.2">
      <c r="K679" s="290"/>
      <c r="L679" s="290"/>
      <c r="M679" s="290"/>
      <c r="N679" s="290"/>
      <c r="O679" s="290"/>
      <c r="P679" s="290"/>
      <c r="Q679" s="290"/>
      <c r="R679" s="290"/>
      <c r="S679" s="290"/>
      <c r="T679" s="290"/>
      <c r="U679" s="290"/>
      <c r="V679" s="290"/>
      <c r="W679" s="290"/>
      <c r="X679" s="290"/>
      <c r="Y679" s="290"/>
      <c r="Z679" s="290"/>
      <c r="AA679" s="290"/>
      <c r="AB679" s="290"/>
      <c r="AC679" s="290"/>
      <c r="AD679" s="290"/>
      <c r="AE679" s="290"/>
      <c r="AF679" s="290"/>
      <c r="AG679" s="290"/>
      <c r="AH679" s="290"/>
      <c r="AI679" s="290"/>
      <c r="AJ679" s="290"/>
      <c r="AK679" s="290"/>
    </row>
    <row r="680" spans="11:37" x14ac:dyDescent="0.2">
      <c r="K680" s="290"/>
      <c r="L680" s="290"/>
      <c r="M680" s="290"/>
      <c r="N680" s="290"/>
      <c r="O680" s="290"/>
      <c r="P680" s="290"/>
      <c r="Q680" s="290"/>
      <c r="R680" s="290"/>
      <c r="S680" s="290"/>
      <c r="T680" s="290"/>
      <c r="U680" s="290"/>
      <c r="V680" s="290"/>
      <c r="W680" s="290"/>
      <c r="X680" s="290"/>
      <c r="Y680" s="290"/>
      <c r="Z680" s="290"/>
      <c r="AA680" s="290"/>
      <c r="AB680" s="290"/>
      <c r="AC680" s="290"/>
      <c r="AD680" s="290"/>
      <c r="AE680" s="290"/>
      <c r="AF680" s="290"/>
      <c r="AG680" s="290"/>
      <c r="AH680" s="290"/>
      <c r="AI680" s="290"/>
      <c r="AJ680" s="290"/>
      <c r="AK680" s="290"/>
    </row>
    <row r="681" spans="11:37" x14ac:dyDescent="0.2">
      <c r="K681" s="290"/>
      <c r="L681" s="290"/>
      <c r="M681" s="290"/>
      <c r="N681" s="290"/>
      <c r="O681" s="290"/>
      <c r="P681" s="290"/>
      <c r="Q681" s="290"/>
      <c r="R681" s="290"/>
      <c r="S681" s="290"/>
      <c r="T681" s="290"/>
      <c r="U681" s="290"/>
      <c r="V681" s="290"/>
      <c r="W681" s="290"/>
      <c r="X681" s="290"/>
      <c r="Y681" s="290"/>
      <c r="Z681" s="290"/>
      <c r="AA681" s="290"/>
      <c r="AB681" s="290"/>
      <c r="AC681" s="290"/>
      <c r="AD681" s="290"/>
      <c r="AE681" s="290"/>
      <c r="AF681" s="290"/>
      <c r="AG681" s="290"/>
      <c r="AH681" s="290"/>
      <c r="AI681" s="290"/>
      <c r="AJ681" s="290"/>
      <c r="AK681" s="290"/>
    </row>
    <row r="682" spans="11:37" x14ac:dyDescent="0.2">
      <c r="K682" s="290"/>
      <c r="L682" s="290"/>
      <c r="M682" s="290"/>
      <c r="N682" s="290"/>
      <c r="O682" s="290"/>
      <c r="P682" s="290"/>
      <c r="Q682" s="290"/>
      <c r="R682" s="290"/>
      <c r="S682" s="290"/>
      <c r="T682" s="290"/>
      <c r="U682" s="290"/>
      <c r="V682" s="290"/>
      <c r="W682" s="290"/>
      <c r="X682" s="290"/>
      <c r="Y682" s="290"/>
      <c r="Z682" s="290"/>
      <c r="AA682" s="290"/>
      <c r="AB682" s="290"/>
      <c r="AC682" s="290"/>
      <c r="AD682" s="290"/>
      <c r="AE682" s="290"/>
      <c r="AF682" s="290"/>
      <c r="AG682" s="290"/>
      <c r="AH682" s="290"/>
      <c r="AI682" s="290"/>
      <c r="AJ682" s="290"/>
      <c r="AK682" s="290"/>
    </row>
    <row r="683" spans="11:37" x14ac:dyDescent="0.2">
      <c r="K683" s="290"/>
      <c r="L683" s="290"/>
      <c r="M683" s="290"/>
      <c r="N683" s="290"/>
      <c r="O683" s="290"/>
      <c r="P683" s="290"/>
      <c r="Q683" s="290"/>
      <c r="R683" s="290"/>
      <c r="S683" s="290"/>
      <c r="T683" s="290"/>
      <c r="U683" s="290"/>
      <c r="V683" s="290"/>
      <c r="W683" s="290"/>
      <c r="X683" s="290"/>
      <c r="Y683" s="290"/>
      <c r="Z683" s="290"/>
      <c r="AA683" s="290"/>
      <c r="AB683" s="290"/>
      <c r="AC683" s="290"/>
      <c r="AD683" s="290"/>
      <c r="AE683" s="290"/>
      <c r="AF683" s="290"/>
      <c r="AG683" s="290"/>
      <c r="AH683" s="290"/>
      <c r="AI683" s="290"/>
      <c r="AJ683" s="290"/>
      <c r="AK683" s="290"/>
    </row>
    <row r="684" spans="11:37" x14ac:dyDescent="0.2">
      <c r="K684" s="290"/>
      <c r="L684" s="290"/>
      <c r="M684" s="290"/>
      <c r="N684" s="290"/>
      <c r="O684" s="290"/>
      <c r="P684" s="290"/>
      <c r="Q684" s="290"/>
      <c r="R684" s="290"/>
      <c r="S684" s="290"/>
      <c r="T684" s="290"/>
      <c r="U684" s="290"/>
      <c r="V684" s="290"/>
      <c r="W684" s="290"/>
      <c r="X684" s="290"/>
      <c r="Y684" s="290"/>
      <c r="Z684" s="290"/>
      <c r="AA684" s="290"/>
      <c r="AB684" s="290"/>
      <c r="AC684" s="290"/>
      <c r="AD684" s="290"/>
      <c r="AE684" s="290"/>
      <c r="AF684" s="290"/>
      <c r="AG684" s="290"/>
      <c r="AH684" s="290"/>
      <c r="AI684" s="290"/>
      <c r="AJ684" s="290"/>
      <c r="AK684" s="290"/>
    </row>
    <row r="685" spans="11:37" x14ac:dyDescent="0.2">
      <c r="K685" s="290"/>
      <c r="L685" s="290"/>
      <c r="M685" s="290"/>
      <c r="N685" s="290"/>
      <c r="O685" s="290"/>
      <c r="P685" s="290"/>
      <c r="Q685" s="290"/>
      <c r="R685" s="290"/>
      <c r="S685" s="290"/>
      <c r="T685" s="290"/>
      <c r="U685" s="290"/>
      <c r="V685" s="290"/>
      <c r="W685" s="290"/>
      <c r="X685" s="290"/>
      <c r="Y685" s="290"/>
      <c r="Z685" s="290"/>
      <c r="AA685" s="290"/>
      <c r="AB685" s="290"/>
      <c r="AC685" s="290"/>
      <c r="AD685" s="290"/>
      <c r="AE685" s="290"/>
      <c r="AF685" s="290"/>
      <c r="AG685" s="290"/>
      <c r="AH685" s="290"/>
      <c r="AI685" s="290"/>
      <c r="AJ685" s="290"/>
      <c r="AK685" s="290"/>
    </row>
    <row r="686" spans="11:37" x14ac:dyDescent="0.2">
      <c r="K686" s="290"/>
      <c r="L686" s="290"/>
      <c r="M686" s="290"/>
      <c r="N686" s="290"/>
      <c r="O686" s="290"/>
      <c r="P686" s="290"/>
      <c r="Q686" s="290"/>
      <c r="R686" s="290"/>
      <c r="S686" s="290"/>
      <c r="T686" s="290"/>
      <c r="U686" s="290"/>
      <c r="V686" s="290"/>
      <c r="W686" s="290"/>
      <c r="X686" s="290"/>
      <c r="Y686" s="290"/>
      <c r="Z686" s="290"/>
      <c r="AA686" s="290"/>
      <c r="AB686" s="290"/>
      <c r="AC686" s="290"/>
      <c r="AD686" s="290"/>
      <c r="AE686" s="290"/>
      <c r="AF686" s="290"/>
      <c r="AG686" s="290"/>
      <c r="AH686" s="290"/>
      <c r="AI686" s="290"/>
      <c r="AJ686" s="290"/>
      <c r="AK686" s="290"/>
    </row>
    <row r="687" spans="11:37" x14ac:dyDescent="0.2">
      <c r="K687" s="290"/>
      <c r="L687" s="290"/>
      <c r="M687" s="290"/>
      <c r="N687" s="290"/>
      <c r="O687" s="290"/>
      <c r="P687" s="290"/>
      <c r="Q687" s="290"/>
      <c r="R687" s="290"/>
      <c r="S687" s="290"/>
      <c r="T687" s="290"/>
      <c r="U687" s="290"/>
      <c r="V687" s="290"/>
      <c r="W687" s="290"/>
      <c r="X687" s="290"/>
      <c r="Y687" s="290"/>
      <c r="Z687" s="290"/>
      <c r="AA687" s="290"/>
      <c r="AB687" s="290"/>
      <c r="AC687" s="290"/>
      <c r="AD687" s="290"/>
      <c r="AE687" s="290"/>
      <c r="AF687" s="290"/>
      <c r="AG687" s="290"/>
      <c r="AH687" s="290"/>
      <c r="AI687" s="290"/>
      <c r="AJ687" s="290"/>
      <c r="AK687" s="290"/>
    </row>
    <row r="688" spans="11:37" x14ac:dyDescent="0.2">
      <c r="K688" s="290"/>
      <c r="L688" s="290"/>
      <c r="M688" s="290"/>
      <c r="N688" s="290"/>
      <c r="O688" s="290"/>
      <c r="P688" s="290"/>
      <c r="Q688" s="290"/>
      <c r="R688" s="290"/>
      <c r="S688" s="290"/>
      <c r="T688" s="290"/>
      <c r="U688" s="290"/>
      <c r="V688" s="290"/>
      <c r="W688" s="290"/>
      <c r="X688" s="290"/>
      <c r="Y688" s="290"/>
      <c r="Z688" s="290"/>
      <c r="AA688" s="290"/>
      <c r="AB688" s="290"/>
      <c r="AC688" s="290"/>
      <c r="AD688" s="290"/>
      <c r="AE688" s="290"/>
      <c r="AF688" s="290"/>
      <c r="AG688" s="290"/>
      <c r="AH688" s="290"/>
      <c r="AI688" s="290"/>
      <c r="AJ688" s="290"/>
      <c r="AK688" s="290"/>
    </row>
    <row r="689" spans="11:37" x14ac:dyDescent="0.2">
      <c r="K689" s="290"/>
      <c r="L689" s="290"/>
      <c r="M689" s="290"/>
      <c r="N689" s="290"/>
      <c r="O689" s="290"/>
      <c r="P689" s="290"/>
      <c r="Q689" s="290"/>
      <c r="R689" s="290"/>
      <c r="S689" s="290"/>
      <c r="T689" s="290"/>
      <c r="U689" s="290"/>
      <c r="V689" s="290"/>
      <c r="W689" s="290"/>
      <c r="X689" s="290"/>
      <c r="Y689" s="290"/>
      <c r="Z689" s="290"/>
      <c r="AA689" s="290"/>
      <c r="AB689" s="290"/>
      <c r="AC689" s="290"/>
      <c r="AD689" s="290"/>
      <c r="AE689" s="290"/>
      <c r="AF689" s="290"/>
      <c r="AG689" s="290"/>
      <c r="AH689" s="290"/>
      <c r="AI689" s="290"/>
      <c r="AJ689" s="290"/>
      <c r="AK689" s="290"/>
    </row>
    <row r="690" spans="11:37" x14ac:dyDescent="0.2">
      <c r="K690" s="290"/>
      <c r="L690" s="290"/>
      <c r="M690" s="290"/>
      <c r="N690" s="290"/>
      <c r="O690" s="290"/>
      <c r="P690" s="290"/>
      <c r="Q690" s="290"/>
      <c r="R690" s="290"/>
      <c r="S690" s="290"/>
      <c r="T690" s="290"/>
      <c r="U690" s="290"/>
      <c r="V690" s="290"/>
      <c r="W690" s="290"/>
      <c r="X690" s="290"/>
      <c r="Y690" s="290"/>
      <c r="Z690" s="290"/>
      <c r="AA690" s="290"/>
      <c r="AB690" s="290"/>
      <c r="AC690" s="290"/>
      <c r="AD690" s="290"/>
      <c r="AE690" s="290"/>
      <c r="AF690" s="290"/>
      <c r="AG690" s="290"/>
      <c r="AH690" s="290"/>
      <c r="AI690" s="290"/>
      <c r="AJ690" s="290"/>
      <c r="AK690" s="290"/>
    </row>
    <row r="691" spans="11:37" x14ac:dyDescent="0.2">
      <c r="K691" s="290"/>
      <c r="L691" s="290"/>
      <c r="M691" s="290"/>
      <c r="N691" s="290"/>
      <c r="O691" s="290"/>
      <c r="P691" s="290"/>
      <c r="Q691" s="290"/>
      <c r="R691" s="290"/>
      <c r="S691" s="290"/>
      <c r="T691" s="290"/>
      <c r="U691" s="290"/>
      <c r="V691" s="290"/>
      <c r="W691" s="290"/>
      <c r="X691" s="290"/>
      <c r="Y691" s="290"/>
      <c r="Z691" s="290"/>
      <c r="AA691" s="290"/>
      <c r="AB691" s="290"/>
      <c r="AC691" s="290"/>
      <c r="AD691" s="290"/>
      <c r="AE691" s="290"/>
      <c r="AF691" s="290"/>
      <c r="AG691" s="290"/>
      <c r="AH691" s="290"/>
      <c r="AI691" s="290"/>
      <c r="AJ691" s="290"/>
      <c r="AK691" s="290"/>
    </row>
    <row r="692" spans="11:37" x14ac:dyDescent="0.2">
      <c r="K692" s="290"/>
      <c r="L692" s="290"/>
      <c r="M692" s="290"/>
      <c r="N692" s="290"/>
      <c r="O692" s="290"/>
      <c r="P692" s="290"/>
      <c r="Q692" s="290"/>
      <c r="R692" s="290"/>
      <c r="S692" s="290"/>
      <c r="T692" s="290"/>
      <c r="U692" s="290"/>
      <c r="V692" s="290"/>
      <c r="W692" s="290"/>
      <c r="X692" s="290"/>
      <c r="Y692" s="290"/>
      <c r="Z692" s="290"/>
      <c r="AA692" s="290"/>
      <c r="AB692" s="290"/>
      <c r="AC692" s="290"/>
      <c r="AD692" s="290"/>
      <c r="AE692" s="290"/>
      <c r="AF692" s="290"/>
      <c r="AG692" s="290"/>
      <c r="AH692" s="290"/>
      <c r="AI692" s="290"/>
      <c r="AJ692" s="290"/>
      <c r="AK692" s="290"/>
    </row>
    <row r="693" spans="11:37" x14ac:dyDescent="0.2">
      <c r="K693" s="290"/>
      <c r="L693" s="290"/>
      <c r="M693" s="290"/>
      <c r="N693" s="290"/>
      <c r="O693" s="290"/>
      <c r="P693" s="290"/>
      <c r="Q693" s="290"/>
      <c r="R693" s="290"/>
      <c r="S693" s="290"/>
      <c r="T693" s="290"/>
      <c r="U693" s="290"/>
      <c r="V693" s="290"/>
      <c r="W693" s="290"/>
      <c r="X693" s="290"/>
      <c r="Y693" s="290"/>
      <c r="Z693" s="290"/>
      <c r="AA693" s="290"/>
      <c r="AB693" s="290"/>
      <c r="AC693" s="290"/>
      <c r="AD693" s="290"/>
      <c r="AE693" s="290"/>
      <c r="AF693" s="290"/>
      <c r="AG693" s="290"/>
      <c r="AH693" s="290"/>
      <c r="AI693" s="290"/>
      <c r="AJ693" s="290"/>
      <c r="AK693" s="290"/>
    </row>
    <row r="694" spans="11:37" x14ac:dyDescent="0.2">
      <c r="K694" s="290"/>
      <c r="L694" s="290"/>
      <c r="M694" s="290"/>
      <c r="N694" s="290"/>
      <c r="O694" s="290"/>
      <c r="P694" s="290"/>
      <c r="Q694" s="290"/>
      <c r="R694" s="290"/>
      <c r="S694" s="290"/>
      <c r="T694" s="290"/>
      <c r="U694" s="290"/>
      <c r="V694" s="290"/>
      <c r="W694" s="290"/>
      <c r="X694" s="290"/>
      <c r="Y694" s="290"/>
      <c r="Z694" s="290"/>
      <c r="AA694" s="290"/>
      <c r="AB694" s="290"/>
      <c r="AC694" s="290"/>
      <c r="AD694" s="290"/>
      <c r="AE694" s="290"/>
      <c r="AF694" s="290"/>
      <c r="AG694" s="290"/>
      <c r="AH694" s="290"/>
      <c r="AI694" s="290"/>
      <c r="AJ694" s="290"/>
      <c r="AK694" s="290"/>
    </row>
    <row r="695" spans="11:37" x14ac:dyDescent="0.2">
      <c r="K695" s="290"/>
      <c r="L695" s="290"/>
      <c r="M695" s="290"/>
      <c r="N695" s="290"/>
      <c r="O695" s="290"/>
      <c r="P695" s="290"/>
      <c r="Q695" s="290"/>
      <c r="R695" s="290"/>
      <c r="S695" s="290"/>
      <c r="T695" s="290"/>
      <c r="U695" s="290"/>
      <c r="V695" s="290"/>
      <c r="W695" s="290"/>
      <c r="X695" s="290"/>
      <c r="Y695" s="290"/>
      <c r="Z695" s="290"/>
      <c r="AA695" s="290"/>
      <c r="AB695" s="290"/>
      <c r="AC695" s="290"/>
      <c r="AD695" s="290"/>
      <c r="AE695" s="290"/>
      <c r="AF695" s="290"/>
      <c r="AG695" s="290"/>
      <c r="AH695" s="290"/>
      <c r="AI695" s="290"/>
      <c r="AJ695" s="290"/>
      <c r="AK695" s="290"/>
    </row>
    <row r="696" spans="11:37" x14ac:dyDescent="0.2">
      <c r="K696" s="290"/>
      <c r="L696" s="290"/>
      <c r="M696" s="290"/>
      <c r="N696" s="290"/>
      <c r="O696" s="290"/>
      <c r="P696" s="290"/>
      <c r="Q696" s="290"/>
      <c r="R696" s="290"/>
      <c r="S696" s="290"/>
      <c r="T696" s="290"/>
      <c r="U696" s="290"/>
      <c r="V696" s="290"/>
      <c r="W696" s="290"/>
      <c r="X696" s="290"/>
      <c r="Y696" s="290"/>
      <c r="Z696" s="290"/>
      <c r="AA696" s="290"/>
      <c r="AB696" s="290"/>
      <c r="AC696" s="290"/>
      <c r="AD696" s="290"/>
      <c r="AE696" s="290"/>
      <c r="AF696" s="290"/>
      <c r="AG696" s="290"/>
      <c r="AH696" s="290"/>
      <c r="AI696" s="290"/>
      <c r="AJ696" s="290"/>
      <c r="AK696" s="290"/>
    </row>
    <row r="697" spans="11:37" x14ac:dyDescent="0.2">
      <c r="K697" s="290"/>
      <c r="L697" s="290"/>
      <c r="M697" s="290"/>
      <c r="N697" s="290"/>
      <c r="O697" s="290"/>
      <c r="P697" s="290"/>
      <c r="Q697" s="290"/>
      <c r="R697" s="290"/>
      <c r="S697" s="290"/>
      <c r="T697" s="290"/>
      <c r="U697" s="290"/>
      <c r="V697" s="290"/>
      <c r="W697" s="290"/>
      <c r="X697" s="290"/>
      <c r="Y697" s="290"/>
      <c r="Z697" s="290"/>
      <c r="AA697" s="290"/>
      <c r="AB697" s="290"/>
      <c r="AC697" s="290"/>
      <c r="AD697" s="290"/>
      <c r="AE697" s="290"/>
      <c r="AF697" s="290"/>
      <c r="AG697" s="290"/>
      <c r="AH697" s="290"/>
      <c r="AI697" s="290"/>
      <c r="AJ697" s="290"/>
      <c r="AK697" s="290"/>
    </row>
    <row r="698" spans="11:37" x14ac:dyDescent="0.2">
      <c r="K698" s="290"/>
      <c r="L698" s="290"/>
      <c r="M698" s="290"/>
      <c r="N698" s="290"/>
      <c r="O698" s="290"/>
      <c r="P698" s="290"/>
      <c r="Q698" s="290"/>
      <c r="R698" s="290"/>
      <c r="S698" s="290"/>
      <c r="T698" s="290"/>
      <c r="U698" s="290"/>
      <c r="V698" s="290"/>
      <c r="W698" s="290"/>
      <c r="X698" s="290"/>
      <c r="Y698" s="290"/>
      <c r="Z698" s="290"/>
      <c r="AA698" s="290"/>
      <c r="AB698" s="290"/>
      <c r="AC698" s="290"/>
      <c r="AD698" s="290"/>
      <c r="AE698" s="290"/>
      <c r="AF698" s="290"/>
      <c r="AG698" s="290"/>
      <c r="AH698" s="290"/>
      <c r="AI698" s="290"/>
      <c r="AJ698" s="290"/>
      <c r="AK698" s="290"/>
    </row>
    <row r="699" spans="11:37" x14ac:dyDescent="0.2">
      <c r="K699" s="290"/>
      <c r="L699" s="290"/>
      <c r="M699" s="290"/>
      <c r="N699" s="290"/>
      <c r="O699" s="290"/>
      <c r="P699" s="290"/>
      <c r="Q699" s="290"/>
      <c r="R699" s="290"/>
      <c r="S699" s="290"/>
      <c r="T699" s="290"/>
      <c r="U699" s="290"/>
      <c r="V699" s="290"/>
      <c r="W699" s="290"/>
      <c r="X699" s="290"/>
      <c r="Y699" s="290"/>
      <c r="Z699" s="290"/>
      <c r="AA699" s="290"/>
      <c r="AB699" s="290"/>
      <c r="AC699" s="290"/>
      <c r="AD699" s="290"/>
      <c r="AE699" s="290"/>
      <c r="AF699" s="290"/>
      <c r="AG699" s="290"/>
      <c r="AH699" s="290"/>
      <c r="AI699" s="290"/>
      <c r="AJ699" s="290"/>
      <c r="AK699" s="290"/>
    </row>
    <row r="700" spans="11:37" x14ac:dyDescent="0.2">
      <c r="K700" s="290"/>
      <c r="L700" s="290"/>
      <c r="M700" s="290"/>
      <c r="N700" s="290"/>
      <c r="O700" s="290"/>
      <c r="P700" s="290"/>
      <c r="Q700" s="290"/>
      <c r="R700" s="290"/>
      <c r="S700" s="290"/>
      <c r="T700" s="290"/>
      <c r="U700" s="290"/>
      <c r="V700" s="290"/>
      <c r="W700" s="290"/>
      <c r="X700" s="290"/>
      <c r="Y700" s="290"/>
      <c r="Z700" s="290"/>
      <c r="AA700" s="290"/>
      <c r="AB700" s="290"/>
      <c r="AC700" s="290"/>
      <c r="AD700" s="290"/>
      <c r="AE700" s="290"/>
      <c r="AF700" s="290"/>
      <c r="AG700" s="290"/>
      <c r="AH700" s="290"/>
      <c r="AI700" s="290"/>
      <c r="AJ700" s="290"/>
      <c r="AK700" s="290"/>
    </row>
    <row r="701" spans="11:37" x14ac:dyDescent="0.2">
      <c r="K701" s="290"/>
      <c r="L701" s="290"/>
      <c r="M701" s="290"/>
      <c r="N701" s="290"/>
      <c r="O701" s="290"/>
      <c r="P701" s="290"/>
      <c r="Q701" s="290"/>
      <c r="R701" s="290"/>
      <c r="S701" s="290"/>
      <c r="T701" s="290"/>
      <c r="U701" s="290"/>
      <c r="V701" s="290"/>
      <c r="W701" s="290"/>
      <c r="X701" s="290"/>
      <c r="Y701" s="290"/>
      <c r="Z701" s="290"/>
      <c r="AA701" s="290"/>
      <c r="AB701" s="290"/>
      <c r="AC701" s="290"/>
      <c r="AD701" s="290"/>
      <c r="AE701" s="290"/>
      <c r="AF701" s="290"/>
      <c r="AG701" s="290"/>
      <c r="AH701" s="290"/>
      <c r="AI701" s="290"/>
      <c r="AJ701" s="290"/>
      <c r="AK701" s="290"/>
    </row>
    <row r="702" spans="11:37" x14ac:dyDescent="0.2">
      <c r="K702" s="290"/>
      <c r="L702" s="290"/>
      <c r="M702" s="290"/>
      <c r="N702" s="290"/>
      <c r="O702" s="290"/>
      <c r="P702" s="290"/>
      <c r="Q702" s="290"/>
      <c r="R702" s="290"/>
      <c r="S702" s="290"/>
      <c r="T702" s="290"/>
      <c r="U702" s="290"/>
      <c r="V702" s="290"/>
      <c r="W702" s="290"/>
      <c r="X702" s="290"/>
      <c r="Y702" s="290"/>
      <c r="Z702" s="290"/>
      <c r="AA702" s="290"/>
      <c r="AB702" s="290"/>
      <c r="AC702" s="290"/>
      <c r="AD702" s="290"/>
      <c r="AE702" s="290"/>
      <c r="AF702" s="290"/>
      <c r="AG702" s="290"/>
      <c r="AH702" s="290"/>
      <c r="AI702" s="290"/>
      <c r="AJ702" s="290"/>
      <c r="AK702" s="290"/>
    </row>
    <row r="703" spans="11:37" x14ac:dyDescent="0.2">
      <c r="K703" s="290"/>
      <c r="L703" s="290"/>
      <c r="M703" s="290"/>
      <c r="N703" s="290"/>
      <c r="O703" s="290"/>
      <c r="P703" s="290"/>
      <c r="Q703" s="290"/>
      <c r="R703" s="290"/>
      <c r="S703" s="290"/>
      <c r="T703" s="290"/>
      <c r="U703" s="290"/>
      <c r="V703" s="290"/>
      <c r="W703" s="290"/>
      <c r="X703" s="290"/>
      <c r="Y703" s="290"/>
      <c r="Z703" s="290"/>
      <c r="AA703" s="290"/>
      <c r="AB703" s="290"/>
      <c r="AC703" s="290"/>
      <c r="AD703" s="290"/>
      <c r="AE703" s="290"/>
      <c r="AF703" s="290"/>
      <c r="AG703" s="290"/>
      <c r="AH703" s="290"/>
      <c r="AI703" s="290"/>
      <c r="AJ703" s="290"/>
      <c r="AK703" s="290"/>
    </row>
    <row r="704" spans="11:37" x14ac:dyDescent="0.2">
      <c r="K704" s="290"/>
      <c r="L704" s="290"/>
      <c r="M704" s="290"/>
      <c r="N704" s="290"/>
      <c r="O704" s="290"/>
      <c r="P704" s="290"/>
      <c r="Q704" s="290"/>
      <c r="R704" s="290"/>
      <c r="S704" s="290"/>
      <c r="T704" s="290"/>
      <c r="U704" s="290"/>
      <c r="V704" s="290"/>
      <c r="W704" s="290"/>
      <c r="X704" s="290"/>
      <c r="Y704" s="290"/>
      <c r="Z704" s="290"/>
      <c r="AA704" s="290"/>
      <c r="AB704" s="290"/>
      <c r="AC704" s="290"/>
      <c r="AD704" s="290"/>
      <c r="AE704" s="290"/>
      <c r="AF704" s="290"/>
      <c r="AG704" s="290"/>
      <c r="AH704" s="290"/>
      <c r="AI704" s="290"/>
      <c r="AJ704" s="290"/>
      <c r="AK704" s="290"/>
    </row>
    <row r="705" spans="11:37" x14ac:dyDescent="0.2">
      <c r="K705" s="290"/>
      <c r="L705" s="290"/>
      <c r="M705" s="290"/>
      <c r="N705" s="290"/>
      <c r="O705" s="290"/>
      <c r="P705" s="290"/>
      <c r="Q705" s="290"/>
      <c r="R705" s="290"/>
      <c r="S705" s="290"/>
      <c r="T705" s="290"/>
      <c r="U705" s="290"/>
      <c r="V705" s="290"/>
      <c r="W705" s="290"/>
      <c r="X705" s="290"/>
      <c r="Y705" s="290"/>
      <c r="Z705" s="290"/>
      <c r="AA705" s="290"/>
      <c r="AB705" s="290"/>
      <c r="AC705" s="290"/>
      <c r="AD705" s="290"/>
      <c r="AE705" s="290"/>
      <c r="AF705" s="290"/>
      <c r="AG705" s="290"/>
      <c r="AH705" s="290"/>
      <c r="AI705" s="290"/>
      <c r="AJ705" s="290"/>
      <c r="AK705" s="290"/>
    </row>
    <row r="706" spans="11:37" x14ac:dyDescent="0.2">
      <c r="K706" s="290"/>
      <c r="L706" s="290"/>
      <c r="M706" s="290"/>
      <c r="N706" s="290"/>
      <c r="O706" s="290"/>
      <c r="P706" s="290"/>
      <c r="Q706" s="290"/>
      <c r="R706" s="290"/>
      <c r="S706" s="290"/>
      <c r="T706" s="290"/>
      <c r="U706" s="290"/>
      <c r="V706" s="290"/>
      <c r="W706" s="290"/>
      <c r="X706" s="290"/>
      <c r="Y706" s="290"/>
      <c r="Z706" s="290"/>
      <c r="AA706" s="290"/>
      <c r="AB706" s="290"/>
      <c r="AC706" s="290"/>
      <c r="AD706" s="290"/>
      <c r="AE706" s="290"/>
      <c r="AF706" s="290"/>
      <c r="AG706" s="290"/>
      <c r="AH706" s="290"/>
      <c r="AI706" s="290"/>
      <c r="AJ706" s="290"/>
      <c r="AK706" s="290"/>
    </row>
    <row r="707" spans="11:37" x14ac:dyDescent="0.2">
      <c r="K707" s="290"/>
      <c r="L707" s="290"/>
      <c r="M707" s="290"/>
      <c r="N707" s="290"/>
      <c r="O707" s="290"/>
      <c r="P707" s="290"/>
      <c r="Q707" s="290"/>
      <c r="R707" s="290"/>
      <c r="S707" s="290"/>
      <c r="T707" s="290"/>
      <c r="U707" s="290"/>
      <c r="V707" s="290"/>
      <c r="W707" s="290"/>
      <c r="X707" s="290"/>
      <c r="Y707" s="290"/>
      <c r="Z707" s="290"/>
      <c r="AA707" s="290"/>
      <c r="AB707" s="290"/>
      <c r="AC707" s="290"/>
      <c r="AD707" s="290"/>
      <c r="AE707" s="290"/>
      <c r="AF707" s="290"/>
      <c r="AG707" s="290"/>
      <c r="AH707" s="290"/>
      <c r="AI707" s="290"/>
      <c r="AJ707" s="290"/>
      <c r="AK707" s="290"/>
    </row>
    <row r="708" spans="11:37" x14ac:dyDescent="0.2">
      <c r="K708" s="290"/>
      <c r="L708" s="290"/>
      <c r="M708" s="290"/>
      <c r="N708" s="290"/>
      <c r="O708" s="290"/>
      <c r="P708" s="290"/>
      <c r="Q708" s="290"/>
      <c r="R708" s="290"/>
      <c r="S708" s="290"/>
      <c r="T708" s="290"/>
      <c r="U708" s="290"/>
      <c r="V708" s="290"/>
      <c r="W708" s="290"/>
      <c r="X708" s="290"/>
      <c r="Y708" s="290"/>
      <c r="Z708" s="290"/>
      <c r="AA708" s="290"/>
      <c r="AB708" s="290"/>
      <c r="AC708" s="290"/>
      <c r="AD708" s="290"/>
      <c r="AE708" s="290"/>
      <c r="AF708" s="290"/>
      <c r="AG708" s="290"/>
      <c r="AH708" s="290"/>
      <c r="AI708" s="290"/>
      <c r="AJ708" s="290"/>
      <c r="AK708" s="290"/>
    </row>
    <row r="709" spans="11:37" x14ac:dyDescent="0.2">
      <c r="K709" s="290"/>
      <c r="L709" s="290"/>
      <c r="M709" s="290"/>
      <c r="N709" s="290"/>
      <c r="O709" s="290"/>
      <c r="P709" s="290"/>
      <c r="Q709" s="290"/>
      <c r="R709" s="290"/>
      <c r="S709" s="290"/>
      <c r="T709" s="290"/>
      <c r="U709" s="290"/>
      <c r="V709" s="290"/>
      <c r="W709" s="290"/>
      <c r="X709" s="290"/>
      <c r="Y709" s="290"/>
      <c r="Z709" s="290"/>
      <c r="AA709" s="290"/>
      <c r="AB709" s="290"/>
      <c r="AC709" s="290"/>
      <c r="AD709" s="290"/>
      <c r="AE709" s="290"/>
      <c r="AF709" s="290"/>
      <c r="AG709" s="290"/>
      <c r="AH709" s="290"/>
      <c r="AI709" s="290"/>
      <c r="AJ709" s="290"/>
      <c r="AK709" s="290"/>
    </row>
    <row r="710" spans="11:37" x14ac:dyDescent="0.2">
      <c r="K710" s="290"/>
      <c r="L710" s="290"/>
      <c r="M710" s="290"/>
      <c r="N710" s="290"/>
      <c r="O710" s="290"/>
      <c r="P710" s="290"/>
      <c r="Q710" s="290"/>
      <c r="R710" s="290"/>
      <c r="S710" s="290"/>
      <c r="T710" s="290"/>
      <c r="U710" s="290"/>
      <c r="V710" s="290"/>
      <c r="W710" s="290"/>
      <c r="X710" s="290"/>
      <c r="Y710" s="290"/>
      <c r="Z710" s="290"/>
      <c r="AA710" s="290"/>
      <c r="AB710" s="290"/>
      <c r="AC710" s="290"/>
      <c r="AD710" s="290"/>
      <c r="AE710" s="290"/>
      <c r="AF710" s="290"/>
      <c r="AG710" s="290"/>
      <c r="AH710" s="290"/>
      <c r="AI710" s="290"/>
      <c r="AJ710" s="290"/>
      <c r="AK710" s="290"/>
    </row>
    <row r="711" spans="11:37" x14ac:dyDescent="0.2">
      <c r="K711" s="290"/>
      <c r="L711" s="290"/>
      <c r="M711" s="290"/>
      <c r="N711" s="290"/>
      <c r="O711" s="290"/>
      <c r="P711" s="290"/>
      <c r="Q711" s="290"/>
      <c r="R711" s="290"/>
      <c r="S711" s="290"/>
      <c r="T711" s="290"/>
      <c r="U711" s="290"/>
      <c r="V711" s="290"/>
      <c r="W711" s="290"/>
      <c r="X711" s="290"/>
      <c r="Y711" s="290"/>
      <c r="Z711" s="290"/>
      <c r="AA711" s="290"/>
      <c r="AB711" s="290"/>
      <c r="AC711" s="290"/>
      <c r="AD711" s="290"/>
      <c r="AE711" s="290"/>
      <c r="AF711" s="290"/>
      <c r="AG711" s="290"/>
      <c r="AH711" s="290"/>
      <c r="AI711" s="290"/>
      <c r="AJ711" s="290"/>
      <c r="AK711" s="290"/>
    </row>
    <row r="712" spans="11:37" x14ac:dyDescent="0.2">
      <c r="K712" s="290"/>
      <c r="L712" s="290"/>
      <c r="M712" s="290"/>
      <c r="N712" s="290"/>
      <c r="O712" s="290"/>
      <c r="P712" s="290"/>
      <c r="Q712" s="290"/>
      <c r="R712" s="290"/>
      <c r="S712" s="290"/>
      <c r="T712" s="290"/>
      <c r="U712" s="290"/>
      <c r="V712" s="290"/>
      <c r="W712" s="290"/>
      <c r="X712" s="290"/>
      <c r="Y712" s="290"/>
      <c r="Z712" s="290"/>
      <c r="AA712" s="290"/>
      <c r="AB712" s="290"/>
      <c r="AC712" s="290"/>
      <c r="AD712" s="290"/>
      <c r="AE712" s="290"/>
      <c r="AF712" s="290"/>
      <c r="AG712" s="290"/>
      <c r="AH712" s="290"/>
      <c r="AI712" s="290"/>
      <c r="AJ712" s="290"/>
      <c r="AK712" s="290"/>
    </row>
    <row r="713" spans="11:37" x14ac:dyDescent="0.2">
      <c r="K713" s="290"/>
      <c r="L713" s="290"/>
      <c r="M713" s="290"/>
      <c r="N713" s="290"/>
      <c r="O713" s="290"/>
      <c r="P713" s="290"/>
      <c r="Q713" s="290"/>
      <c r="R713" s="290"/>
      <c r="S713" s="290"/>
      <c r="T713" s="290"/>
      <c r="U713" s="290"/>
      <c r="V713" s="290"/>
      <c r="W713" s="290"/>
      <c r="X713" s="290"/>
      <c r="Y713" s="290"/>
      <c r="Z713" s="290"/>
      <c r="AA713" s="290"/>
      <c r="AB713" s="290"/>
      <c r="AC713" s="290"/>
      <c r="AD713" s="290"/>
      <c r="AE713" s="290"/>
      <c r="AF713" s="290"/>
      <c r="AG713" s="290"/>
      <c r="AH713" s="290"/>
      <c r="AI713" s="290"/>
      <c r="AJ713" s="290"/>
      <c r="AK713" s="290"/>
    </row>
    <row r="714" spans="11:37" x14ac:dyDescent="0.2">
      <c r="K714" s="290"/>
      <c r="L714" s="290"/>
      <c r="M714" s="290"/>
      <c r="N714" s="290"/>
      <c r="O714" s="290"/>
      <c r="P714" s="290"/>
      <c r="Q714" s="290"/>
      <c r="R714" s="290"/>
      <c r="S714" s="290"/>
      <c r="T714" s="290"/>
      <c r="U714" s="290"/>
      <c r="V714" s="290"/>
      <c r="W714" s="290"/>
      <c r="X714" s="290"/>
      <c r="Y714" s="290"/>
      <c r="Z714" s="290"/>
      <c r="AA714" s="290"/>
      <c r="AB714" s="290"/>
      <c r="AC714" s="290"/>
      <c r="AD714" s="290"/>
      <c r="AE714" s="290"/>
      <c r="AF714" s="290"/>
      <c r="AG714" s="290"/>
      <c r="AH714" s="290"/>
      <c r="AI714" s="290"/>
      <c r="AJ714" s="290"/>
      <c r="AK714" s="290"/>
    </row>
    <row r="715" spans="11:37" x14ac:dyDescent="0.2">
      <c r="K715" s="290"/>
      <c r="L715" s="290"/>
      <c r="M715" s="290"/>
      <c r="N715" s="290"/>
      <c r="O715" s="290"/>
      <c r="P715" s="290"/>
      <c r="Q715" s="290"/>
      <c r="R715" s="290"/>
      <c r="S715" s="290"/>
      <c r="T715" s="290"/>
      <c r="U715" s="290"/>
      <c r="V715" s="290"/>
      <c r="W715" s="290"/>
      <c r="X715" s="290"/>
      <c r="Y715" s="290"/>
      <c r="Z715" s="290"/>
      <c r="AA715" s="290"/>
      <c r="AB715" s="290"/>
      <c r="AC715" s="290"/>
      <c r="AD715" s="290"/>
      <c r="AE715" s="290"/>
      <c r="AF715" s="290"/>
      <c r="AG715" s="290"/>
      <c r="AH715" s="290"/>
      <c r="AI715" s="290"/>
      <c r="AJ715" s="290"/>
      <c r="AK715" s="290"/>
    </row>
    <row r="716" spans="11:37" x14ac:dyDescent="0.2">
      <c r="K716" s="290"/>
      <c r="L716" s="290"/>
      <c r="M716" s="290"/>
      <c r="N716" s="290"/>
      <c r="O716" s="290"/>
      <c r="P716" s="290"/>
      <c r="Q716" s="290"/>
      <c r="R716" s="290"/>
      <c r="S716" s="290"/>
      <c r="T716" s="290"/>
      <c r="U716" s="290"/>
      <c r="V716" s="290"/>
      <c r="W716" s="290"/>
      <c r="X716" s="290"/>
      <c r="Y716" s="290"/>
      <c r="Z716" s="290"/>
      <c r="AA716" s="290"/>
      <c r="AB716" s="290"/>
      <c r="AC716" s="290"/>
      <c r="AD716" s="290"/>
      <c r="AE716" s="290"/>
      <c r="AF716" s="290"/>
      <c r="AG716" s="290"/>
      <c r="AH716" s="290"/>
      <c r="AI716" s="290"/>
      <c r="AJ716" s="290"/>
      <c r="AK716" s="290"/>
    </row>
    <row r="717" spans="11:37" x14ac:dyDescent="0.2">
      <c r="K717" s="290"/>
      <c r="L717" s="290"/>
      <c r="M717" s="290"/>
      <c r="N717" s="290"/>
      <c r="O717" s="290"/>
      <c r="P717" s="290"/>
      <c r="Q717" s="290"/>
      <c r="R717" s="290"/>
      <c r="S717" s="290"/>
      <c r="T717" s="290"/>
      <c r="U717" s="290"/>
      <c r="V717" s="290"/>
      <c r="W717" s="290"/>
      <c r="X717" s="290"/>
      <c r="Y717" s="290"/>
      <c r="Z717" s="290"/>
      <c r="AA717" s="290"/>
      <c r="AB717" s="290"/>
      <c r="AC717" s="290"/>
      <c r="AD717" s="290"/>
      <c r="AE717" s="290"/>
      <c r="AF717" s="290"/>
      <c r="AG717" s="290"/>
      <c r="AH717" s="290"/>
      <c r="AI717" s="290"/>
      <c r="AJ717" s="290"/>
      <c r="AK717" s="290"/>
    </row>
    <row r="718" spans="11:37" x14ac:dyDescent="0.2">
      <c r="K718" s="290"/>
      <c r="L718" s="290"/>
      <c r="M718" s="290"/>
      <c r="N718" s="290"/>
      <c r="O718" s="290"/>
      <c r="P718" s="290"/>
      <c r="Q718" s="290"/>
      <c r="R718" s="290"/>
      <c r="S718" s="290"/>
      <c r="T718" s="290"/>
      <c r="U718" s="290"/>
      <c r="V718" s="290"/>
      <c r="W718" s="290"/>
      <c r="X718" s="290"/>
      <c r="Y718" s="290"/>
      <c r="Z718" s="290"/>
      <c r="AA718" s="290"/>
      <c r="AB718" s="290"/>
      <c r="AC718" s="290"/>
      <c r="AD718" s="290"/>
      <c r="AE718" s="290"/>
      <c r="AF718" s="290"/>
      <c r="AG718" s="290"/>
      <c r="AH718" s="290"/>
      <c r="AI718" s="290"/>
      <c r="AJ718" s="290"/>
      <c r="AK718" s="290"/>
    </row>
    <row r="719" spans="11:37" x14ac:dyDescent="0.2">
      <c r="K719" s="290"/>
      <c r="L719" s="290"/>
      <c r="M719" s="290"/>
      <c r="N719" s="290"/>
      <c r="O719" s="290"/>
      <c r="P719" s="290"/>
      <c r="Q719" s="290"/>
      <c r="R719" s="290"/>
      <c r="S719" s="290"/>
      <c r="T719" s="290"/>
      <c r="U719" s="290"/>
      <c r="V719" s="290"/>
      <c r="W719" s="290"/>
      <c r="X719" s="290"/>
      <c r="Y719" s="290"/>
      <c r="Z719" s="290"/>
      <c r="AA719" s="290"/>
      <c r="AB719" s="290"/>
      <c r="AC719" s="290"/>
      <c r="AD719" s="290"/>
      <c r="AE719" s="290"/>
      <c r="AF719" s="290"/>
      <c r="AG719" s="290"/>
      <c r="AH719" s="290"/>
      <c r="AI719" s="290"/>
      <c r="AJ719" s="290"/>
      <c r="AK719" s="290"/>
    </row>
    <row r="720" spans="11:37" x14ac:dyDescent="0.2">
      <c r="K720" s="290"/>
      <c r="L720" s="290"/>
      <c r="M720" s="290"/>
      <c r="N720" s="290"/>
      <c r="O720" s="290"/>
      <c r="P720" s="290"/>
      <c r="Q720" s="290"/>
      <c r="R720" s="290"/>
      <c r="S720" s="290"/>
      <c r="T720" s="290"/>
      <c r="U720" s="290"/>
      <c r="V720" s="290"/>
      <c r="W720" s="290"/>
      <c r="X720" s="290"/>
      <c r="Y720" s="290"/>
      <c r="Z720" s="290"/>
      <c r="AA720" s="290"/>
      <c r="AB720" s="290"/>
      <c r="AC720" s="290"/>
      <c r="AD720" s="290"/>
      <c r="AE720" s="290"/>
      <c r="AF720" s="290"/>
      <c r="AG720" s="290"/>
      <c r="AH720" s="290"/>
      <c r="AI720" s="290"/>
      <c r="AJ720" s="290"/>
      <c r="AK720" s="290"/>
    </row>
    <row r="721" spans="11:37" x14ac:dyDescent="0.2">
      <c r="K721" s="290"/>
      <c r="L721" s="290"/>
      <c r="M721" s="290"/>
      <c r="N721" s="290"/>
      <c r="O721" s="290"/>
      <c r="P721" s="290"/>
      <c r="Q721" s="290"/>
      <c r="R721" s="290"/>
      <c r="S721" s="290"/>
      <c r="T721" s="290"/>
      <c r="U721" s="290"/>
      <c r="V721" s="290"/>
      <c r="W721" s="290"/>
      <c r="X721" s="290"/>
      <c r="Y721" s="290"/>
      <c r="Z721" s="290"/>
      <c r="AA721" s="290"/>
      <c r="AB721" s="290"/>
      <c r="AC721" s="290"/>
      <c r="AD721" s="290"/>
      <c r="AE721" s="290"/>
      <c r="AF721" s="290"/>
      <c r="AG721" s="290"/>
      <c r="AH721" s="290"/>
      <c r="AI721" s="290"/>
      <c r="AJ721" s="290"/>
      <c r="AK721" s="290"/>
    </row>
    <row r="722" spans="11:37" x14ac:dyDescent="0.2">
      <c r="K722" s="290"/>
      <c r="L722" s="290"/>
      <c r="M722" s="290"/>
      <c r="N722" s="290"/>
      <c r="O722" s="290"/>
      <c r="P722" s="290"/>
      <c r="Q722" s="290"/>
      <c r="R722" s="290"/>
      <c r="S722" s="290"/>
      <c r="T722" s="290"/>
      <c r="U722" s="290"/>
      <c r="V722" s="290"/>
      <c r="W722" s="290"/>
      <c r="X722" s="290"/>
      <c r="Y722" s="290"/>
      <c r="Z722" s="290"/>
      <c r="AA722" s="290"/>
      <c r="AB722" s="290"/>
      <c r="AC722" s="290"/>
      <c r="AD722" s="290"/>
      <c r="AE722" s="290"/>
      <c r="AF722" s="290"/>
      <c r="AG722" s="290"/>
      <c r="AH722" s="290"/>
      <c r="AI722" s="290"/>
      <c r="AJ722" s="290"/>
      <c r="AK722" s="290"/>
    </row>
    <row r="723" spans="11:37" x14ac:dyDescent="0.2">
      <c r="K723" s="290"/>
      <c r="L723" s="290"/>
      <c r="M723" s="290"/>
      <c r="N723" s="290"/>
      <c r="O723" s="290"/>
      <c r="P723" s="290"/>
      <c r="Q723" s="290"/>
      <c r="R723" s="290"/>
      <c r="S723" s="290"/>
      <c r="T723" s="290"/>
      <c r="U723" s="290"/>
      <c r="V723" s="290"/>
      <c r="W723" s="290"/>
      <c r="X723" s="290"/>
      <c r="Y723" s="290"/>
      <c r="Z723" s="290"/>
      <c r="AA723" s="290"/>
      <c r="AB723" s="290"/>
      <c r="AC723" s="290"/>
      <c r="AD723" s="290"/>
      <c r="AE723" s="290"/>
      <c r="AF723" s="290"/>
      <c r="AG723" s="290"/>
      <c r="AH723" s="290"/>
      <c r="AI723" s="290"/>
      <c r="AJ723" s="290"/>
      <c r="AK723" s="290"/>
    </row>
    <row r="724" spans="11:37" x14ac:dyDescent="0.2">
      <c r="K724" s="290"/>
      <c r="L724" s="290"/>
      <c r="M724" s="290"/>
      <c r="N724" s="290"/>
      <c r="O724" s="290"/>
      <c r="P724" s="290"/>
      <c r="Q724" s="290"/>
      <c r="R724" s="290"/>
      <c r="S724" s="290"/>
      <c r="T724" s="290"/>
      <c r="U724" s="290"/>
      <c r="V724" s="290"/>
      <c r="W724" s="290"/>
      <c r="X724" s="290"/>
      <c r="Y724" s="290"/>
      <c r="Z724" s="290"/>
      <c r="AA724" s="290"/>
      <c r="AB724" s="290"/>
      <c r="AC724" s="290"/>
      <c r="AD724" s="290"/>
      <c r="AE724" s="290"/>
      <c r="AF724" s="290"/>
      <c r="AG724" s="290"/>
      <c r="AH724" s="290"/>
      <c r="AI724" s="290"/>
      <c r="AJ724" s="290"/>
      <c r="AK724" s="290"/>
    </row>
    <row r="725" spans="11:37" x14ac:dyDescent="0.2">
      <c r="K725" s="290"/>
      <c r="L725" s="290"/>
      <c r="M725" s="290"/>
      <c r="N725" s="290"/>
      <c r="O725" s="290"/>
      <c r="P725" s="290"/>
      <c r="Q725" s="290"/>
      <c r="R725" s="290"/>
      <c r="S725" s="290"/>
      <c r="T725" s="290"/>
      <c r="U725" s="290"/>
      <c r="V725" s="290"/>
      <c r="W725" s="290"/>
      <c r="X725" s="290"/>
      <c r="Y725" s="290"/>
      <c r="Z725" s="290"/>
      <c r="AA725" s="290"/>
      <c r="AB725" s="290"/>
      <c r="AC725" s="290"/>
      <c r="AD725" s="290"/>
      <c r="AE725" s="290"/>
      <c r="AF725" s="290"/>
      <c r="AG725" s="290"/>
      <c r="AH725" s="290"/>
      <c r="AI725" s="290"/>
      <c r="AJ725" s="290"/>
      <c r="AK725" s="290"/>
    </row>
    <row r="726" spans="11:37" x14ac:dyDescent="0.2">
      <c r="K726" s="290"/>
      <c r="L726" s="290"/>
      <c r="M726" s="290"/>
      <c r="N726" s="290"/>
      <c r="O726" s="290"/>
      <c r="P726" s="290"/>
      <c r="Q726" s="290"/>
      <c r="R726" s="290"/>
      <c r="S726" s="290"/>
      <c r="T726" s="290"/>
      <c r="U726" s="290"/>
      <c r="V726" s="290"/>
      <c r="W726" s="290"/>
      <c r="X726" s="290"/>
      <c r="Y726" s="290"/>
      <c r="Z726" s="290"/>
      <c r="AA726" s="290"/>
      <c r="AB726" s="290"/>
      <c r="AC726" s="290"/>
      <c r="AD726" s="290"/>
      <c r="AE726" s="290"/>
      <c r="AF726" s="290"/>
      <c r="AG726" s="290"/>
      <c r="AH726" s="290"/>
      <c r="AI726" s="290"/>
      <c r="AJ726" s="290"/>
      <c r="AK726" s="290"/>
    </row>
    <row r="727" spans="11:37" x14ac:dyDescent="0.2">
      <c r="K727" s="290"/>
      <c r="L727" s="290"/>
      <c r="M727" s="290"/>
      <c r="N727" s="290"/>
      <c r="O727" s="290"/>
      <c r="P727" s="290"/>
      <c r="Q727" s="290"/>
      <c r="R727" s="290"/>
      <c r="S727" s="290"/>
      <c r="T727" s="290"/>
      <c r="U727" s="290"/>
      <c r="V727" s="290"/>
      <c r="W727" s="290"/>
      <c r="X727" s="290"/>
      <c r="Y727" s="290"/>
      <c r="Z727" s="290"/>
      <c r="AA727" s="290"/>
      <c r="AB727" s="290"/>
      <c r="AC727" s="290"/>
      <c r="AD727" s="290"/>
      <c r="AE727" s="290"/>
      <c r="AF727" s="290"/>
      <c r="AG727" s="290"/>
      <c r="AH727" s="290"/>
      <c r="AI727" s="290"/>
      <c r="AJ727" s="290"/>
      <c r="AK727" s="290"/>
    </row>
    <row r="728" spans="11:37" x14ac:dyDescent="0.2">
      <c r="K728" s="290"/>
      <c r="L728" s="290"/>
      <c r="M728" s="290"/>
      <c r="N728" s="290"/>
      <c r="O728" s="290"/>
      <c r="P728" s="290"/>
      <c r="Q728" s="290"/>
      <c r="R728" s="290"/>
      <c r="S728" s="290"/>
      <c r="T728" s="290"/>
      <c r="U728" s="290"/>
      <c r="V728" s="290"/>
      <c r="W728" s="290"/>
      <c r="X728" s="290"/>
      <c r="Y728" s="290"/>
      <c r="Z728" s="290"/>
      <c r="AA728" s="290"/>
      <c r="AB728" s="290"/>
      <c r="AC728" s="290"/>
      <c r="AD728" s="290"/>
      <c r="AE728" s="290"/>
      <c r="AF728" s="290"/>
      <c r="AG728" s="290"/>
      <c r="AH728" s="290"/>
      <c r="AI728" s="290"/>
      <c r="AJ728" s="290"/>
      <c r="AK728" s="290"/>
    </row>
    <row r="729" spans="11:37" x14ac:dyDescent="0.2">
      <c r="K729" s="290"/>
      <c r="L729" s="290"/>
      <c r="M729" s="290"/>
      <c r="N729" s="290"/>
      <c r="O729" s="290"/>
      <c r="P729" s="290"/>
      <c r="Q729" s="290"/>
      <c r="R729" s="290"/>
      <c r="S729" s="290"/>
      <c r="T729" s="290"/>
      <c r="U729" s="290"/>
      <c r="V729" s="290"/>
      <c r="W729" s="290"/>
      <c r="X729" s="290"/>
      <c r="Y729" s="290"/>
      <c r="Z729" s="290"/>
      <c r="AA729" s="290"/>
      <c r="AB729" s="290"/>
      <c r="AC729" s="290"/>
      <c r="AD729" s="290"/>
      <c r="AE729" s="290"/>
      <c r="AF729" s="290"/>
      <c r="AG729" s="290"/>
      <c r="AH729" s="290"/>
      <c r="AI729" s="290"/>
      <c r="AJ729" s="290"/>
      <c r="AK729" s="290"/>
    </row>
    <row r="730" spans="11:37" x14ac:dyDescent="0.2">
      <c r="K730" s="290"/>
      <c r="L730" s="290"/>
      <c r="M730" s="290"/>
      <c r="N730" s="290"/>
      <c r="O730" s="290"/>
      <c r="P730" s="290"/>
      <c r="Q730" s="290"/>
      <c r="R730" s="290"/>
      <c r="S730" s="290"/>
      <c r="T730" s="290"/>
      <c r="U730" s="290"/>
      <c r="V730" s="290"/>
      <c r="W730" s="290"/>
      <c r="X730" s="290"/>
      <c r="Y730" s="290"/>
      <c r="Z730" s="290"/>
      <c r="AA730" s="290"/>
      <c r="AB730" s="290"/>
      <c r="AC730" s="290"/>
      <c r="AD730" s="290"/>
      <c r="AE730" s="290"/>
      <c r="AF730" s="290"/>
      <c r="AG730" s="290"/>
      <c r="AH730" s="290"/>
      <c r="AI730" s="290"/>
      <c r="AJ730" s="290"/>
      <c r="AK730" s="290"/>
    </row>
    <row r="731" spans="11:37" x14ac:dyDescent="0.2">
      <c r="K731" s="290"/>
      <c r="L731" s="290"/>
      <c r="M731" s="290"/>
      <c r="N731" s="290"/>
      <c r="O731" s="290"/>
      <c r="P731" s="290"/>
      <c r="Q731" s="290"/>
      <c r="R731" s="290"/>
      <c r="S731" s="290"/>
      <c r="T731" s="290"/>
      <c r="U731" s="290"/>
      <c r="V731" s="290"/>
      <c r="W731" s="290"/>
      <c r="X731" s="290"/>
      <c r="Y731" s="290"/>
      <c r="Z731" s="290"/>
      <c r="AA731" s="290"/>
      <c r="AB731" s="290"/>
      <c r="AC731" s="290"/>
      <c r="AD731" s="290"/>
      <c r="AE731" s="290"/>
      <c r="AF731" s="290"/>
      <c r="AG731" s="290"/>
      <c r="AH731" s="290"/>
      <c r="AI731" s="290"/>
      <c r="AJ731" s="290"/>
      <c r="AK731" s="290"/>
    </row>
    <row r="732" spans="11:37" x14ac:dyDescent="0.2">
      <c r="K732" s="290"/>
      <c r="L732" s="290"/>
      <c r="M732" s="290"/>
      <c r="N732" s="290"/>
      <c r="O732" s="290"/>
      <c r="P732" s="290"/>
      <c r="Q732" s="290"/>
      <c r="R732" s="290"/>
      <c r="S732" s="290"/>
      <c r="T732" s="290"/>
      <c r="U732" s="290"/>
      <c r="V732" s="290"/>
      <c r="W732" s="290"/>
      <c r="X732" s="290"/>
      <c r="Y732" s="290"/>
      <c r="Z732" s="290"/>
      <c r="AA732" s="290"/>
      <c r="AB732" s="290"/>
      <c r="AC732" s="290"/>
      <c r="AD732" s="290"/>
      <c r="AE732" s="290"/>
      <c r="AF732" s="290"/>
      <c r="AG732" s="290"/>
      <c r="AH732" s="290"/>
      <c r="AI732" s="290"/>
      <c r="AJ732" s="290"/>
      <c r="AK732" s="290"/>
    </row>
    <row r="733" spans="11:37" x14ac:dyDescent="0.2">
      <c r="K733" s="290"/>
      <c r="L733" s="290"/>
      <c r="M733" s="290"/>
      <c r="N733" s="290"/>
      <c r="O733" s="290"/>
      <c r="P733" s="290"/>
      <c r="Q733" s="290"/>
      <c r="R733" s="290"/>
      <c r="S733" s="290"/>
      <c r="T733" s="290"/>
      <c r="U733" s="290"/>
      <c r="V733" s="290"/>
      <c r="W733" s="290"/>
      <c r="X733" s="290"/>
      <c r="Y733" s="290"/>
      <c r="Z733" s="290"/>
      <c r="AA733" s="290"/>
      <c r="AB733" s="290"/>
      <c r="AC733" s="290"/>
      <c r="AD733" s="290"/>
      <c r="AE733" s="290"/>
      <c r="AF733" s="290"/>
      <c r="AG733" s="290"/>
      <c r="AH733" s="290"/>
      <c r="AI733" s="290"/>
      <c r="AJ733" s="290"/>
      <c r="AK733" s="290"/>
    </row>
    <row r="734" spans="11:37" x14ac:dyDescent="0.2">
      <c r="K734" s="290"/>
      <c r="L734" s="290"/>
      <c r="M734" s="290"/>
      <c r="N734" s="290"/>
      <c r="O734" s="290"/>
      <c r="P734" s="290"/>
      <c r="Q734" s="290"/>
      <c r="R734" s="290"/>
      <c r="S734" s="290"/>
      <c r="T734" s="290"/>
      <c r="U734" s="290"/>
      <c r="V734" s="290"/>
      <c r="W734" s="290"/>
      <c r="X734" s="290"/>
      <c r="Y734" s="290"/>
      <c r="Z734" s="290"/>
      <c r="AA734" s="290"/>
      <c r="AB734" s="290"/>
      <c r="AC734" s="290"/>
      <c r="AD734" s="290"/>
      <c r="AE734" s="290"/>
      <c r="AF734" s="290"/>
      <c r="AG734" s="290"/>
      <c r="AH734" s="290"/>
      <c r="AI734" s="290"/>
      <c r="AJ734" s="290"/>
      <c r="AK734" s="290"/>
    </row>
    <row r="735" spans="11:37" x14ac:dyDescent="0.2">
      <c r="K735" s="290"/>
      <c r="L735" s="290"/>
      <c r="M735" s="290"/>
      <c r="N735" s="290"/>
      <c r="O735" s="290"/>
      <c r="P735" s="290"/>
      <c r="Q735" s="290"/>
      <c r="R735" s="290"/>
      <c r="S735" s="290"/>
      <c r="T735" s="290"/>
      <c r="U735" s="290"/>
      <c r="V735" s="290"/>
      <c r="W735" s="290"/>
      <c r="X735" s="290"/>
      <c r="Y735" s="290"/>
      <c r="Z735" s="290"/>
      <c r="AA735" s="290"/>
      <c r="AB735" s="290"/>
      <c r="AC735" s="290"/>
      <c r="AD735" s="290"/>
      <c r="AE735" s="290"/>
      <c r="AF735" s="290"/>
      <c r="AG735" s="290"/>
      <c r="AH735" s="290"/>
      <c r="AI735" s="290"/>
      <c r="AJ735" s="290"/>
      <c r="AK735" s="290"/>
    </row>
    <row r="736" spans="11:37" x14ac:dyDescent="0.2">
      <c r="K736" s="290"/>
      <c r="L736" s="290"/>
      <c r="M736" s="290"/>
      <c r="N736" s="290"/>
      <c r="O736" s="290"/>
      <c r="P736" s="290"/>
      <c r="Q736" s="290"/>
      <c r="R736" s="290"/>
      <c r="S736" s="290"/>
      <c r="T736" s="290"/>
      <c r="U736" s="290"/>
      <c r="V736" s="290"/>
      <c r="W736" s="290"/>
      <c r="X736" s="290"/>
      <c r="Y736" s="290"/>
      <c r="Z736" s="290"/>
      <c r="AA736" s="290"/>
      <c r="AB736" s="290"/>
      <c r="AC736" s="290"/>
      <c r="AD736" s="290"/>
      <c r="AE736" s="290"/>
      <c r="AF736" s="290"/>
      <c r="AG736" s="290"/>
      <c r="AH736" s="290"/>
      <c r="AI736" s="290"/>
      <c r="AJ736" s="290"/>
      <c r="AK736" s="290"/>
    </row>
    <row r="737" spans="11:37" x14ac:dyDescent="0.2">
      <c r="K737" s="290"/>
      <c r="L737" s="290"/>
      <c r="M737" s="290"/>
      <c r="N737" s="290"/>
      <c r="O737" s="290"/>
      <c r="P737" s="290"/>
      <c r="Q737" s="290"/>
      <c r="R737" s="290"/>
      <c r="S737" s="290"/>
      <c r="T737" s="290"/>
      <c r="U737" s="290"/>
      <c r="V737" s="290"/>
      <c r="W737" s="290"/>
      <c r="X737" s="290"/>
      <c r="Y737" s="290"/>
      <c r="Z737" s="290"/>
      <c r="AA737" s="290"/>
      <c r="AB737" s="290"/>
      <c r="AC737" s="290"/>
      <c r="AD737" s="290"/>
      <c r="AE737" s="290"/>
      <c r="AF737" s="290"/>
      <c r="AG737" s="290"/>
      <c r="AH737" s="290"/>
      <c r="AI737" s="290"/>
      <c r="AJ737" s="290"/>
      <c r="AK737" s="290"/>
    </row>
    <row r="738" spans="11:37" x14ac:dyDescent="0.2">
      <c r="K738" s="290"/>
      <c r="L738" s="290"/>
      <c r="M738" s="290"/>
      <c r="N738" s="290"/>
      <c r="O738" s="290"/>
      <c r="P738" s="290"/>
      <c r="Q738" s="290"/>
      <c r="R738" s="290"/>
      <c r="S738" s="290"/>
      <c r="T738" s="290"/>
      <c r="U738" s="290"/>
      <c r="V738" s="290"/>
      <c r="W738" s="290"/>
      <c r="X738" s="290"/>
      <c r="Y738" s="290"/>
      <c r="Z738" s="290"/>
      <c r="AA738" s="290"/>
      <c r="AB738" s="290"/>
      <c r="AC738" s="290"/>
      <c r="AD738" s="290"/>
      <c r="AE738" s="290"/>
      <c r="AF738" s="290"/>
      <c r="AG738" s="290"/>
      <c r="AH738" s="290"/>
      <c r="AI738" s="290"/>
      <c r="AJ738" s="290"/>
      <c r="AK738" s="290"/>
    </row>
    <row r="739" spans="11:37" x14ac:dyDescent="0.2">
      <c r="K739" s="290"/>
      <c r="L739" s="290"/>
      <c r="M739" s="290"/>
      <c r="N739" s="290"/>
      <c r="O739" s="290"/>
      <c r="P739" s="290"/>
      <c r="Q739" s="290"/>
      <c r="R739" s="290"/>
      <c r="S739" s="290"/>
      <c r="T739" s="290"/>
      <c r="U739" s="290"/>
      <c r="V739" s="290"/>
      <c r="W739" s="290"/>
      <c r="X739" s="290"/>
      <c r="Y739" s="290"/>
      <c r="Z739" s="290"/>
      <c r="AA739" s="290"/>
      <c r="AB739" s="290"/>
      <c r="AC739" s="290"/>
      <c r="AD739" s="290"/>
      <c r="AE739" s="290"/>
      <c r="AF739" s="290"/>
      <c r="AG739" s="290"/>
      <c r="AH739" s="290"/>
      <c r="AI739" s="290"/>
      <c r="AJ739" s="290"/>
      <c r="AK739" s="290"/>
    </row>
    <row r="740" spans="11:37" x14ac:dyDescent="0.2">
      <c r="K740" s="290"/>
      <c r="L740" s="290"/>
      <c r="M740" s="290"/>
      <c r="N740" s="290"/>
      <c r="O740" s="290"/>
      <c r="P740" s="290"/>
      <c r="Q740" s="290"/>
      <c r="R740" s="290"/>
      <c r="S740" s="290"/>
      <c r="T740" s="290"/>
      <c r="U740" s="290"/>
      <c r="V740" s="290"/>
      <c r="W740" s="290"/>
      <c r="X740" s="290"/>
      <c r="Y740" s="290"/>
      <c r="Z740" s="290"/>
      <c r="AA740" s="290"/>
      <c r="AB740" s="290"/>
      <c r="AC740" s="290"/>
      <c r="AD740" s="290"/>
      <c r="AE740" s="290"/>
      <c r="AF740" s="290"/>
      <c r="AG740" s="290"/>
      <c r="AH740" s="290"/>
      <c r="AI740" s="290"/>
      <c r="AJ740" s="290"/>
      <c r="AK740" s="290"/>
    </row>
    <row r="741" spans="11:37" x14ac:dyDescent="0.2">
      <c r="K741" s="290"/>
      <c r="L741" s="290"/>
      <c r="M741" s="290"/>
      <c r="N741" s="290"/>
      <c r="O741" s="290"/>
      <c r="P741" s="290"/>
      <c r="Q741" s="290"/>
      <c r="R741" s="290"/>
      <c r="S741" s="290"/>
      <c r="T741" s="290"/>
      <c r="U741" s="290"/>
      <c r="V741" s="290"/>
      <c r="W741" s="290"/>
      <c r="X741" s="290"/>
      <c r="Y741" s="290"/>
      <c r="Z741" s="290"/>
      <c r="AA741" s="290"/>
      <c r="AB741" s="290"/>
      <c r="AC741" s="290"/>
      <c r="AD741" s="290"/>
      <c r="AE741" s="290"/>
      <c r="AF741" s="290"/>
      <c r="AG741" s="290"/>
      <c r="AH741" s="290"/>
      <c r="AI741" s="290"/>
      <c r="AJ741" s="290"/>
      <c r="AK741" s="290"/>
    </row>
    <row r="742" spans="11:37" x14ac:dyDescent="0.2">
      <c r="K742" s="290"/>
      <c r="L742" s="290"/>
      <c r="M742" s="290"/>
      <c r="N742" s="290"/>
      <c r="O742" s="290"/>
      <c r="P742" s="290"/>
      <c r="Q742" s="290"/>
      <c r="R742" s="290"/>
      <c r="S742" s="290"/>
      <c r="T742" s="290"/>
      <c r="U742" s="290"/>
      <c r="V742" s="290"/>
      <c r="W742" s="290"/>
      <c r="X742" s="290"/>
      <c r="Y742" s="290"/>
      <c r="Z742" s="290"/>
      <c r="AA742" s="290"/>
      <c r="AB742" s="290"/>
      <c r="AC742" s="290"/>
      <c r="AD742" s="290"/>
      <c r="AE742" s="290"/>
      <c r="AF742" s="290"/>
      <c r="AG742" s="290"/>
      <c r="AH742" s="290"/>
      <c r="AI742" s="290"/>
      <c r="AJ742" s="290"/>
      <c r="AK742" s="290"/>
    </row>
    <row r="743" spans="11:37" x14ac:dyDescent="0.2">
      <c r="K743" s="290"/>
      <c r="L743" s="290"/>
      <c r="M743" s="290"/>
      <c r="N743" s="290"/>
      <c r="O743" s="290"/>
      <c r="P743" s="290"/>
      <c r="Q743" s="290"/>
      <c r="R743" s="290"/>
      <c r="S743" s="290"/>
      <c r="T743" s="290"/>
      <c r="U743" s="290"/>
      <c r="V743" s="290"/>
      <c r="W743" s="290"/>
      <c r="X743" s="290"/>
      <c r="Y743" s="290"/>
      <c r="Z743" s="290"/>
      <c r="AA743" s="290"/>
      <c r="AB743" s="290"/>
      <c r="AC743" s="290"/>
      <c r="AD743" s="290"/>
      <c r="AE743" s="290"/>
      <c r="AF743" s="290"/>
      <c r="AG743" s="290"/>
      <c r="AH743" s="290"/>
      <c r="AI743" s="290"/>
      <c r="AJ743" s="290"/>
      <c r="AK743" s="290"/>
    </row>
    <row r="744" spans="11:37" x14ac:dyDescent="0.2">
      <c r="K744" s="290"/>
      <c r="L744" s="290"/>
      <c r="M744" s="290"/>
      <c r="N744" s="290"/>
      <c r="O744" s="290"/>
      <c r="P744" s="290"/>
      <c r="Q744" s="290"/>
      <c r="R744" s="290"/>
      <c r="S744" s="290"/>
      <c r="T744" s="290"/>
      <c r="U744" s="290"/>
      <c r="V744" s="290"/>
      <c r="W744" s="290"/>
      <c r="X744" s="290"/>
      <c r="Y744" s="290"/>
      <c r="Z744" s="290"/>
      <c r="AA744" s="290"/>
      <c r="AB744" s="290"/>
      <c r="AC744" s="290"/>
      <c r="AD744" s="290"/>
      <c r="AE744" s="290"/>
      <c r="AF744" s="290"/>
      <c r="AG744" s="290"/>
      <c r="AH744" s="290"/>
      <c r="AI744" s="290"/>
      <c r="AJ744" s="290"/>
      <c r="AK744" s="290"/>
    </row>
    <row r="745" spans="11:37" x14ac:dyDescent="0.2">
      <c r="K745" s="290"/>
      <c r="L745" s="290"/>
      <c r="M745" s="290"/>
      <c r="N745" s="290"/>
      <c r="O745" s="290"/>
      <c r="P745" s="290"/>
      <c r="Q745" s="290"/>
      <c r="R745" s="290"/>
      <c r="S745" s="290"/>
      <c r="T745" s="290"/>
      <c r="U745" s="290"/>
      <c r="V745" s="290"/>
      <c r="W745" s="290"/>
      <c r="X745" s="290"/>
      <c r="Y745" s="290"/>
      <c r="Z745" s="290"/>
      <c r="AA745" s="290"/>
      <c r="AB745" s="290"/>
      <c r="AC745" s="290"/>
      <c r="AD745" s="290"/>
      <c r="AE745" s="290"/>
      <c r="AF745" s="290"/>
      <c r="AG745" s="290"/>
      <c r="AH745" s="290"/>
      <c r="AI745" s="290"/>
      <c r="AJ745" s="290"/>
      <c r="AK745" s="290"/>
    </row>
    <row r="746" spans="11:37" x14ac:dyDescent="0.2">
      <c r="K746" s="290"/>
      <c r="L746" s="290"/>
      <c r="M746" s="290"/>
      <c r="N746" s="290"/>
      <c r="O746" s="290"/>
      <c r="P746" s="290"/>
      <c r="Q746" s="290"/>
      <c r="R746" s="290"/>
      <c r="S746" s="290"/>
      <c r="T746" s="290"/>
      <c r="U746" s="290"/>
      <c r="V746" s="290"/>
      <c r="W746" s="290"/>
      <c r="X746" s="290"/>
      <c r="Y746" s="290"/>
      <c r="Z746" s="290"/>
      <c r="AA746" s="290"/>
      <c r="AB746" s="290"/>
      <c r="AC746" s="290"/>
      <c r="AD746" s="290"/>
      <c r="AE746" s="290"/>
      <c r="AF746" s="290"/>
      <c r="AG746" s="290"/>
      <c r="AH746" s="290"/>
      <c r="AI746" s="290"/>
      <c r="AJ746" s="290"/>
      <c r="AK746" s="290"/>
    </row>
    <row r="747" spans="11:37" x14ac:dyDescent="0.2">
      <c r="K747" s="290"/>
      <c r="L747" s="290"/>
      <c r="M747" s="290"/>
      <c r="N747" s="290"/>
      <c r="O747" s="290"/>
      <c r="P747" s="290"/>
      <c r="Q747" s="290"/>
      <c r="R747" s="290"/>
      <c r="S747" s="290"/>
      <c r="T747" s="290"/>
      <c r="U747" s="290"/>
      <c r="V747" s="290"/>
      <c r="W747" s="290"/>
      <c r="X747" s="290"/>
      <c r="Y747" s="290"/>
      <c r="Z747" s="290"/>
      <c r="AA747" s="290"/>
      <c r="AB747" s="290"/>
      <c r="AC747" s="290"/>
      <c r="AD747" s="290"/>
      <c r="AE747" s="290"/>
      <c r="AF747" s="290"/>
      <c r="AG747" s="290"/>
      <c r="AH747" s="290"/>
      <c r="AI747" s="290"/>
      <c r="AJ747" s="290"/>
      <c r="AK747" s="290"/>
    </row>
  </sheetData>
  <mergeCells count="5">
    <mergeCell ref="A1:G1"/>
    <mergeCell ref="M1:N1"/>
    <mergeCell ref="B40:E40"/>
    <mergeCell ref="B41:E41"/>
    <mergeCell ref="B42:E42"/>
  </mergeCells>
  <pageMargins left="0.48" right="0.74803149606299213" top="0.98425196850393704" bottom="0.98425196850393704" header="0.51181102362204722" footer="0.51181102362204722"/>
  <pageSetup paperSize="9" scale="90" orientation="landscape" horizontalDpi="300" verticalDpi="300" r:id="rId1"/>
  <headerFooter alignWithMargins="0"/>
  <colBreaks count="1" manualBreakCount="1">
    <brk id="11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115"/>
  <dimension ref="D2:M53"/>
  <sheetViews>
    <sheetView rightToLeft="1" topLeftCell="B1" workbookViewId="0">
      <selection activeCell="AL8" sqref="AL8"/>
    </sheetView>
  </sheetViews>
  <sheetFormatPr defaultRowHeight="12.75" x14ac:dyDescent="0.2"/>
  <cols>
    <col min="4" max="4" width="14.28515625" customWidth="1"/>
    <col min="5" max="5" width="11.85546875" customWidth="1"/>
    <col min="6" max="6" width="11.140625" customWidth="1"/>
    <col min="7" max="7" width="10.7109375" customWidth="1"/>
    <col min="8" max="8" width="16" customWidth="1"/>
    <col min="9" max="9" width="15.7109375" customWidth="1"/>
    <col min="10" max="10" width="10.7109375" customWidth="1"/>
    <col min="11" max="11" width="13" customWidth="1"/>
    <col min="12" max="12" width="14.7109375" customWidth="1"/>
    <col min="13" max="13" width="17.28515625" customWidth="1"/>
  </cols>
  <sheetData>
    <row r="2" spans="4:13" ht="18" x14ac:dyDescent="0.25">
      <c r="H2" s="22" t="s">
        <v>1149</v>
      </c>
    </row>
    <row r="4" spans="4:13" ht="13.5" thickBot="1" x14ac:dyDescent="0.25"/>
    <row r="5" spans="4:13" ht="60.75" thickBot="1" x14ac:dyDescent="0.25">
      <c r="D5" s="8" t="s">
        <v>2</v>
      </c>
      <c r="E5" s="9" t="s">
        <v>1002</v>
      </c>
      <c r="F5" s="9" t="s">
        <v>164</v>
      </c>
      <c r="G5" s="8" t="s">
        <v>165</v>
      </c>
      <c r="H5" s="8" t="s">
        <v>167</v>
      </c>
      <c r="I5" s="8" t="s">
        <v>166</v>
      </c>
      <c r="J5" s="9" t="s">
        <v>168</v>
      </c>
      <c r="K5" s="9" t="s">
        <v>169</v>
      </c>
      <c r="L5" s="8" t="s">
        <v>170</v>
      </c>
      <c r="M5" s="8" t="s">
        <v>3</v>
      </c>
    </row>
    <row r="6" spans="4:13" x14ac:dyDescent="0.2">
      <c r="D6" t="str">
        <f>IF(Kupa!D6&gt;0,Kupa!D6," ")</f>
        <v>7678444</v>
      </c>
      <c r="E6" s="997" t="str">
        <f>IF(Kupa!H6&gt;0,Kupa!H6," ")</f>
        <v xml:space="preserve"> </v>
      </c>
      <c r="F6" s="997" t="str">
        <f>IF(Kupa!I6&gt;0,Kupa!I6," ")</f>
        <v xml:space="preserve"> </v>
      </c>
      <c r="G6" s="1020" t="str">
        <f>IF(Kupa!J6&gt;0,Kupa!J6," ")</f>
        <v xml:space="preserve"> </v>
      </c>
      <c r="H6" s="997" t="str">
        <f>IF(Kupa!K6&gt;0,Kupa!K6," ")</f>
        <v/>
      </c>
      <c r="I6" s="997" t="str">
        <f>IF(Kupa!L6&gt;0,Kupa!L6," ")</f>
        <v xml:space="preserve"> </v>
      </c>
      <c r="J6" s="997" t="str">
        <f>IF(Kupa!M6&gt;0,Kupa!M6," ")</f>
        <v xml:space="preserve"> </v>
      </c>
      <c r="K6" s="997" t="str">
        <f>IF(Kupa!N6&gt;0,Kupa!N6," ")</f>
        <v xml:space="preserve"> </v>
      </c>
      <c r="L6" t="str">
        <f>IF(Kupa!O6&gt;0,Kupa!O6," ")</f>
        <v xml:space="preserve"> </v>
      </c>
      <c r="M6" t="str">
        <f>IF(Kupa!Q6&gt;0,Kupa!Q6," ")</f>
        <v xml:space="preserve"> </v>
      </c>
    </row>
    <row r="7" spans="4:13" x14ac:dyDescent="0.2">
      <c r="D7" t="str">
        <f>IF(Kupa!D7&gt;0,Kupa!D7," ")</f>
        <v>7678444</v>
      </c>
      <c r="E7" s="997" t="str">
        <f>IF(Kupa!H7&gt;0,Kupa!H7," ")</f>
        <v xml:space="preserve"> </v>
      </c>
      <c r="F7" s="997" t="str">
        <f>IF(Kupa!I7&gt;0,Kupa!I7," ")</f>
        <v xml:space="preserve"> </v>
      </c>
      <c r="G7" s="1020" t="str">
        <f>IF(Kupa!J7&gt;0,Kupa!J7," ")</f>
        <v xml:space="preserve"> </v>
      </c>
      <c r="H7" s="997" t="str">
        <f>IF(Kupa!K7&gt;0,Kupa!K7," ")</f>
        <v/>
      </c>
      <c r="I7" s="997" t="str">
        <f>IF(Kupa!L7&gt;0,Kupa!L7," ")</f>
        <v xml:space="preserve"> </v>
      </c>
      <c r="J7" s="997" t="str">
        <f>IF(Kupa!M7&gt;0,Kupa!M7," ")</f>
        <v xml:space="preserve"> </v>
      </c>
      <c r="K7" s="997" t="str">
        <f>IF(Kupa!N7&gt;0,Kupa!N7," ")</f>
        <v xml:space="preserve"> </v>
      </c>
      <c r="L7" t="str">
        <f>IF(Kupa!O7&gt;0,Kupa!O7," ")</f>
        <v xml:space="preserve"> </v>
      </c>
      <c r="M7" t="str">
        <f>IF(Kupa!Q7&gt;0,Kupa!Q7," ")</f>
        <v xml:space="preserve"> </v>
      </c>
    </row>
    <row r="8" spans="4:13" x14ac:dyDescent="0.2">
      <c r="D8" t="str">
        <f>IF(Kupa!D8&gt;0,Kupa!D8," ")</f>
        <v>7678444</v>
      </c>
      <c r="E8" s="997" t="str">
        <f>IF(Kupa!H8&gt;0,Kupa!H8," ")</f>
        <v xml:space="preserve"> </v>
      </c>
      <c r="F8" s="997" t="str">
        <f>IF(Kupa!I8&gt;0,Kupa!I8," ")</f>
        <v xml:space="preserve"> </v>
      </c>
      <c r="G8" s="1020" t="str">
        <f>IF(Kupa!J8&gt;0,Kupa!J8," ")</f>
        <v xml:space="preserve"> </v>
      </c>
      <c r="H8" s="997" t="str">
        <f>IF(Kupa!K8&gt;0,Kupa!K8," ")</f>
        <v/>
      </c>
      <c r="I8" s="997" t="str">
        <f>IF(Kupa!L8&gt;0,Kupa!L8," ")</f>
        <v xml:space="preserve"> </v>
      </c>
      <c r="J8" s="997" t="str">
        <f>IF(Kupa!M8&gt;0,Kupa!M8," ")</f>
        <v xml:space="preserve"> </v>
      </c>
      <c r="K8" s="997" t="str">
        <f>IF(Kupa!N8&gt;0,Kupa!N8," ")</f>
        <v xml:space="preserve"> </v>
      </c>
      <c r="L8" t="str">
        <f>IF(Kupa!O8&gt;0,Kupa!O8," ")</f>
        <v xml:space="preserve"> </v>
      </c>
      <c r="M8" t="str">
        <f>IF(Kupa!Q8&gt;0,Kupa!Q8," ")</f>
        <v xml:space="preserve"> </v>
      </c>
    </row>
    <row r="9" spans="4:13" x14ac:dyDescent="0.2">
      <c r="D9" t="str">
        <f>IF(Kupa!D9&gt;0,Kupa!D9," ")</f>
        <v>1595222</v>
      </c>
      <c r="E9" s="997" t="str">
        <f>IF(Kupa!H9&gt;0,Kupa!H9," ")</f>
        <v xml:space="preserve"> </v>
      </c>
      <c r="F9" s="997" t="str">
        <f>IF(Kupa!I9&gt;0,Kupa!I9," ")</f>
        <v xml:space="preserve"> </v>
      </c>
      <c r="G9" s="1020" t="str">
        <f>IF(Kupa!J9&gt;0,Kupa!J9," ")</f>
        <v xml:space="preserve"> </v>
      </c>
      <c r="H9" s="997" t="str">
        <f>IF(Kupa!K9&gt;0,Kupa!K9," ")</f>
        <v/>
      </c>
      <c r="I9" s="997" t="str">
        <f>IF(Kupa!L9&gt;0,Kupa!L9," ")</f>
        <v xml:space="preserve"> </v>
      </c>
      <c r="J9" s="997" t="str">
        <f>IF(Kupa!M9&gt;0,Kupa!M9," ")</f>
        <v xml:space="preserve"> </v>
      </c>
      <c r="K9" s="997" t="str">
        <f>IF(Kupa!N9&gt;0,Kupa!N9," ")</f>
        <v xml:space="preserve"> </v>
      </c>
      <c r="L9" t="str">
        <f>IF(Kupa!O9&gt;0,Kupa!O9," ")</f>
        <v xml:space="preserve"> </v>
      </c>
      <c r="M9" t="str">
        <f>IF(Kupa!Q9&gt;0,Kupa!Q9," ")</f>
        <v xml:space="preserve"> </v>
      </c>
    </row>
    <row r="10" spans="4:13" x14ac:dyDescent="0.2">
      <c r="D10" t="str">
        <f>IF(Kupa!D10&gt;0,Kupa!D10," ")</f>
        <v>1394362</v>
      </c>
      <c r="E10" s="997" t="str">
        <f>IF(Kupa!H10&gt;0,Kupa!H10," ")</f>
        <v xml:space="preserve"> </v>
      </c>
      <c r="F10" s="997" t="str">
        <f>IF(Kupa!I10&gt;0,Kupa!I10," ")</f>
        <v xml:space="preserve"> </v>
      </c>
      <c r="G10" s="1020" t="str">
        <f>IF(Kupa!J10&gt;0,Kupa!J10," ")</f>
        <v xml:space="preserve"> </v>
      </c>
      <c r="H10" s="997" t="str">
        <f>IF(Kupa!K10&gt;0,Kupa!K10," ")</f>
        <v xml:space="preserve"> </v>
      </c>
      <c r="I10" s="997" t="str">
        <f>IF(Kupa!L10&gt;0,Kupa!L10," ")</f>
        <v xml:space="preserve"> </v>
      </c>
      <c r="J10" s="997" t="str">
        <f>IF(Kupa!M10&gt;0,Kupa!M10," ")</f>
        <v xml:space="preserve"> </v>
      </c>
      <c r="K10" s="997" t="str">
        <f>IF(Kupa!N10&gt;0,Kupa!N10," ")</f>
        <v xml:space="preserve"> </v>
      </c>
      <c r="L10" t="str">
        <f>IF(Kupa!O10&gt;0,Kupa!O10," ")</f>
        <v xml:space="preserve"> </v>
      </c>
      <c r="M10" t="str">
        <f>IF(Kupa!Q10&gt;0,Kupa!Q10," ")</f>
        <v xml:space="preserve"> </v>
      </c>
    </row>
    <row r="11" spans="4:13" x14ac:dyDescent="0.2">
      <c r="D11" t="str">
        <f>IF(Kupa!D11&gt;0,Kupa!D11," ")</f>
        <v>1394370</v>
      </c>
      <c r="E11" s="997" t="str">
        <f>IF(Kupa!H11&gt;0,Kupa!H11," ")</f>
        <v xml:space="preserve"> </v>
      </c>
      <c r="F11" s="997" t="str">
        <f>IF(Kupa!I11&gt;0,Kupa!I11," ")</f>
        <v xml:space="preserve"> </v>
      </c>
      <c r="G11" s="1020" t="str">
        <f>IF(Kupa!J11&gt;0,Kupa!J11," ")</f>
        <v xml:space="preserve"> </v>
      </c>
      <c r="H11" s="997" t="str">
        <f>IF(Kupa!K11&gt;0,Kupa!K11," ")</f>
        <v xml:space="preserve"> </v>
      </c>
      <c r="I11" s="997" t="str">
        <f>IF(Kupa!L11&gt;0,Kupa!L11," ")</f>
        <v xml:space="preserve"> </v>
      </c>
      <c r="J11" s="997" t="str">
        <f>IF(Kupa!M11&gt;0,Kupa!M11," ")</f>
        <v xml:space="preserve"> </v>
      </c>
      <c r="K11" s="997" t="str">
        <f>IF(Kupa!N11&gt;0,Kupa!N11," ")</f>
        <v xml:space="preserve"> </v>
      </c>
      <c r="L11" t="str">
        <f>IF(Kupa!O11&gt;0,Kupa!O11," ")</f>
        <v xml:space="preserve"> </v>
      </c>
      <c r="M11" t="str">
        <f>IF(Kupa!Q11&gt;0,Kupa!Q11," ")</f>
        <v xml:space="preserve"> </v>
      </c>
    </row>
    <row r="12" spans="4:13" x14ac:dyDescent="0.2">
      <c r="D12" t="str">
        <f>IF(Kupa!D12&gt;0,Kupa!D12," ")</f>
        <v>570201002663</v>
      </c>
      <c r="E12" s="997" t="str">
        <f>IF(Kupa!H12&gt;0,Kupa!H12," ")</f>
        <v xml:space="preserve"> </v>
      </c>
      <c r="F12" s="997" t="str">
        <f>IF(Kupa!I12&gt;0,Kupa!I12," ")</f>
        <v xml:space="preserve"> </v>
      </c>
      <c r="G12" s="1020" t="str">
        <f>IF(Kupa!J12&gt;0,Kupa!J12," ")</f>
        <v xml:space="preserve"> </v>
      </c>
      <c r="H12" s="997" t="str">
        <f>IF(Kupa!K12&gt;0,Kupa!K12," ")</f>
        <v xml:space="preserve"> </v>
      </c>
      <c r="I12" s="997" t="str">
        <f>IF(Kupa!L12&gt;0,Kupa!L12," ")</f>
        <v xml:space="preserve"> </v>
      </c>
      <c r="J12" s="997" t="str">
        <f>IF(Kupa!M12&gt;0,Kupa!M12," ")</f>
        <v xml:space="preserve"> </v>
      </c>
      <c r="K12" s="997" t="str">
        <f>IF(Kupa!N12&gt;0,Kupa!N12," ")</f>
        <v xml:space="preserve"> </v>
      </c>
      <c r="L12" t="str">
        <f>IF(Kupa!O12&gt;0,Kupa!O12," ")</f>
        <v xml:space="preserve"> </v>
      </c>
      <c r="M12" t="str">
        <f>IF(Kupa!Q12&gt;0,Kupa!Q12," ")</f>
        <v xml:space="preserve"> </v>
      </c>
    </row>
    <row r="13" spans="4:13" x14ac:dyDescent="0.2">
      <c r="D13" t="str">
        <f>IF(Kupa!D13&gt;0,Kupa!D13," ")</f>
        <v>570475010221</v>
      </c>
      <c r="E13" s="997" t="str">
        <f>IF(Kupa!H13&gt;0,Kupa!H13," ")</f>
        <v xml:space="preserve"> </v>
      </c>
      <c r="F13" s="997" t="str">
        <f>IF(Kupa!I13&gt;0,Kupa!I13," ")</f>
        <v xml:space="preserve"> </v>
      </c>
      <c r="G13" s="1020" t="str">
        <f>IF(Kupa!J13&gt;0,Kupa!J13," ")</f>
        <v xml:space="preserve"> </v>
      </c>
      <c r="H13" s="997" t="str">
        <f>IF(Kupa!K13&gt;0,Kupa!K13," ")</f>
        <v xml:space="preserve"> </v>
      </c>
      <c r="I13" s="997" t="str">
        <f>IF(Kupa!L13&gt;0,Kupa!L13," ")</f>
        <v xml:space="preserve"> </v>
      </c>
      <c r="J13" s="997" t="str">
        <f>IF(Kupa!M13&gt;0,Kupa!M13," ")</f>
        <v xml:space="preserve"> </v>
      </c>
      <c r="K13" s="997" t="str">
        <f>IF(Kupa!N13&gt;0,Kupa!N13," ")</f>
        <v xml:space="preserve"> </v>
      </c>
      <c r="L13" t="str">
        <f>IF(Kupa!O13&gt;0,Kupa!O13," ")</f>
        <v xml:space="preserve"> </v>
      </c>
      <c r="M13" t="str">
        <f>IF(Kupa!Q13&gt;0,Kupa!Q13," ")</f>
        <v xml:space="preserve"> </v>
      </c>
    </row>
    <row r="14" spans="4:13" x14ac:dyDescent="0.2">
      <c r="D14" t="str">
        <f>IF(Kupa!D14&gt;0,Kupa!D14," ")</f>
        <v>6165029</v>
      </c>
      <c r="E14" s="997" t="str">
        <f>IF(Kupa!H14&gt;0,Kupa!H14," ")</f>
        <v xml:space="preserve"> </v>
      </c>
      <c r="F14" s="997" t="str">
        <f>IF(Kupa!I14&gt;0,Kupa!I14," ")</f>
        <v xml:space="preserve"> </v>
      </c>
      <c r="G14" s="1020" t="str">
        <f>IF(Kupa!J14&gt;0,Kupa!J14," ")</f>
        <v xml:space="preserve"> </v>
      </c>
      <c r="H14" s="997" t="str">
        <f>IF(Kupa!K14&gt;0,Kupa!K14," ")</f>
        <v xml:space="preserve"> </v>
      </c>
      <c r="I14" s="997" t="str">
        <f>IF(Kupa!L14&gt;0,Kupa!L14," ")</f>
        <v xml:space="preserve"> </v>
      </c>
      <c r="J14" s="997" t="str">
        <f>IF(Kupa!M14&gt;0,Kupa!M14," ")</f>
        <v xml:space="preserve"> </v>
      </c>
      <c r="K14" s="997" t="str">
        <f>IF(Kupa!N14&gt;0,Kupa!N14," ")</f>
        <v xml:space="preserve"> </v>
      </c>
      <c r="L14" t="str">
        <f>IF(Kupa!O14&gt;0,Kupa!O14," ")</f>
        <v xml:space="preserve"> </v>
      </c>
      <c r="M14" t="str">
        <f>IF(Kupa!Q14&gt;0,Kupa!Q14," ")</f>
        <v xml:space="preserve"> </v>
      </c>
    </row>
    <row r="15" spans="4:13" x14ac:dyDescent="0.2">
      <c r="D15" t="str">
        <f>IF(Kupa!D15&gt;0,Kupa!D15," ")</f>
        <v>630251455</v>
      </c>
      <c r="E15" s="997">
        <f>IF(Kupa!H15&gt;0,Kupa!H15," ")</f>
        <v>0.66</v>
      </c>
      <c r="F15" s="997">
        <f>IF(Kupa!I15&gt;0,Kupa!I15," ")</f>
        <v>75</v>
      </c>
      <c r="G15" s="1020">
        <f>IF(Kupa!J15&gt;0,Kupa!J15," ")</f>
        <v>951.12</v>
      </c>
      <c r="H15" s="997" t="str">
        <f>IF(Kupa!K15&gt;0,Kupa!K15," ")</f>
        <v>31/10/2016</v>
      </c>
      <c r="I15" s="997">
        <f>IF(Kupa!L15&gt;0,Kupa!L15," ")</f>
        <v>713.34</v>
      </c>
      <c r="J15" s="997">
        <f>IF(Kupa!M15&gt;0,Kupa!M15," ")</f>
        <v>16.54</v>
      </c>
      <c r="K15" s="997">
        <f>IF(Kupa!N15&gt;0,Kupa!N15," ")</f>
        <v>22.25</v>
      </c>
      <c r="L15">
        <f>IF(Kupa!O15&gt;0,Kupa!O15," ")</f>
        <v>423.25</v>
      </c>
      <c r="M15">
        <f>IF(Kupa!Q15&gt;0,Kupa!Q15," ")</f>
        <v>70.569999999999993</v>
      </c>
    </row>
    <row r="16" spans="4:13" x14ac:dyDescent="0.2">
      <c r="D16" t="str">
        <f>IF(Kupa!D16&gt;0,Kupa!D16," ")</f>
        <v>20047373</v>
      </c>
      <c r="E16" s="997" t="str">
        <f>IF(Kupa!H16&gt;0,Kupa!H16," ")</f>
        <v xml:space="preserve"> </v>
      </c>
      <c r="F16" s="997" t="str">
        <f>IF(Kupa!I16&gt;0,Kupa!I16," ")</f>
        <v xml:space="preserve"> </v>
      </c>
      <c r="G16" s="1020" t="str">
        <f>IF(Kupa!J16&gt;0,Kupa!J16," ")</f>
        <v xml:space="preserve"> </v>
      </c>
      <c r="H16" s="997" t="str">
        <f>IF(Kupa!K16&gt;0,Kupa!K16," ")</f>
        <v xml:space="preserve"> </v>
      </c>
      <c r="I16" s="997" t="str">
        <f>IF(Kupa!L16&gt;0,Kupa!L16," ")</f>
        <v xml:space="preserve"> </v>
      </c>
      <c r="J16" s="997" t="str">
        <f>IF(Kupa!M16&gt;0,Kupa!M16," ")</f>
        <v xml:space="preserve"> </v>
      </c>
      <c r="K16" s="997" t="str">
        <f>IF(Kupa!N16&gt;0,Kupa!N16," ")</f>
        <v xml:space="preserve"> </v>
      </c>
      <c r="L16" t="str">
        <f>IF(Kupa!O16&gt;0,Kupa!O16," ")</f>
        <v xml:space="preserve"> </v>
      </c>
      <c r="M16" t="str">
        <f>IF(Kupa!Q16&gt;0,Kupa!Q16," ")</f>
        <v xml:space="preserve"> </v>
      </c>
    </row>
    <row r="17" spans="4:13" x14ac:dyDescent="0.2">
      <c r="D17" t="str">
        <f>IF(Kupa!D17&gt;0,Kupa!D17," ")</f>
        <v>2296587</v>
      </c>
      <c r="E17" s="997" t="str">
        <f>IF(Kupa!H17&gt;0,Kupa!H17," ")</f>
        <v xml:space="preserve"> </v>
      </c>
      <c r="F17" s="997" t="str">
        <f>IF(Kupa!I17&gt;0,Kupa!I17," ")</f>
        <v xml:space="preserve"> </v>
      </c>
      <c r="G17" s="1020" t="str">
        <f>IF(Kupa!J17&gt;0,Kupa!J17," ")</f>
        <v xml:space="preserve"> </v>
      </c>
      <c r="H17" s="997" t="str">
        <f>IF(Kupa!K17&gt;0,Kupa!K17," ")</f>
        <v xml:space="preserve"> </v>
      </c>
      <c r="I17" s="997" t="str">
        <f>IF(Kupa!L17&gt;0,Kupa!L17," ")</f>
        <v xml:space="preserve"> </v>
      </c>
      <c r="J17" s="997" t="str">
        <f>IF(Kupa!M17&gt;0,Kupa!M17," ")</f>
        <v xml:space="preserve"> </v>
      </c>
      <c r="K17" s="997" t="str">
        <f>IF(Kupa!N17&gt;0,Kupa!N17," ")</f>
        <v xml:space="preserve"> </v>
      </c>
      <c r="L17" t="str">
        <f>IF(Kupa!O17&gt;0,Kupa!O17," ")</f>
        <v xml:space="preserve"> </v>
      </c>
      <c r="M17" t="str">
        <f>IF(Kupa!Q17&gt;0,Kupa!Q17," ")</f>
        <v xml:space="preserve"> </v>
      </c>
    </row>
    <row r="18" spans="4:13" x14ac:dyDescent="0.2">
      <c r="D18" t="str">
        <f>IF(Kupa!D18&gt;0,Kupa!D18," ")</f>
        <v>56078603</v>
      </c>
      <c r="E18" s="997" t="str">
        <f>IF(Kupa!H18&gt;0,Kupa!H18," ")</f>
        <v xml:space="preserve"> </v>
      </c>
      <c r="F18" s="997" t="str">
        <f>IF(Kupa!I18&gt;0,Kupa!I18," ")</f>
        <v xml:space="preserve"> </v>
      </c>
      <c r="G18" s="1020" t="str">
        <f>IF(Kupa!J18&gt;0,Kupa!J18," ")</f>
        <v xml:space="preserve"> </v>
      </c>
      <c r="H18" s="997" t="str">
        <f>IF(Kupa!K18&gt;0,Kupa!K18," ")</f>
        <v>31/10/2016</v>
      </c>
      <c r="I18" s="997" t="str">
        <f>IF(Kupa!L18&gt;0,Kupa!L18," ")</f>
        <v xml:space="preserve"> </v>
      </c>
      <c r="J18" s="997" t="str">
        <f>IF(Kupa!M18&gt;0,Kupa!M18," ")</f>
        <v xml:space="preserve"> </v>
      </c>
      <c r="K18" s="997" t="str">
        <f>IF(Kupa!N18&gt;0,Kupa!N18," ")</f>
        <v xml:space="preserve"> </v>
      </c>
      <c r="L18" t="str">
        <f>IF(Kupa!O18&gt;0,Kupa!O18," ")</f>
        <v xml:space="preserve"> </v>
      </c>
      <c r="M18" t="str">
        <f>IF(Kupa!Q18&gt;0,Kupa!Q18," ")</f>
        <v xml:space="preserve"> </v>
      </c>
    </row>
    <row r="19" spans="4:13" x14ac:dyDescent="0.2">
      <c r="D19" t="str">
        <f>IF(Kupa!D19&gt;0,Kupa!D19," ")</f>
        <v>6083738</v>
      </c>
      <c r="E19" s="997" t="str">
        <f>IF(Kupa!H19&gt;0,Kupa!H19," ")</f>
        <v xml:space="preserve"> </v>
      </c>
      <c r="F19" s="997" t="str">
        <f>IF(Kupa!I19&gt;0,Kupa!I19," ")</f>
        <v xml:space="preserve"> </v>
      </c>
      <c r="G19" s="1020" t="str">
        <f>IF(Kupa!J19&gt;0,Kupa!J19," ")</f>
        <v xml:space="preserve"> </v>
      </c>
      <c r="H19" s="997" t="str">
        <f>IF(Kupa!K19&gt;0,Kupa!K19," ")</f>
        <v xml:space="preserve"> </v>
      </c>
      <c r="I19" s="997" t="str">
        <f>IF(Kupa!L19&gt;0,Kupa!L19," ")</f>
        <v xml:space="preserve"> </v>
      </c>
      <c r="J19" s="997" t="str">
        <f>IF(Kupa!M19&gt;0,Kupa!M19," ")</f>
        <v xml:space="preserve"> </v>
      </c>
      <c r="K19" s="997" t="str">
        <f>IF(Kupa!N19&gt;0,Kupa!N19," ")</f>
        <v xml:space="preserve"> </v>
      </c>
      <c r="L19" t="str">
        <f>IF(Kupa!O19&gt;0,Kupa!O19," ")</f>
        <v xml:space="preserve"> </v>
      </c>
      <c r="M19" t="str">
        <f>IF(Kupa!Q19&gt;0,Kupa!Q19," ")</f>
        <v xml:space="preserve"> </v>
      </c>
    </row>
    <row r="20" spans="4:13" x14ac:dyDescent="0.2">
      <c r="D20" t="str">
        <f>IF(Kupa!D20&gt;0,Kupa!D20," ")</f>
        <v>4355788</v>
      </c>
      <c r="E20" s="997" t="str">
        <f>IF(Kupa!H20&gt;0,Kupa!H20," ")</f>
        <v xml:space="preserve"> </v>
      </c>
      <c r="F20" s="997" t="str">
        <f>IF(Kupa!I20&gt;0,Kupa!I20," ")</f>
        <v xml:space="preserve"> </v>
      </c>
      <c r="G20" s="1020" t="str">
        <f>IF(Kupa!J20&gt;0,Kupa!J20," ")</f>
        <v xml:space="preserve"> </v>
      </c>
      <c r="H20" s="997" t="str">
        <f>IF(Kupa!K20&gt;0,Kupa!K20," ")</f>
        <v xml:space="preserve"> </v>
      </c>
      <c r="I20" s="997" t="str">
        <f>IF(Kupa!L20&gt;0,Kupa!L20," ")</f>
        <v xml:space="preserve"> </v>
      </c>
      <c r="J20" s="997" t="str">
        <f>IF(Kupa!M20&gt;0,Kupa!M20," ")</f>
        <v xml:space="preserve"> </v>
      </c>
      <c r="K20" s="997" t="str">
        <f>IF(Kupa!N20&gt;0,Kupa!N20," ")</f>
        <v xml:space="preserve"> </v>
      </c>
      <c r="L20" t="str">
        <f>IF(Kupa!O20&gt;0,Kupa!O20," ")</f>
        <v xml:space="preserve"> </v>
      </c>
      <c r="M20" t="str">
        <f>IF(Kupa!Q20&gt;0,Kupa!Q20," ")</f>
        <v xml:space="preserve"> </v>
      </c>
    </row>
    <row r="21" spans="4:13" x14ac:dyDescent="0.2">
      <c r="D21" t="str">
        <f>IF(Kupa!D21&gt;0,Kupa!D21," ")</f>
        <v>69002</v>
      </c>
      <c r="E21" s="997" t="str">
        <f>IF(Kupa!H21&gt;0,Kupa!H21," ")</f>
        <v xml:space="preserve"> </v>
      </c>
      <c r="F21" s="997" t="str">
        <f>IF(Kupa!I21&gt;0,Kupa!I21," ")</f>
        <v xml:space="preserve"> </v>
      </c>
      <c r="G21" s="1020" t="str">
        <f>IF(Kupa!J21&gt;0,Kupa!J21," ")</f>
        <v xml:space="preserve"> </v>
      </c>
      <c r="H21" s="997" t="str">
        <f>IF(Kupa!K21&gt;0,Kupa!K21," ")</f>
        <v xml:space="preserve"> </v>
      </c>
      <c r="I21" s="997" t="str">
        <f>IF(Kupa!L21&gt;0,Kupa!L21," ")</f>
        <v xml:space="preserve"> </v>
      </c>
      <c r="J21" s="997" t="str">
        <f>IF(Kupa!M21&gt;0,Kupa!M21," ")</f>
        <v xml:space="preserve"> </v>
      </c>
      <c r="K21" s="997" t="str">
        <f>IF(Kupa!N21&gt;0,Kupa!N21," ")</f>
        <v xml:space="preserve"> </v>
      </c>
      <c r="L21" t="str">
        <f>IF(Kupa!O21&gt;0,Kupa!O21," ")</f>
        <v xml:space="preserve"> </v>
      </c>
      <c r="M21" t="str">
        <f>IF(Kupa!Q21&gt;0,Kupa!Q21," ")</f>
        <v xml:space="preserve"> </v>
      </c>
    </row>
    <row r="22" spans="4:13" x14ac:dyDescent="0.2">
      <c r="D22" t="str">
        <f>IF(Kupa!D22&gt;0,Kupa!D22," ")</f>
        <v>911245475</v>
      </c>
      <c r="E22" s="997" t="str">
        <f>IF(Kupa!H22&gt;0,Kupa!H22," ")</f>
        <v xml:space="preserve"> </v>
      </c>
      <c r="F22" s="997" t="str">
        <f>IF(Kupa!I22&gt;0,Kupa!I22," ")</f>
        <v xml:space="preserve"> </v>
      </c>
      <c r="G22" s="1020" t="str">
        <f>IF(Kupa!J22&gt;0,Kupa!J22," ")</f>
        <v xml:space="preserve"> </v>
      </c>
      <c r="H22" s="997" t="str">
        <f>IF(Kupa!K22&gt;0,Kupa!K22," ")</f>
        <v xml:space="preserve"> </v>
      </c>
      <c r="I22" s="997" t="str">
        <f>IF(Kupa!L22&gt;0,Kupa!L22," ")</f>
        <v xml:space="preserve"> </v>
      </c>
      <c r="J22" s="997" t="str">
        <f>IF(Kupa!M22&gt;0,Kupa!M22," ")</f>
        <v xml:space="preserve"> </v>
      </c>
      <c r="K22" s="997" t="str">
        <f>IF(Kupa!N22&gt;0,Kupa!N22," ")</f>
        <v xml:space="preserve"> </v>
      </c>
      <c r="L22" t="str">
        <f>IF(Kupa!O22&gt;0,Kupa!O22," ")</f>
        <v xml:space="preserve"> </v>
      </c>
      <c r="M22" t="str">
        <f>IF(Kupa!Q22&gt;0,Kupa!Q22," ")</f>
        <v xml:space="preserve"> </v>
      </c>
    </row>
    <row r="23" spans="4:13" x14ac:dyDescent="0.2">
      <c r="D23" t="str">
        <f>IF(Kupa!D23&gt;0,Kupa!D23," ")</f>
        <v>922972106</v>
      </c>
      <c r="E23" s="997" t="str">
        <f>IF(Kupa!H23&gt;0,Kupa!H23," ")</f>
        <v xml:space="preserve"> </v>
      </c>
      <c r="F23" s="997" t="str">
        <f>IF(Kupa!I23&gt;0,Kupa!I23," ")</f>
        <v xml:space="preserve"> </v>
      </c>
      <c r="G23" s="1020" t="str">
        <f>IF(Kupa!J23&gt;0,Kupa!J23," ")</f>
        <v xml:space="preserve"> </v>
      </c>
      <c r="H23" s="997" t="str">
        <f>IF(Kupa!K23&gt;0,Kupa!K23," ")</f>
        <v xml:space="preserve"> </v>
      </c>
      <c r="I23" s="997" t="str">
        <f>IF(Kupa!L23&gt;0,Kupa!L23," ")</f>
        <v xml:space="preserve"> </v>
      </c>
      <c r="J23" s="997" t="str">
        <f>IF(Kupa!M23&gt;0,Kupa!M23," ")</f>
        <v xml:space="preserve"> </v>
      </c>
      <c r="K23" s="997" t="str">
        <f>IF(Kupa!N23&gt;0,Kupa!N23," ")</f>
        <v xml:space="preserve"> </v>
      </c>
      <c r="L23" t="str">
        <f>IF(Kupa!O23&gt;0,Kupa!O23," ")</f>
        <v xml:space="preserve"> </v>
      </c>
      <c r="M23" t="str">
        <f>IF(Kupa!Q23&gt;0,Kupa!Q23," ")</f>
        <v xml:space="preserve"> </v>
      </c>
    </row>
    <row r="24" spans="4:13" x14ac:dyDescent="0.2">
      <c r="D24" t="str">
        <f>IF(Kupa!D24&gt;0,Kupa!D24," ")</f>
        <v>056078603</v>
      </c>
      <c r="E24" s="997" t="str">
        <f>IF(Kupa!H24&gt;0,Kupa!H24," ")</f>
        <v xml:space="preserve"> </v>
      </c>
      <c r="F24" s="997">
        <f>IF(Kupa!I24&gt;0,Kupa!I24," ")</f>
        <v>42.18</v>
      </c>
      <c r="G24" s="1020" t="str">
        <f>IF(Kupa!J24&gt;0,Kupa!J24," ")</f>
        <v xml:space="preserve"> </v>
      </c>
      <c r="H24" s="997" t="str">
        <f>IF(Kupa!K24&gt;0,Kupa!K24," ")</f>
        <v xml:space="preserve"> </v>
      </c>
      <c r="I24" s="997" t="str">
        <f>IF(Kupa!L24&gt;0,Kupa!L24," ")</f>
        <v xml:space="preserve"> </v>
      </c>
      <c r="J24" s="997" t="str">
        <f>IF(Kupa!M24&gt;0,Kupa!M24," ")</f>
        <v xml:space="preserve"> </v>
      </c>
      <c r="K24" s="997">
        <f>IF(Kupa!N24&gt;0,Kupa!N24," ")</f>
        <v>8.44</v>
      </c>
      <c r="L24" t="str">
        <f>IF(Kupa!O24&gt;0,Kupa!O24," ")</f>
        <v xml:space="preserve"> </v>
      </c>
      <c r="M24" t="str">
        <f>IF(Kupa!Q24&gt;0,Kupa!Q24," ")</f>
        <v xml:space="preserve"> </v>
      </c>
    </row>
    <row r="25" spans="4:13" x14ac:dyDescent="0.2">
      <c r="D25" t="str">
        <f>IF(Kupa!D25&gt;0,Kupa!D25," ")</f>
        <v xml:space="preserve"> </v>
      </c>
      <c r="E25" s="997" t="str">
        <f>IF(Kupa!H25&gt;0,Kupa!H25," ")</f>
        <v xml:space="preserve"> </v>
      </c>
      <c r="F25" s="997" t="str">
        <f>IF(Kupa!I25&gt;0,Kupa!I25," ")</f>
        <v xml:space="preserve"> </v>
      </c>
      <c r="G25" s="1020" t="str">
        <f>IF(Kupa!J25&gt;0,Kupa!J25," ")</f>
        <v xml:space="preserve"> </v>
      </c>
      <c r="H25" s="997" t="str">
        <f>IF(Kupa!K25&gt;0,Kupa!K25," ")</f>
        <v xml:space="preserve"> </v>
      </c>
      <c r="I25" s="997" t="str">
        <f>IF(Kupa!L25&gt;0,Kupa!L25," ")</f>
        <v xml:space="preserve"> </v>
      </c>
      <c r="J25" s="997" t="str">
        <f>IF(Kupa!M25&gt;0,Kupa!M25," ")</f>
        <v xml:space="preserve"> </v>
      </c>
      <c r="K25" s="997" t="str">
        <f>IF(Kupa!N25&gt;0,Kupa!N25," ")</f>
        <v xml:space="preserve"> </v>
      </c>
      <c r="L25" t="str">
        <f>IF(Kupa!O25&gt;0,Kupa!O25," ")</f>
        <v xml:space="preserve"> </v>
      </c>
      <c r="M25" t="str">
        <f>IF(Kupa!Q25&gt;0,Kupa!Q25," ")</f>
        <v xml:space="preserve"> </v>
      </c>
    </row>
    <row r="26" spans="4:13" x14ac:dyDescent="0.2">
      <c r="D26" t="str">
        <f>IF(Kupa!D26&gt;0,Kupa!D26," ")</f>
        <v xml:space="preserve"> </v>
      </c>
      <c r="E26" s="997" t="str">
        <f>IF(Kupa!H26&gt;0,Kupa!H26," ")</f>
        <v xml:space="preserve"> </v>
      </c>
      <c r="F26" s="997" t="str">
        <f>IF(Kupa!I26&gt;0,Kupa!I26," ")</f>
        <v xml:space="preserve"> </v>
      </c>
      <c r="G26" s="1020" t="str">
        <f>IF(Kupa!J26&gt;0,Kupa!J26," ")</f>
        <v xml:space="preserve"> </v>
      </c>
      <c r="H26" s="997" t="str">
        <f>IF(Kupa!K26&gt;0,Kupa!K26," ")</f>
        <v xml:space="preserve"> </v>
      </c>
      <c r="I26" s="997" t="str">
        <f>IF(Kupa!L26&gt;0,Kupa!L26," ")</f>
        <v xml:space="preserve"> </v>
      </c>
      <c r="J26" s="997" t="str">
        <f>IF(Kupa!M26&gt;0,Kupa!M26," ")</f>
        <v xml:space="preserve"> </v>
      </c>
      <c r="K26" s="997" t="str">
        <f>IF(Kupa!N26&gt;0,Kupa!N26," ")</f>
        <v xml:space="preserve"> </v>
      </c>
      <c r="L26" t="str">
        <f>IF(Kupa!O26&gt;0,Kupa!O26," ")</f>
        <v xml:space="preserve"> </v>
      </c>
      <c r="M26" t="str">
        <f>IF(Kupa!Q26&gt;0,Kupa!Q26," ")</f>
        <v xml:space="preserve"> </v>
      </c>
    </row>
    <row r="27" spans="4:13" x14ac:dyDescent="0.2">
      <c r="D27" t="str">
        <f>IF(Kupa!D27&gt;0,Kupa!D27," ")</f>
        <v xml:space="preserve"> </v>
      </c>
      <c r="E27" s="997" t="str">
        <f>IF(Kupa!H27&gt;0,Kupa!H27," ")</f>
        <v xml:space="preserve"> </v>
      </c>
      <c r="F27" s="997" t="str">
        <f>IF(Kupa!I27&gt;0,Kupa!I27," ")</f>
        <v xml:space="preserve"> </v>
      </c>
      <c r="G27" s="1020" t="str">
        <f>IF(Kupa!J27&gt;0,Kupa!J27," ")</f>
        <v xml:space="preserve"> </v>
      </c>
      <c r="H27" s="997" t="str">
        <f>IF(Kupa!K27&gt;0,Kupa!K27," ")</f>
        <v xml:space="preserve"> </v>
      </c>
      <c r="I27" s="997" t="str">
        <f>IF(Kupa!L27&gt;0,Kupa!L27," ")</f>
        <v xml:space="preserve"> </v>
      </c>
      <c r="J27" s="997" t="str">
        <f>IF(Kupa!M27&gt;0,Kupa!M27," ")</f>
        <v xml:space="preserve"> </v>
      </c>
      <c r="K27" s="997" t="str">
        <f>IF(Kupa!N27&gt;0,Kupa!N27," ")</f>
        <v xml:space="preserve"> </v>
      </c>
      <c r="L27" t="str">
        <f>IF(Kupa!O27&gt;0,Kupa!O27," ")</f>
        <v xml:space="preserve"> </v>
      </c>
      <c r="M27" t="str">
        <f>IF(Kupa!Q27&gt;0,Kupa!Q27," ")</f>
        <v xml:space="preserve"> </v>
      </c>
    </row>
    <row r="28" spans="4:13" x14ac:dyDescent="0.2">
      <c r="D28" t="str">
        <f>IF(Kupa!D28&gt;0,Kupa!D28," ")</f>
        <v xml:space="preserve"> </v>
      </c>
      <c r="E28" s="997" t="str">
        <f>IF(Kupa!H28&gt;0,Kupa!H28," ")</f>
        <v xml:space="preserve"> </v>
      </c>
      <c r="F28" s="997" t="str">
        <f>IF(Kupa!I28&gt;0,Kupa!I28," ")</f>
        <v xml:space="preserve"> </v>
      </c>
      <c r="G28" s="1020" t="str">
        <f>IF(Kupa!J28&gt;0,Kupa!J28," ")</f>
        <v xml:space="preserve"> </v>
      </c>
      <c r="H28" s="997" t="str">
        <f>IF(Kupa!K28&gt;0,Kupa!K28," ")</f>
        <v xml:space="preserve"> </v>
      </c>
      <c r="I28" s="997" t="str">
        <f>IF(Kupa!L28&gt;0,Kupa!L28," ")</f>
        <v xml:space="preserve"> </v>
      </c>
      <c r="J28" s="997" t="str">
        <f>IF(Kupa!M28&gt;0,Kupa!M28," ")</f>
        <v xml:space="preserve"> </v>
      </c>
      <c r="K28" s="997" t="str">
        <f>IF(Kupa!N28&gt;0,Kupa!N28," ")</f>
        <v xml:space="preserve"> </v>
      </c>
      <c r="L28" t="str">
        <f>IF(Kupa!O28&gt;0,Kupa!O28," ")</f>
        <v xml:space="preserve"> </v>
      </c>
      <c r="M28" t="str">
        <f>IF(Kupa!Q28&gt;0,Kupa!Q28," ")</f>
        <v xml:space="preserve"> </v>
      </c>
    </row>
    <row r="29" spans="4:13" x14ac:dyDescent="0.2">
      <c r="D29" t="str">
        <f>IF(Kupa!D29&gt;0,Kupa!D29," ")</f>
        <v xml:space="preserve"> </v>
      </c>
      <c r="E29" s="997" t="str">
        <f>IF(Kupa!H29&gt;0,Kupa!H29," ")</f>
        <v xml:space="preserve"> </v>
      </c>
      <c r="F29" s="997" t="str">
        <f>IF(Kupa!I29&gt;0,Kupa!I29," ")</f>
        <v xml:space="preserve"> </v>
      </c>
      <c r="G29" s="1020" t="str">
        <f>IF(Kupa!J29&gt;0,Kupa!J29," ")</f>
        <v xml:space="preserve"> </v>
      </c>
      <c r="H29" s="997" t="str">
        <f>IF(Kupa!K29&gt;0,Kupa!K29," ")</f>
        <v xml:space="preserve"> </v>
      </c>
      <c r="I29" s="997" t="str">
        <f>IF(Kupa!L29&gt;0,Kupa!L29," ")</f>
        <v xml:space="preserve"> </v>
      </c>
      <c r="J29" s="997" t="str">
        <f>IF(Kupa!M29&gt;0,Kupa!M29," ")</f>
        <v xml:space="preserve"> </v>
      </c>
      <c r="K29" s="997" t="str">
        <f>IF(Kupa!N29&gt;0,Kupa!N29," ")</f>
        <v xml:space="preserve"> </v>
      </c>
      <c r="L29" t="str">
        <f>IF(Kupa!O29&gt;0,Kupa!O29," ")</f>
        <v xml:space="preserve"> </v>
      </c>
      <c r="M29" t="str">
        <f>IF(Kupa!Q29&gt;0,Kupa!Q29," ")</f>
        <v xml:space="preserve"> </v>
      </c>
    </row>
    <row r="30" spans="4:13" x14ac:dyDescent="0.2">
      <c r="D30" t="str">
        <f>IF(Kupa!D30&gt;0,Kupa!D30," ")</f>
        <v xml:space="preserve"> </v>
      </c>
      <c r="E30" s="997" t="str">
        <f>IF(Kupa!H30&gt;0,Kupa!H30," ")</f>
        <v xml:space="preserve"> </v>
      </c>
      <c r="F30" s="997" t="str">
        <f>IF(Kupa!I30&gt;0,Kupa!I30," ")</f>
        <v xml:space="preserve"> </v>
      </c>
      <c r="G30" s="1020" t="str">
        <f>IF(Kupa!J30&gt;0,Kupa!J30," ")</f>
        <v xml:space="preserve"> </v>
      </c>
      <c r="H30" s="997" t="str">
        <f>IF(Kupa!K30&gt;0,Kupa!K30," ")</f>
        <v xml:space="preserve"> </v>
      </c>
      <c r="I30" s="997" t="str">
        <f>IF(Kupa!L30&gt;0,Kupa!L30," ")</f>
        <v xml:space="preserve"> </v>
      </c>
      <c r="J30" s="997" t="str">
        <f>IF(Kupa!M30&gt;0,Kupa!M30," ")</f>
        <v xml:space="preserve"> </v>
      </c>
      <c r="K30" s="997" t="str">
        <f>IF(Kupa!N30&gt;0,Kupa!N30," ")</f>
        <v xml:space="preserve"> </v>
      </c>
      <c r="L30" t="str">
        <f>IF(Kupa!O30&gt;0,Kupa!O30," ")</f>
        <v xml:space="preserve"> </v>
      </c>
      <c r="M30" t="str">
        <f>IF(Kupa!Q30&gt;0,Kupa!Q30," ")</f>
        <v xml:space="preserve"> </v>
      </c>
    </row>
    <row r="31" spans="4:13" x14ac:dyDescent="0.2">
      <c r="D31" t="str">
        <f>IF(Kupa!D31&gt;0,Kupa!D31," ")</f>
        <v xml:space="preserve"> </v>
      </c>
      <c r="E31" s="997" t="str">
        <f>IF(Kupa!H31&gt;0,Kupa!H31," ")</f>
        <v xml:space="preserve"> </v>
      </c>
      <c r="F31" s="997" t="str">
        <f>IF(Kupa!I31&gt;0,Kupa!I31," ")</f>
        <v xml:space="preserve"> </v>
      </c>
      <c r="G31" s="1020" t="str">
        <f>IF(Kupa!J31&gt;0,Kupa!J31," ")</f>
        <v xml:space="preserve"> </v>
      </c>
      <c r="H31" s="997" t="str">
        <f>IF(Kupa!K31&gt;0,Kupa!K31," ")</f>
        <v xml:space="preserve"> </v>
      </c>
      <c r="I31" s="997" t="str">
        <f>IF(Kupa!L31&gt;0,Kupa!L31," ")</f>
        <v xml:space="preserve"> </v>
      </c>
      <c r="J31" s="997" t="str">
        <f>IF(Kupa!M31&gt;0,Kupa!M31," ")</f>
        <v xml:space="preserve"> </v>
      </c>
      <c r="K31" s="997" t="str">
        <f>IF(Kupa!N31&gt;0,Kupa!N31," ")</f>
        <v xml:space="preserve"> </v>
      </c>
      <c r="L31" t="str">
        <f>IF(Kupa!O31&gt;0,Kupa!O31," ")</f>
        <v xml:space="preserve"> </v>
      </c>
      <c r="M31" t="str">
        <f>IF(Kupa!Q31&gt;0,Kupa!Q31," ")</f>
        <v xml:space="preserve"> </v>
      </c>
    </row>
    <row r="32" spans="4:13" x14ac:dyDescent="0.2">
      <c r="D32" t="str">
        <f>IF(Kupa!D32&gt;0,Kupa!D32," ")</f>
        <v xml:space="preserve"> </v>
      </c>
      <c r="E32" s="997" t="str">
        <f>IF(Kupa!H32&gt;0,Kupa!H32," ")</f>
        <v xml:space="preserve"> </v>
      </c>
      <c r="F32" s="997" t="str">
        <f>IF(Kupa!I32&gt;0,Kupa!I32," ")</f>
        <v xml:space="preserve"> </v>
      </c>
      <c r="G32" s="1020" t="str">
        <f>IF(Kupa!J32&gt;0,Kupa!J32," ")</f>
        <v xml:space="preserve"> </v>
      </c>
      <c r="H32" s="997" t="str">
        <f>IF(Kupa!K32&gt;0,Kupa!K32," ")</f>
        <v xml:space="preserve"> </v>
      </c>
      <c r="I32" s="997" t="str">
        <f>IF(Kupa!L32&gt;0,Kupa!L32," ")</f>
        <v xml:space="preserve"> </v>
      </c>
      <c r="J32" s="997" t="str">
        <f>IF(Kupa!M32&gt;0,Kupa!M32," ")</f>
        <v xml:space="preserve"> </v>
      </c>
      <c r="K32" s="997" t="str">
        <f>IF(Kupa!N32&gt;0,Kupa!N32," ")</f>
        <v xml:space="preserve"> </v>
      </c>
      <c r="L32" t="str">
        <f>IF(Kupa!O32&gt;0,Kupa!O32," ")</f>
        <v xml:space="preserve"> </v>
      </c>
      <c r="M32" t="str">
        <f>IF(Kupa!Q32&gt;0,Kupa!Q32," ")</f>
        <v xml:space="preserve"> </v>
      </c>
    </row>
    <row r="33" spans="4:13" x14ac:dyDescent="0.2">
      <c r="D33" t="str">
        <f>IF(Kupa!D33&gt;0,Kupa!D33," ")</f>
        <v xml:space="preserve"> </v>
      </c>
      <c r="E33" s="997" t="str">
        <f>IF(Kupa!H33&gt;0,Kupa!H33," ")</f>
        <v xml:space="preserve"> </v>
      </c>
      <c r="F33" s="997" t="str">
        <f>IF(Kupa!I33&gt;0,Kupa!I33," ")</f>
        <v xml:space="preserve"> </v>
      </c>
      <c r="G33" s="1020" t="str">
        <f>IF(Kupa!J33&gt;0,Kupa!J33," ")</f>
        <v xml:space="preserve"> </v>
      </c>
      <c r="H33" s="997" t="str">
        <f>IF(Kupa!K33&gt;0,Kupa!K33," ")</f>
        <v xml:space="preserve"> </v>
      </c>
      <c r="I33" s="997" t="str">
        <f>IF(Kupa!L33&gt;0,Kupa!L33," ")</f>
        <v xml:space="preserve"> </v>
      </c>
      <c r="J33" s="997" t="str">
        <f>IF(Kupa!M33&gt;0,Kupa!M33," ")</f>
        <v xml:space="preserve"> </v>
      </c>
      <c r="K33" s="997" t="str">
        <f>IF(Kupa!N33&gt;0,Kupa!N33," ")</f>
        <v xml:space="preserve"> </v>
      </c>
      <c r="L33" t="str">
        <f>IF(Kupa!O33&gt;0,Kupa!O33," ")</f>
        <v xml:space="preserve"> </v>
      </c>
      <c r="M33" t="str">
        <f>IF(Kupa!Q33&gt;0,Kupa!Q33," ")</f>
        <v xml:space="preserve"> </v>
      </c>
    </row>
    <row r="34" spans="4:13" x14ac:dyDescent="0.2">
      <c r="D34" t="str">
        <f>IF(Kupa!D34&gt;0,Kupa!D34," ")</f>
        <v xml:space="preserve"> </v>
      </c>
      <c r="E34" s="997" t="str">
        <f>IF(Kupa!H34&gt;0,Kupa!H34," ")</f>
        <v xml:space="preserve"> </v>
      </c>
      <c r="F34" s="997" t="str">
        <f>IF(Kupa!I34&gt;0,Kupa!I34," ")</f>
        <v xml:space="preserve"> </v>
      </c>
      <c r="G34" s="1020" t="str">
        <f>IF(Kupa!J34&gt;0,Kupa!J34," ")</f>
        <v xml:space="preserve"> </v>
      </c>
      <c r="H34" s="997" t="str">
        <f>IF(Kupa!K34&gt;0,Kupa!K34," ")</f>
        <v xml:space="preserve"> </v>
      </c>
      <c r="I34" s="997" t="str">
        <f>IF(Kupa!L34&gt;0,Kupa!L34," ")</f>
        <v xml:space="preserve"> </v>
      </c>
      <c r="J34" s="997" t="str">
        <f>IF(Kupa!M34&gt;0,Kupa!M34," ")</f>
        <v xml:space="preserve"> </v>
      </c>
      <c r="K34" s="997" t="str">
        <f>IF(Kupa!N34&gt;0,Kupa!N34," ")</f>
        <v xml:space="preserve"> </v>
      </c>
      <c r="L34" t="str">
        <f>IF(Kupa!O34&gt;0,Kupa!O34," ")</f>
        <v xml:space="preserve"> </v>
      </c>
      <c r="M34" t="str">
        <f>IF(Kupa!Q34&gt;0,Kupa!Q34," ")</f>
        <v xml:space="preserve"> </v>
      </c>
    </row>
    <row r="35" spans="4:13" x14ac:dyDescent="0.2">
      <c r="D35" t="str">
        <f>IF(Kupa!D35&gt;0,Kupa!D35," ")</f>
        <v xml:space="preserve"> </v>
      </c>
      <c r="E35" s="997" t="str">
        <f>IF(Kupa!H35&gt;0,Kupa!H35," ")</f>
        <v xml:space="preserve"> </v>
      </c>
      <c r="F35" s="997" t="str">
        <f>IF(Kupa!I35&gt;0,Kupa!I35," ")</f>
        <v xml:space="preserve"> </v>
      </c>
      <c r="G35" s="1020" t="str">
        <f>IF(Kupa!J35&gt;0,Kupa!J35," ")</f>
        <v xml:space="preserve"> </v>
      </c>
      <c r="H35" s="997" t="str">
        <f>IF(Kupa!K35&gt;0,Kupa!K35," ")</f>
        <v xml:space="preserve"> </v>
      </c>
      <c r="I35" s="997" t="str">
        <f>IF(Kupa!L35&gt;0,Kupa!L35," ")</f>
        <v xml:space="preserve"> </v>
      </c>
      <c r="J35" s="997" t="str">
        <f>IF(Kupa!M35&gt;0,Kupa!M35," ")</f>
        <v xml:space="preserve"> </v>
      </c>
      <c r="K35" s="997" t="str">
        <f>IF(Kupa!N35&gt;0,Kupa!N35," ")</f>
        <v xml:space="preserve"> </v>
      </c>
      <c r="L35" t="str">
        <f>IF(Kupa!O35&gt;0,Kupa!O35," ")</f>
        <v xml:space="preserve"> </v>
      </c>
      <c r="M35" t="str">
        <f>IF(Kupa!Q35&gt;0,Kupa!Q35," ")</f>
        <v xml:space="preserve"> </v>
      </c>
    </row>
    <row r="36" spans="4:13" x14ac:dyDescent="0.2">
      <c r="D36" t="str">
        <f>IF(Kupa!D36&gt;0,Kupa!D36," ")</f>
        <v xml:space="preserve"> </v>
      </c>
      <c r="E36" s="997" t="str">
        <f>IF(Kupa!H36&gt;0,Kupa!H36," ")</f>
        <v xml:space="preserve"> </v>
      </c>
      <c r="F36" s="997" t="str">
        <f>IF(Kupa!I36&gt;0,Kupa!I36," ")</f>
        <v xml:space="preserve"> </v>
      </c>
      <c r="G36" s="1020" t="str">
        <f>IF(Kupa!J36&gt;0,Kupa!J36," ")</f>
        <v xml:space="preserve"> </v>
      </c>
      <c r="H36" s="997" t="str">
        <f>IF(Kupa!K36&gt;0,Kupa!K36," ")</f>
        <v xml:space="preserve"> </v>
      </c>
      <c r="I36" s="997" t="str">
        <f>IF(Kupa!L36&gt;0,Kupa!L36," ")</f>
        <v xml:space="preserve"> </v>
      </c>
      <c r="J36" s="997" t="str">
        <f>IF(Kupa!M36&gt;0,Kupa!M36," ")</f>
        <v xml:space="preserve"> </v>
      </c>
      <c r="K36" s="997" t="str">
        <f>IF(Kupa!N36&gt;0,Kupa!N36," ")</f>
        <v xml:space="preserve"> </v>
      </c>
      <c r="L36" t="str">
        <f>IF(Kupa!O36&gt;0,Kupa!O36," ")</f>
        <v xml:space="preserve"> </v>
      </c>
      <c r="M36" t="str">
        <f>IF(Kupa!Q36&gt;0,Kupa!Q36," ")</f>
        <v xml:space="preserve"> </v>
      </c>
    </row>
    <row r="37" spans="4:13" x14ac:dyDescent="0.2">
      <c r="D37" t="str">
        <f>IF(Kupa!D37&gt;0,Kupa!D37," ")</f>
        <v xml:space="preserve"> </v>
      </c>
      <c r="E37" s="997" t="str">
        <f>IF(Kupa!H37&gt;0,Kupa!H37," ")</f>
        <v xml:space="preserve"> </v>
      </c>
      <c r="F37" s="997" t="str">
        <f>IF(Kupa!I37&gt;0,Kupa!I37," ")</f>
        <v xml:space="preserve"> </v>
      </c>
      <c r="G37" s="1020" t="str">
        <f>IF(Kupa!J37&gt;0,Kupa!J37," ")</f>
        <v xml:space="preserve"> </v>
      </c>
      <c r="H37" s="997" t="str">
        <f>IF(Kupa!K37&gt;0,Kupa!K37," ")</f>
        <v xml:space="preserve"> </v>
      </c>
      <c r="I37" s="997" t="str">
        <f>IF(Kupa!L37&gt;0,Kupa!L37," ")</f>
        <v xml:space="preserve"> </v>
      </c>
      <c r="J37" s="997" t="str">
        <f>IF(Kupa!M37&gt;0,Kupa!M37," ")</f>
        <v xml:space="preserve"> </v>
      </c>
      <c r="K37" s="997" t="str">
        <f>IF(Kupa!N37&gt;0,Kupa!N37," ")</f>
        <v xml:space="preserve"> </v>
      </c>
      <c r="L37" t="str">
        <f>IF(Kupa!O37&gt;0,Kupa!O37," ")</f>
        <v xml:space="preserve"> </v>
      </c>
      <c r="M37" t="str">
        <f>IF(Kupa!Q37&gt;0,Kupa!Q37," ")</f>
        <v xml:space="preserve"> </v>
      </c>
    </row>
    <row r="38" spans="4:13" x14ac:dyDescent="0.2">
      <c r="D38" t="str">
        <f>IF(Kupa!D38&gt;0,Kupa!D38," ")</f>
        <v xml:space="preserve"> </v>
      </c>
      <c r="E38" s="997" t="str">
        <f>IF(Kupa!H38&gt;0,Kupa!H38," ")</f>
        <v xml:space="preserve"> </v>
      </c>
      <c r="F38" s="997" t="str">
        <f>IF(Kupa!I38&gt;0,Kupa!I38," ")</f>
        <v xml:space="preserve"> </v>
      </c>
      <c r="G38" s="1020" t="str">
        <f>IF(Kupa!J38&gt;0,Kupa!J38," ")</f>
        <v xml:space="preserve"> </v>
      </c>
      <c r="H38" s="997" t="str">
        <f>IF(Kupa!K38&gt;0,Kupa!K38," ")</f>
        <v xml:space="preserve"> </v>
      </c>
      <c r="I38" s="997" t="str">
        <f>IF(Kupa!L38&gt;0,Kupa!L38," ")</f>
        <v xml:space="preserve"> </v>
      </c>
      <c r="J38" s="997" t="str">
        <f>IF(Kupa!M38&gt;0,Kupa!M38," ")</f>
        <v xml:space="preserve"> </v>
      </c>
      <c r="K38" s="997" t="str">
        <f>IF(Kupa!N38&gt;0,Kupa!N38," ")</f>
        <v xml:space="preserve"> </v>
      </c>
      <c r="L38" t="str">
        <f>IF(Kupa!O38&gt;0,Kupa!O38," ")</f>
        <v xml:space="preserve"> </v>
      </c>
      <c r="M38" t="str">
        <f>IF(Kupa!Q38&gt;0,Kupa!Q38," ")</f>
        <v xml:space="preserve"> </v>
      </c>
    </row>
    <row r="39" spans="4:13" x14ac:dyDescent="0.2">
      <c r="D39" t="str">
        <f>IF(Kupa!D39&gt;0,Kupa!D39," ")</f>
        <v xml:space="preserve"> </v>
      </c>
      <c r="E39" s="997" t="str">
        <f>IF(Kupa!H39&gt;0,Kupa!H39," ")</f>
        <v xml:space="preserve"> </v>
      </c>
      <c r="F39" s="997" t="str">
        <f>IF(Kupa!I39&gt;0,Kupa!I39," ")</f>
        <v xml:space="preserve"> </v>
      </c>
      <c r="G39" s="1020" t="str">
        <f>IF(Kupa!J39&gt;0,Kupa!J39," ")</f>
        <v xml:space="preserve"> </v>
      </c>
      <c r="H39" s="997" t="str">
        <f>IF(Kupa!K39&gt;0,Kupa!K39," ")</f>
        <v xml:space="preserve"> </v>
      </c>
      <c r="I39" s="997" t="str">
        <f>IF(Kupa!L39&gt;0,Kupa!L39," ")</f>
        <v xml:space="preserve"> </v>
      </c>
      <c r="J39" s="997" t="str">
        <f>IF(Kupa!M39&gt;0,Kupa!M39," ")</f>
        <v xml:space="preserve"> </v>
      </c>
      <c r="K39" s="997" t="str">
        <f>IF(Kupa!N39&gt;0,Kupa!N39," ")</f>
        <v xml:space="preserve"> </v>
      </c>
      <c r="L39" t="str">
        <f>IF(Kupa!O39&gt;0,Kupa!O39," ")</f>
        <v xml:space="preserve"> </v>
      </c>
      <c r="M39" t="str">
        <f>IF(Kupa!Q39&gt;0,Kupa!Q39," ")</f>
        <v xml:space="preserve"> </v>
      </c>
    </row>
    <row r="40" spans="4:13" x14ac:dyDescent="0.2">
      <c r="D40" t="str">
        <f>IF(Kupa!D40&gt;0,Kupa!D40," ")</f>
        <v xml:space="preserve"> </v>
      </c>
      <c r="E40" s="997" t="str">
        <f>IF(Kupa!H40&gt;0,Kupa!H40," ")</f>
        <v xml:space="preserve"> </v>
      </c>
      <c r="F40" s="997" t="str">
        <f>IF(Kupa!I40&gt;0,Kupa!I40," ")</f>
        <v xml:space="preserve"> </v>
      </c>
      <c r="G40" s="1020" t="str">
        <f>IF(Kupa!J40&gt;0,Kupa!J40," ")</f>
        <v xml:space="preserve"> </v>
      </c>
      <c r="H40" s="997" t="str">
        <f>IF(Kupa!K40&gt;0,Kupa!K40," ")</f>
        <v xml:space="preserve"> </v>
      </c>
      <c r="I40" s="997" t="str">
        <f>IF(Kupa!L40&gt;0,Kupa!L40," ")</f>
        <v xml:space="preserve"> </v>
      </c>
      <c r="J40" s="997" t="str">
        <f>IF(Kupa!M40&gt;0,Kupa!M40," ")</f>
        <v xml:space="preserve"> </v>
      </c>
      <c r="K40" s="997" t="str">
        <f>IF(Kupa!N40&gt;0,Kupa!N40," ")</f>
        <v xml:space="preserve"> </v>
      </c>
      <c r="L40" t="str">
        <f>IF(Kupa!O40&gt;0,Kupa!O40," ")</f>
        <v xml:space="preserve"> </v>
      </c>
      <c r="M40" t="str">
        <f>IF(Kupa!Q40&gt;0,Kupa!Q40," ")</f>
        <v xml:space="preserve"> </v>
      </c>
    </row>
    <row r="41" spans="4:13" x14ac:dyDescent="0.2">
      <c r="D41" t="str">
        <f>IF(Kupa!D41&gt;0,Kupa!D41," ")</f>
        <v xml:space="preserve"> </v>
      </c>
      <c r="E41" s="997" t="str">
        <f>IF(Kupa!H41&gt;0,Kupa!H41," ")</f>
        <v xml:space="preserve"> </v>
      </c>
      <c r="F41" s="997" t="str">
        <f>IF(Kupa!I41&gt;0,Kupa!I41," ")</f>
        <v xml:space="preserve"> </v>
      </c>
      <c r="G41" s="1020" t="str">
        <f>IF(Kupa!J41&gt;0,Kupa!J41," ")</f>
        <v xml:space="preserve"> </v>
      </c>
      <c r="H41" s="997" t="str">
        <f>IF(Kupa!K41&gt;0,Kupa!K41," ")</f>
        <v xml:space="preserve"> </v>
      </c>
      <c r="I41" s="997" t="str">
        <f>IF(Kupa!L41&gt;0,Kupa!L41," ")</f>
        <v xml:space="preserve"> </v>
      </c>
      <c r="J41" s="997" t="str">
        <f>IF(Kupa!M41&gt;0,Kupa!M41," ")</f>
        <v xml:space="preserve"> </v>
      </c>
      <c r="K41" s="997" t="str">
        <f>IF(Kupa!N41&gt;0,Kupa!N41," ")</f>
        <v xml:space="preserve"> </v>
      </c>
      <c r="L41" t="str">
        <f>IF(Kupa!O41&gt;0,Kupa!O41," ")</f>
        <v xml:space="preserve"> </v>
      </c>
      <c r="M41" t="str">
        <f>IF(Kupa!Q41&gt;0,Kupa!Q41," ")</f>
        <v xml:space="preserve"> </v>
      </c>
    </row>
    <row r="42" spans="4:13" x14ac:dyDescent="0.2">
      <c r="D42" t="str">
        <f>IF(Kupa!D42&gt;0,Kupa!D42," ")</f>
        <v xml:space="preserve"> </v>
      </c>
      <c r="E42" s="997" t="str">
        <f>IF(Kupa!H42&gt;0,Kupa!H42," ")</f>
        <v xml:space="preserve"> </v>
      </c>
      <c r="F42" s="997" t="str">
        <f>IF(Kupa!I42&gt;0,Kupa!I42," ")</f>
        <v xml:space="preserve"> </v>
      </c>
      <c r="G42" s="1020" t="str">
        <f>IF(Kupa!J42&gt;0,Kupa!J42," ")</f>
        <v xml:space="preserve"> </v>
      </c>
      <c r="H42" s="997" t="str">
        <f>IF(Kupa!K42&gt;0,Kupa!K42," ")</f>
        <v xml:space="preserve"> </v>
      </c>
      <c r="I42" s="997" t="str">
        <f>IF(Kupa!L42&gt;0,Kupa!L42," ")</f>
        <v xml:space="preserve"> </v>
      </c>
      <c r="J42" s="997" t="str">
        <f>IF(Kupa!M42&gt;0,Kupa!M42," ")</f>
        <v xml:space="preserve"> </v>
      </c>
      <c r="K42" s="997" t="str">
        <f>IF(Kupa!N42&gt;0,Kupa!N42," ")</f>
        <v xml:space="preserve"> </v>
      </c>
      <c r="L42" t="str">
        <f>IF(Kupa!O42&gt;0,Kupa!O42," ")</f>
        <v xml:space="preserve"> </v>
      </c>
      <c r="M42" t="str">
        <f>IF(Kupa!Q42&gt;0,Kupa!Q42," ")</f>
        <v xml:space="preserve"> </v>
      </c>
    </row>
    <row r="43" spans="4:13" x14ac:dyDescent="0.2">
      <c r="D43" t="str">
        <f>IF(Kupa!D43&gt;0,Kupa!D43," ")</f>
        <v xml:space="preserve"> </v>
      </c>
      <c r="E43" s="997" t="str">
        <f>IF(Kupa!H43&gt;0,Kupa!H43," ")</f>
        <v xml:space="preserve"> </v>
      </c>
      <c r="F43" s="997" t="str">
        <f>IF(Kupa!I43&gt;0,Kupa!I43," ")</f>
        <v xml:space="preserve"> </v>
      </c>
      <c r="G43" s="1020" t="str">
        <f>IF(Kupa!J43&gt;0,Kupa!J43," ")</f>
        <v xml:space="preserve"> </v>
      </c>
      <c r="H43" s="997" t="str">
        <f>IF(Kupa!K43&gt;0,Kupa!K43," ")</f>
        <v xml:space="preserve"> </v>
      </c>
      <c r="I43" s="997" t="str">
        <f>IF(Kupa!L43&gt;0,Kupa!L43," ")</f>
        <v xml:space="preserve"> </v>
      </c>
      <c r="J43" s="997" t="str">
        <f>IF(Kupa!M43&gt;0,Kupa!M43," ")</f>
        <v xml:space="preserve"> </v>
      </c>
      <c r="K43" s="997" t="str">
        <f>IF(Kupa!N43&gt;0,Kupa!N43," ")</f>
        <v xml:space="preserve"> </v>
      </c>
      <c r="L43" t="str">
        <f>IF(Kupa!O43&gt;0,Kupa!O43," ")</f>
        <v xml:space="preserve"> </v>
      </c>
      <c r="M43" t="str">
        <f>IF(Kupa!Q43&gt;0,Kupa!Q43," ")</f>
        <v xml:space="preserve"> </v>
      </c>
    </row>
    <row r="44" spans="4:13" x14ac:dyDescent="0.2">
      <c r="D44" t="str">
        <f>IF(Kupa!D44&gt;0,Kupa!D44," ")</f>
        <v xml:space="preserve"> </v>
      </c>
      <c r="E44" s="997" t="str">
        <f>IF(Kupa!H44&gt;0,Kupa!H44," ")</f>
        <v xml:space="preserve"> </v>
      </c>
      <c r="F44" s="997" t="str">
        <f>IF(Kupa!I44&gt;0,Kupa!I44," ")</f>
        <v xml:space="preserve"> </v>
      </c>
      <c r="G44" s="1020" t="str">
        <f>IF(Kupa!J44&gt;0,Kupa!J44," ")</f>
        <v xml:space="preserve"> </v>
      </c>
      <c r="H44" s="997" t="str">
        <f>IF(Kupa!K44&gt;0,Kupa!K44," ")</f>
        <v xml:space="preserve"> </v>
      </c>
      <c r="I44" s="997" t="str">
        <f>IF(Kupa!L44&gt;0,Kupa!L44," ")</f>
        <v xml:space="preserve"> </v>
      </c>
      <c r="J44" s="997" t="str">
        <f>IF(Kupa!M44&gt;0,Kupa!M44," ")</f>
        <v xml:space="preserve"> </v>
      </c>
      <c r="K44" s="997" t="str">
        <f>IF(Kupa!N44&gt;0,Kupa!N44," ")</f>
        <v xml:space="preserve"> </v>
      </c>
      <c r="L44" t="str">
        <f>IF(Kupa!O44&gt;0,Kupa!O44," ")</f>
        <v xml:space="preserve"> </v>
      </c>
      <c r="M44" t="str">
        <f>IF(Kupa!Q44&gt;0,Kupa!Q44," ")</f>
        <v xml:space="preserve"> </v>
      </c>
    </row>
    <row r="45" spans="4:13" x14ac:dyDescent="0.2">
      <c r="D45" t="str">
        <f>IF(Kupa!D45&gt;0,Kupa!D45," ")</f>
        <v xml:space="preserve"> </v>
      </c>
      <c r="E45" s="997" t="str">
        <f>IF(Kupa!H45&gt;0,Kupa!H45," ")</f>
        <v xml:space="preserve"> </v>
      </c>
      <c r="F45" s="997" t="str">
        <f>IF(Kupa!I45&gt;0,Kupa!I45," ")</f>
        <v xml:space="preserve"> </v>
      </c>
      <c r="G45" s="1020" t="str">
        <f>IF(Kupa!J45&gt;0,Kupa!J45," ")</f>
        <v xml:space="preserve"> </v>
      </c>
      <c r="H45" s="997" t="str">
        <f>IF(Kupa!K45&gt;0,Kupa!K45," ")</f>
        <v xml:space="preserve"> </v>
      </c>
      <c r="I45" s="997" t="str">
        <f>IF(Kupa!L45&gt;0,Kupa!L45," ")</f>
        <v xml:space="preserve"> </v>
      </c>
      <c r="J45" s="997" t="str">
        <f>IF(Kupa!M45&gt;0,Kupa!M45," ")</f>
        <v xml:space="preserve"> </v>
      </c>
      <c r="K45" s="997" t="str">
        <f>IF(Kupa!N45&gt;0,Kupa!N45," ")</f>
        <v xml:space="preserve"> </v>
      </c>
      <c r="L45" t="str">
        <f>IF(Kupa!O45&gt;0,Kupa!O45," ")</f>
        <v xml:space="preserve"> </v>
      </c>
      <c r="M45" t="str">
        <f>IF(Kupa!Q45&gt;0,Kupa!Q45," ")</f>
        <v xml:space="preserve"> </v>
      </c>
    </row>
    <row r="46" spans="4:13" x14ac:dyDescent="0.2">
      <c r="D46" t="str">
        <f>IF(Kupa!D46&gt;0,Kupa!D46," ")</f>
        <v xml:space="preserve"> </v>
      </c>
      <c r="E46" s="997" t="str">
        <f>IF(Kupa!H46&gt;0,Kupa!H46," ")</f>
        <v xml:space="preserve"> </v>
      </c>
      <c r="F46" s="997" t="str">
        <f>IF(Kupa!I46&gt;0,Kupa!I46," ")</f>
        <v xml:space="preserve"> </v>
      </c>
      <c r="G46" s="1020" t="str">
        <f>IF(Kupa!J46&gt;0,Kupa!J46," ")</f>
        <v xml:space="preserve"> </v>
      </c>
      <c r="H46" s="997" t="str">
        <f>IF(Kupa!K46&gt;0,Kupa!K46," ")</f>
        <v xml:space="preserve"> </v>
      </c>
      <c r="I46" s="997" t="str">
        <f>IF(Kupa!L46&gt;0,Kupa!L46," ")</f>
        <v xml:space="preserve"> </v>
      </c>
      <c r="J46" s="997" t="str">
        <f>IF(Kupa!M46&gt;0,Kupa!M46," ")</f>
        <v xml:space="preserve"> </v>
      </c>
      <c r="K46" s="997" t="str">
        <f>IF(Kupa!N46&gt;0,Kupa!N46," ")</f>
        <v xml:space="preserve"> </v>
      </c>
      <c r="L46" t="str">
        <f>IF(Kupa!O46&gt;0,Kupa!O46," ")</f>
        <v xml:space="preserve"> </v>
      </c>
      <c r="M46" t="str">
        <f>IF(Kupa!Q46&gt;0,Kupa!Q46," ")</f>
        <v xml:space="preserve"> </v>
      </c>
    </row>
    <row r="47" spans="4:13" x14ac:dyDescent="0.2">
      <c r="D47" t="str">
        <f>IF(Kupa!D47&gt;0,Kupa!D47," ")</f>
        <v xml:space="preserve"> </v>
      </c>
      <c r="E47" s="997" t="str">
        <f>IF(Kupa!H47&gt;0,Kupa!H47," ")</f>
        <v xml:space="preserve"> </v>
      </c>
      <c r="F47" s="997" t="str">
        <f>IF(Kupa!I47&gt;0,Kupa!I47," ")</f>
        <v xml:space="preserve"> </v>
      </c>
      <c r="G47" s="1020" t="str">
        <f>IF(Kupa!J47&gt;0,Kupa!J47," ")</f>
        <v xml:space="preserve"> </v>
      </c>
      <c r="H47" s="997" t="str">
        <f>IF(Kupa!K47&gt;0,Kupa!K47," ")</f>
        <v xml:space="preserve"> </v>
      </c>
      <c r="I47" s="997" t="str">
        <f>IF(Kupa!L47&gt;0,Kupa!L47," ")</f>
        <v xml:space="preserve"> </v>
      </c>
      <c r="J47" s="997" t="str">
        <f>IF(Kupa!M47&gt;0,Kupa!M47," ")</f>
        <v xml:space="preserve"> </v>
      </c>
      <c r="K47" s="997" t="str">
        <f>IF(Kupa!N47&gt;0,Kupa!N47," ")</f>
        <v xml:space="preserve"> </v>
      </c>
      <c r="L47" t="str">
        <f>IF(Kupa!O47&gt;0,Kupa!O47," ")</f>
        <v xml:space="preserve"> </v>
      </c>
      <c r="M47" t="str">
        <f>IF(Kupa!Q47&gt;0,Kupa!Q47," ")</f>
        <v xml:space="preserve"> </v>
      </c>
    </row>
    <row r="48" spans="4:13" x14ac:dyDescent="0.2">
      <c r="D48" t="str">
        <f>IF(Kupa!D48&gt;0,Kupa!D48," ")</f>
        <v xml:space="preserve"> </v>
      </c>
      <c r="E48" s="997" t="str">
        <f>IF(Kupa!H48&gt;0,Kupa!H48," ")</f>
        <v xml:space="preserve"> </v>
      </c>
      <c r="F48" s="997" t="str">
        <f>IF(Kupa!I48&gt;0,Kupa!I48," ")</f>
        <v xml:space="preserve"> </v>
      </c>
      <c r="G48" s="1020" t="str">
        <f>IF(Kupa!J48&gt;0,Kupa!J48," ")</f>
        <v xml:space="preserve"> </v>
      </c>
      <c r="H48" s="997" t="str">
        <f>IF(Kupa!K48&gt;0,Kupa!K48," ")</f>
        <v xml:space="preserve"> </v>
      </c>
      <c r="I48" s="997" t="str">
        <f>IF(Kupa!L48&gt;0,Kupa!L48," ")</f>
        <v xml:space="preserve"> </v>
      </c>
      <c r="J48" s="997" t="str">
        <f>IF(Kupa!M48&gt;0,Kupa!M48," ")</f>
        <v xml:space="preserve"> </v>
      </c>
      <c r="K48" s="997" t="str">
        <f>IF(Kupa!N48&gt;0,Kupa!N48," ")</f>
        <v xml:space="preserve"> </v>
      </c>
      <c r="L48" t="str">
        <f>IF(Kupa!O48&gt;0,Kupa!O48," ")</f>
        <v xml:space="preserve"> </v>
      </c>
      <c r="M48" t="str">
        <f>IF(Kupa!Q48&gt;0,Kupa!Q48," ")</f>
        <v xml:space="preserve"> </v>
      </c>
    </row>
    <row r="49" spans="4:13" x14ac:dyDescent="0.2">
      <c r="D49" t="str">
        <f>IF(Kupa!D49&gt;0,Kupa!D49," ")</f>
        <v xml:space="preserve"> </v>
      </c>
      <c r="E49" s="997" t="str">
        <f>IF(Kupa!H49&gt;0,Kupa!H49," ")</f>
        <v xml:space="preserve"> </v>
      </c>
      <c r="F49" s="997" t="str">
        <f>IF(Kupa!I49&gt;0,Kupa!I49," ")</f>
        <v xml:space="preserve"> </v>
      </c>
      <c r="G49" s="1020" t="str">
        <f>IF(Kupa!J49&gt;0,Kupa!J49," ")</f>
        <v xml:space="preserve"> </v>
      </c>
      <c r="H49" s="997" t="str">
        <f>IF(Kupa!K49&gt;0,Kupa!K49," ")</f>
        <v xml:space="preserve"> </v>
      </c>
      <c r="I49" s="997" t="str">
        <f>IF(Kupa!L49&gt;0,Kupa!L49," ")</f>
        <v xml:space="preserve"> </v>
      </c>
      <c r="J49" s="997" t="str">
        <f>IF(Kupa!M49&gt;0,Kupa!M49," ")</f>
        <v xml:space="preserve"> </v>
      </c>
      <c r="K49" s="997" t="str">
        <f>IF(Kupa!N49&gt;0,Kupa!N49," ")</f>
        <v xml:space="preserve"> </v>
      </c>
      <c r="L49" t="str">
        <f>IF(Kupa!O49&gt;0,Kupa!O49," ")</f>
        <v xml:space="preserve"> </v>
      </c>
      <c r="M49" t="str">
        <f>IF(Kupa!Q49&gt;0,Kupa!Q49," ")</f>
        <v xml:space="preserve"> </v>
      </c>
    </row>
    <row r="50" spans="4:13" x14ac:dyDescent="0.2">
      <c r="D50" t="str">
        <f>IF(Kupa!D50&gt;0,Kupa!D50," ")</f>
        <v xml:space="preserve"> </v>
      </c>
      <c r="E50" s="997" t="str">
        <f>IF(Kupa!H50&gt;0,Kupa!H50," ")</f>
        <v xml:space="preserve"> </v>
      </c>
      <c r="F50" s="997" t="str">
        <f>IF(Kupa!I50&gt;0,Kupa!I50," ")</f>
        <v xml:space="preserve"> </v>
      </c>
      <c r="G50" s="1020" t="str">
        <f>IF(Kupa!J50&gt;0,Kupa!J50," ")</f>
        <v xml:space="preserve"> </v>
      </c>
      <c r="H50" s="997" t="str">
        <f>IF(Kupa!K50&gt;0,Kupa!K50," ")</f>
        <v xml:space="preserve"> </v>
      </c>
      <c r="I50" s="997" t="str">
        <f>IF(Kupa!L50&gt;0,Kupa!L50," ")</f>
        <v xml:space="preserve"> </v>
      </c>
      <c r="J50" s="997" t="str">
        <f>IF(Kupa!M50&gt;0,Kupa!M50," ")</f>
        <v xml:space="preserve"> </v>
      </c>
      <c r="K50" s="997" t="str">
        <f>IF(Kupa!N50&gt;0,Kupa!N50," ")</f>
        <v xml:space="preserve"> </v>
      </c>
      <c r="L50" t="str">
        <f>IF(Kupa!O50&gt;0,Kupa!O50," ")</f>
        <v xml:space="preserve"> </v>
      </c>
      <c r="M50" t="str">
        <f>IF(Kupa!Q50&gt;0,Kupa!Q50," ")</f>
        <v xml:space="preserve"> </v>
      </c>
    </row>
    <row r="51" spans="4:13" x14ac:dyDescent="0.2">
      <c r="D51" t="str">
        <f>IF(Kupa!D51&gt;0,Kupa!D51," ")</f>
        <v xml:space="preserve"> </v>
      </c>
      <c r="E51" s="997" t="str">
        <f>IF(Kupa!H51&gt;0,Kupa!H51," ")</f>
        <v xml:space="preserve"> </v>
      </c>
      <c r="F51" s="997" t="str">
        <f>IF(Kupa!I51&gt;0,Kupa!I51," ")</f>
        <v xml:space="preserve"> </v>
      </c>
      <c r="G51" s="1020" t="str">
        <f>IF(Kupa!J51&gt;0,Kupa!J51," ")</f>
        <v xml:space="preserve"> </v>
      </c>
      <c r="H51" s="997" t="str">
        <f>IF(Kupa!K51&gt;0,Kupa!K51," ")</f>
        <v xml:space="preserve"> </v>
      </c>
      <c r="I51" s="997" t="str">
        <f>IF(Kupa!L51&gt;0,Kupa!L51," ")</f>
        <v xml:space="preserve"> </v>
      </c>
      <c r="J51" s="997" t="str">
        <f>IF(Kupa!M51&gt;0,Kupa!M51," ")</f>
        <v xml:space="preserve"> </v>
      </c>
      <c r="K51" s="997" t="str">
        <f>IF(Kupa!N51&gt;0,Kupa!N51," ")</f>
        <v xml:space="preserve"> </v>
      </c>
      <c r="L51" t="str">
        <f>IF(Kupa!O51&gt;0,Kupa!O51," ")</f>
        <v xml:space="preserve"> </v>
      </c>
      <c r="M51" t="str">
        <f>IF(Kupa!Q51&gt;0,Kupa!Q51," ")</f>
        <v xml:space="preserve"> </v>
      </c>
    </row>
    <row r="52" spans="4:13" x14ac:dyDescent="0.2">
      <c r="D52" t="str">
        <f>IF(Kupa!D52&gt;0,Kupa!D52," ")</f>
        <v xml:space="preserve"> </v>
      </c>
      <c r="E52" s="997" t="str">
        <f>IF(Kupa!H52&gt;0,Kupa!H52," ")</f>
        <v xml:space="preserve"> </v>
      </c>
      <c r="F52" s="997" t="str">
        <f>IF(Kupa!I52&gt;0,Kupa!I52," ")</f>
        <v xml:space="preserve"> </v>
      </c>
      <c r="G52" s="1020" t="str">
        <f>IF(Kupa!J52&gt;0,Kupa!J52," ")</f>
        <v xml:space="preserve"> </v>
      </c>
      <c r="H52" s="997" t="str">
        <f>IF(Kupa!K52&gt;0,Kupa!K52," ")</f>
        <v xml:space="preserve"> </v>
      </c>
      <c r="I52" s="997" t="str">
        <f>IF(Kupa!L52&gt;0,Kupa!L52," ")</f>
        <v xml:space="preserve"> </v>
      </c>
      <c r="J52" s="997" t="str">
        <f>IF(Kupa!M52&gt;0,Kupa!M52," ")</f>
        <v xml:space="preserve"> </v>
      </c>
      <c r="K52" s="997" t="str">
        <f>IF(Kupa!N52&gt;0,Kupa!N52," ")</f>
        <v xml:space="preserve"> </v>
      </c>
      <c r="L52" t="str">
        <f>IF(Kupa!O52&gt;0,Kupa!O52," ")</f>
        <v xml:space="preserve"> </v>
      </c>
      <c r="M52" t="str">
        <f>IF(Kupa!Q52&gt;0,Kupa!Q52," ")</f>
        <v xml:space="preserve"> </v>
      </c>
    </row>
    <row r="53" spans="4:13" x14ac:dyDescent="0.2">
      <c r="D53" t="str">
        <f>IF(Kupa!D53&gt;0,Kupa!D53," ")</f>
        <v xml:space="preserve"> </v>
      </c>
      <c r="E53" t="str">
        <f>IF(Kupa!H53&gt;0,Kupa!H53," ")</f>
        <v xml:space="preserve"> </v>
      </c>
      <c r="F53" t="str">
        <f>IF(Kupa!I53&gt;0,Kupa!I53," ")</f>
        <v xml:space="preserve"> </v>
      </c>
      <c r="G53" t="str">
        <f>IF(Kupa!J53&gt;0,Kupa!J53," ")</f>
        <v xml:space="preserve"> </v>
      </c>
      <c r="H53" s="997" t="str">
        <f>IF(Kupa!K53&gt;0,Kupa!K53," ")</f>
        <v xml:space="preserve"> </v>
      </c>
      <c r="I53" s="997" t="str">
        <f>IF(Kupa!L53&gt;0,Kupa!L53," ")</f>
        <v xml:space="preserve"> </v>
      </c>
      <c r="J53" s="997" t="str">
        <f>IF(Kupa!M53&gt;0,Kupa!M53," ")</f>
        <v xml:space="preserve"> </v>
      </c>
      <c r="K53" s="997" t="str">
        <f>IF(Kupa!N53&gt;0,Kupa!N53," ")</f>
        <v xml:space="preserve"> </v>
      </c>
      <c r="L53" t="str">
        <f>IF(Kupa!O53&gt;0,Kupa!O53," ")</f>
        <v xml:space="preserve"> </v>
      </c>
      <c r="M53" t="str">
        <f>IF(Kupa!Q53&gt;0,Kupa!Q53," ")</f>
        <v xml:space="preserve"> 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112"/>
  <dimension ref="A1:M51"/>
  <sheetViews>
    <sheetView rightToLeft="1" workbookViewId="0">
      <selection activeCell="AL8" sqref="AL8"/>
    </sheetView>
  </sheetViews>
  <sheetFormatPr defaultRowHeight="12.75" x14ac:dyDescent="0.2"/>
  <cols>
    <col min="1" max="1" width="14" style="931" customWidth="1"/>
    <col min="2" max="2" width="14.5703125" style="931" customWidth="1"/>
    <col min="3" max="3" width="16.28515625" style="931" customWidth="1"/>
    <col min="4" max="4" width="12.5703125" style="931" customWidth="1"/>
    <col min="5" max="5" width="11" style="931" customWidth="1"/>
    <col min="6" max="6" width="9.28515625" style="966" customWidth="1"/>
    <col min="7" max="7" width="10.28515625" style="931" customWidth="1"/>
    <col min="8" max="9" width="9.140625" style="931"/>
    <col min="10" max="12" width="10.7109375" style="931" customWidth="1"/>
    <col min="13" max="16384" width="9.140625" style="931"/>
  </cols>
  <sheetData>
    <row r="1" spans="1:13" ht="35.25" x14ac:dyDescent="0.5">
      <c r="A1" s="928"/>
      <c r="B1" s="1093" t="str">
        <f>ClientList!E6 &amp;" " &amp;ClientList!E6 &amp;" " &amp;ClientList!F6</f>
        <v>ענתבי ענתבי איל</v>
      </c>
      <c r="C1" s="1093"/>
      <c r="D1" s="1093"/>
      <c r="E1" s="1093"/>
      <c r="F1" s="1093"/>
      <c r="G1" s="1093"/>
      <c r="H1" s="929"/>
      <c r="I1" s="930" t="s">
        <v>489</v>
      </c>
      <c r="J1" s="929"/>
      <c r="K1" s="929"/>
      <c r="L1" s="929"/>
    </row>
    <row r="2" spans="1:13" ht="18.75" x14ac:dyDescent="0.3">
      <c r="A2" s="932"/>
      <c r="B2" s="933"/>
      <c r="C2" s="934"/>
      <c r="D2" s="933"/>
      <c r="E2" s="933"/>
      <c r="F2" s="935"/>
      <c r="G2" s="933"/>
      <c r="H2" s="937"/>
      <c r="I2" s="937"/>
      <c r="J2" s="937"/>
      <c r="K2" s="937"/>
      <c r="L2" s="937"/>
    </row>
    <row r="3" spans="1:13" ht="18.75" x14ac:dyDescent="0.3">
      <c r="A3" s="932"/>
      <c r="B3" s="937"/>
      <c r="C3" s="938"/>
      <c r="D3" s="937"/>
      <c r="E3" s="937"/>
      <c r="F3" s="939"/>
      <c r="G3" s="937"/>
      <c r="H3" s="937"/>
      <c r="I3" s="937"/>
      <c r="J3" s="937"/>
      <c r="K3" s="937"/>
      <c r="L3" s="937"/>
    </row>
    <row r="4" spans="1:13" ht="13.5" thickBot="1" x14ac:dyDescent="0.25">
      <c r="A4" s="940"/>
      <c r="B4" s="941"/>
      <c r="C4" s="942"/>
      <c r="D4" s="941"/>
      <c r="E4" s="941"/>
      <c r="F4" s="943"/>
      <c r="G4" s="941"/>
      <c r="H4" s="941"/>
      <c r="I4" s="941"/>
      <c r="J4" s="941"/>
      <c r="K4" s="941"/>
      <c r="L4" s="941"/>
    </row>
    <row r="5" spans="1:13" ht="75.75" thickBot="1" x14ac:dyDescent="0.25">
      <c r="A5" s="944" t="s">
        <v>513</v>
      </c>
      <c r="B5" s="944" t="s">
        <v>228</v>
      </c>
      <c r="C5" s="945" t="s">
        <v>1052</v>
      </c>
      <c r="D5" s="944" t="s">
        <v>496</v>
      </c>
      <c r="E5" s="944" t="s">
        <v>139</v>
      </c>
      <c r="F5" s="946" t="s">
        <v>497</v>
      </c>
      <c r="G5" s="947" t="s">
        <v>1016</v>
      </c>
      <c r="H5" s="951" t="s">
        <v>1053</v>
      </c>
      <c r="I5" s="951" t="s">
        <v>1054</v>
      </c>
      <c r="J5" s="951" t="s">
        <v>1055</v>
      </c>
      <c r="K5" s="949" t="s">
        <v>1066</v>
      </c>
      <c r="L5" s="949" t="s">
        <v>1065</v>
      </c>
      <c r="M5" s="947" t="s">
        <v>1019</v>
      </c>
    </row>
    <row r="6" spans="1:13" ht="18.75" x14ac:dyDescent="0.2">
      <c r="A6" s="953" t="str">
        <f>IF(main!C9&gt;0,main!C9,"")</f>
        <v/>
      </c>
      <c r="B6" s="953" t="str">
        <f>IF(main!D9&gt;0,main!D9,"")</f>
        <v>כלל</v>
      </c>
      <c r="C6" s="953" t="str">
        <f>IF(main!E9&gt;0,main!E9,"")</f>
        <v/>
      </c>
      <c r="D6" s="953" t="str">
        <f>IF(main!G9&gt;0,main!G9,"")</f>
        <v>קצבה משלמת</v>
      </c>
      <c r="E6" s="953" t="str">
        <f>IF(main!K9&gt;0,main!K9,"")</f>
        <v>שכיר</v>
      </c>
      <c r="F6" s="967" t="str">
        <f>IF(main!R9&gt;0,main!R9,"")</f>
        <v>01/01/1900</v>
      </c>
      <c r="G6" s="953" t="str">
        <f>IF(main!O9&gt;0,main!O9,"")</f>
        <v>מוקפא</v>
      </c>
      <c r="H6" s="952"/>
      <c r="I6" s="952"/>
      <c r="J6" s="953" t="str">
        <f>main!N9</f>
        <v>משתתף ברווחים</v>
      </c>
      <c r="K6" s="953">
        <f>main!DU9</f>
        <v>0</v>
      </c>
      <c r="L6" s="953">
        <f>main!DV9</f>
        <v>0</v>
      </c>
      <c r="M6" s="953">
        <f>main!DQ9</f>
        <v>0</v>
      </c>
    </row>
    <row r="7" spans="1:13" ht="18.75" x14ac:dyDescent="0.2">
      <c r="A7" s="953" t="str">
        <f>IF(main!C10&gt;0,main!C10,"")</f>
        <v>קופת גמל</v>
      </c>
      <c r="B7" s="953" t="str">
        <f>IF(main!D10&gt;0,main!D10,"")</f>
        <v>ארם גמולים - חברה לניהול קופות גמל בע"מ</v>
      </c>
      <c r="C7" s="953" t="str">
        <f>IF(main!E10&gt;0,main!E10,"")</f>
        <v>ארם-קופת גמל לתגמולים של ארגון הרופאים עובדי מדינה</v>
      </c>
      <c r="D7" s="953" t="str">
        <f>IF(main!G10&gt;0,main!G10,"")</f>
        <v>הון</v>
      </c>
      <c r="E7" s="953" t="str">
        <f>IF(main!K10&gt;0,main!K10,"")</f>
        <v>עצמאי</v>
      </c>
      <c r="F7" s="967" t="str">
        <f>IF(main!R10&gt;0,main!R10,"")</f>
        <v>01/11/2011</v>
      </c>
      <c r="G7" s="953" t="str">
        <f>IF(main!O10&gt;0,main!O10,"")</f>
        <v>פעיל</v>
      </c>
      <c r="H7" s="952"/>
      <c r="I7" s="952"/>
      <c r="J7" s="953" t="str">
        <f>main!N10</f>
        <v>משתתף ברווחים</v>
      </c>
      <c r="K7" s="953">
        <f>main!DU10</f>
        <v>0</v>
      </c>
      <c r="L7" s="953">
        <f>main!DV10</f>
        <v>0</v>
      </c>
      <c r="M7" s="953">
        <f>main!DQ10</f>
        <v>0</v>
      </c>
    </row>
    <row r="8" spans="1:13" ht="18.75" x14ac:dyDescent="0.2">
      <c r="A8" s="953" t="str">
        <f>IF(main!C11&gt;0,main!C11,"")</f>
        <v>קופת גמל</v>
      </c>
      <c r="B8" s="953" t="str">
        <f>IF(main!D11&gt;0,main!D11,"")</f>
        <v>ארם גמולים - חברה לניהול קופות גמל בע"מ</v>
      </c>
      <c r="C8" s="953" t="str">
        <f>IF(main!E11&gt;0,main!E11,"")</f>
        <v>ארם-קופת גמל לתגמולים של ארגון הרופאים עובדי מדינה</v>
      </c>
      <c r="D8" s="953" t="str">
        <f>IF(main!G11&gt;0,main!G11,"")</f>
        <v>הון</v>
      </c>
      <c r="E8" s="953" t="str">
        <f>IF(main!K11&gt;0,main!K11,"")</f>
        <v>שכיר</v>
      </c>
      <c r="F8" s="967" t="str">
        <f>IF(main!R11&gt;0,main!R11,"")</f>
        <v>02/03/2008</v>
      </c>
      <c r="G8" s="953" t="str">
        <f>IF(main!O11&gt;0,main!O11,"")</f>
        <v>פעיל</v>
      </c>
      <c r="H8" s="952"/>
      <c r="I8" s="952"/>
      <c r="J8" s="953" t="str">
        <f>main!N11</f>
        <v>משתתף ברווחים</v>
      </c>
      <c r="K8" s="953">
        <f>main!DU11</f>
        <v>0</v>
      </c>
      <c r="L8" s="953">
        <f>main!DV11</f>
        <v>0</v>
      </c>
      <c r="M8" s="953">
        <f>main!DQ11</f>
        <v>0</v>
      </c>
    </row>
    <row r="9" spans="1:13" ht="18.75" x14ac:dyDescent="0.2">
      <c r="A9" s="953" t="str">
        <f>IF(main!C12&gt;0,main!C12,"")</f>
        <v>קרן פנסיה</v>
      </c>
      <c r="B9" s="953" t="str">
        <f>IF(main!D12&gt;0,main!D12,"")</f>
        <v>מגדל מקפת פנסיה וגמל</v>
      </c>
      <c r="C9" s="953" t="str">
        <f>IF(main!E12&gt;0,main!E12,"")</f>
        <v>מקפת אישית</v>
      </c>
      <c r="D9" s="953" t="str">
        <f>IF(main!G12&gt;0,main!G12,"")</f>
        <v>קצבה משלמת</v>
      </c>
      <c r="E9" s="953" t="str">
        <f>IF(main!K12&gt;0,main!K12,"")</f>
        <v>שכיר</v>
      </c>
      <c r="F9" s="967" t="str">
        <f>IF(main!R12&gt;0,main!R12,"")</f>
        <v>02/03/2008</v>
      </c>
      <c r="G9" s="953" t="str">
        <f>IF(main!O12&gt;0,main!O12,"")</f>
        <v>פעיל</v>
      </c>
      <c r="H9" s="952"/>
      <c r="I9" s="952"/>
      <c r="J9" s="953" t="str">
        <f>main!N12</f>
        <v>משתתף ברווחים</v>
      </c>
      <c r="K9" s="953">
        <f>main!DU12</f>
        <v>0.66</v>
      </c>
      <c r="L9" s="953">
        <f>main!DV12</f>
        <v>75</v>
      </c>
      <c r="M9" s="953">
        <f>main!DQ12</f>
        <v>0</v>
      </c>
    </row>
    <row r="10" spans="1:13" ht="18.75" x14ac:dyDescent="0.2">
      <c r="A10" s="953" t="str">
        <f>IF(main!C13&gt;0,main!C13,"")</f>
        <v>קופת גמל</v>
      </c>
      <c r="B10" s="953" t="str">
        <f>IF(main!D13&gt;0,main!D13,"")</f>
        <v>מנורה מבטחים פנסיה וגמל בעמ</v>
      </c>
      <c r="C10" s="953" t="str">
        <f>IF(main!E13&gt;0,main!E13,"")</f>
        <v>מנורה מבטחים אמיר כללי</v>
      </c>
      <c r="D10" s="953" t="str">
        <f>IF(main!G13&gt;0,main!G13,"")</f>
        <v>קצבה לא משלמת</v>
      </c>
      <c r="E10" s="953" t="str">
        <f>IF(main!K13&gt;0,main!K13,"")</f>
        <v>שכיר</v>
      </c>
      <c r="F10" s="967" t="str">
        <f>IF(main!R13&gt;0,main!R13,"")</f>
        <v>01/02/2005</v>
      </c>
      <c r="G10" s="953" t="str">
        <f>IF(main!O13&gt;0,main!O13,"")</f>
        <v>מוקפא</v>
      </c>
      <c r="H10" s="952"/>
      <c r="I10" s="952"/>
      <c r="J10" s="953" t="str">
        <f>main!N13</f>
        <v>משתתף ברווחים</v>
      </c>
      <c r="K10" s="953">
        <f>main!DU13</f>
        <v>0</v>
      </c>
      <c r="L10" s="953">
        <f>main!DV13</f>
        <v>0</v>
      </c>
      <c r="M10" s="953">
        <f>main!DQ13</f>
        <v>0</v>
      </c>
    </row>
    <row r="11" spans="1:13" ht="18.75" x14ac:dyDescent="0.2">
      <c r="A11" s="953" t="str">
        <f>IF(main!C14&gt;0,main!C14,"")</f>
        <v>קופת גמל</v>
      </c>
      <c r="B11" s="953" t="str">
        <f>IF(main!D14&gt;0,main!D14,"")</f>
        <v>מנורה מבטחים פנסיה וגמל בעמ</v>
      </c>
      <c r="C11" s="953" t="str">
        <f>IF(main!E14&gt;0,main!E14,"")</f>
        <v>מנורה מבטחים תגמולים</v>
      </c>
      <c r="D11" s="953" t="str">
        <f>IF(main!G14&gt;0,main!G14,"")</f>
        <v>קצבה לא משלמת</v>
      </c>
      <c r="E11" s="953" t="str">
        <f>IF(main!K14&gt;0,main!K14,"")</f>
        <v>שכיר</v>
      </c>
      <c r="F11" s="967" t="str">
        <f>IF(main!R14&gt;0,main!R14,"")</f>
        <v>02/01/2005</v>
      </c>
      <c r="G11" s="953" t="str">
        <f>IF(main!O14&gt;0,main!O14,"")</f>
        <v>מוקפא</v>
      </c>
      <c r="H11" s="952"/>
      <c r="I11" s="952"/>
      <c r="J11" s="953" t="str">
        <f>main!N14</f>
        <v>משתתף ברווחים</v>
      </c>
      <c r="K11" s="953">
        <f>main!DU14</f>
        <v>0</v>
      </c>
      <c r="L11" s="953">
        <f>main!DV14</f>
        <v>0</v>
      </c>
      <c r="M11" s="953">
        <f>main!DQ14</f>
        <v>0</v>
      </c>
    </row>
    <row r="12" spans="1:13" ht="18.75" x14ac:dyDescent="0.2">
      <c r="A12" s="953" t="str">
        <f>IF(main!C15&gt;0,main!C15,"")</f>
        <v>קרן פנסיה</v>
      </c>
      <c r="B12" s="953" t="str">
        <f>IF(main!D15&gt;0,main!D15,"")</f>
        <v>מנורה מבטחים פנסיה וגמל בעמ</v>
      </c>
      <c r="C12" s="953" t="str">
        <f>IF(main!E15&gt;0,main!E15,"")</f>
        <v>מבטחים החדשה פלוס</v>
      </c>
      <c r="D12" s="953" t="str">
        <f>IF(main!G15&gt;0,main!G15,"")</f>
        <v>קצבה משלמת</v>
      </c>
      <c r="E12" s="953" t="str">
        <f>IF(main!K15&gt;0,main!K15,"")</f>
        <v>שכיר</v>
      </c>
      <c r="F12" s="967" t="str">
        <f>IF(main!R15&gt;0,main!R15,"")</f>
        <v>16/08/1994</v>
      </c>
      <c r="G12" s="953" t="str">
        <f>IF(main!O15&gt;0,main!O15,"")</f>
        <v>מוקפא</v>
      </c>
      <c r="H12" s="952"/>
      <c r="I12" s="952"/>
      <c r="J12" s="953" t="str">
        <f>main!N15</f>
        <v>משתתף ברווחים</v>
      </c>
      <c r="K12" s="953">
        <f>main!DU15</f>
        <v>0</v>
      </c>
      <c r="L12" s="953">
        <f>main!DV15</f>
        <v>0</v>
      </c>
      <c r="M12" s="953">
        <f>main!DQ15</f>
        <v>0</v>
      </c>
    </row>
    <row r="13" spans="1:13" ht="18.75" x14ac:dyDescent="0.2">
      <c r="A13" s="953" t="str">
        <f>IF(main!C16&gt;0,main!C16,"")</f>
        <v>קופת גמל</v>
      </c>
      <c r="B13" s="953" t="str">
        <f>IF(main!D16&gt;0,main!D16,"")</f>
        <v xml:space="preserve">אלטשולר שחם  גמל ופנסיה </v>
      </c>
      <c r="C13" s="953" t="str">
        <f>IF(main!E16&gt;0,main!E16,"")</f>
        <v>אלטשולר שחם גמל</v>
      </c>
      <c r="D13" s="953" t="str">
        <f>IF(main!G16&gt;0,main!G16,"")</f>
        <v>הון</v>
      </c>
      <c r="E13" s="953" t="str">
        <f>IF(main!K16&gt;0,main!K16,"")</f>
        <v>שכיר</v>
      </c>
      <c r="F13" s="967" t="str">
        <f>IF(main!R16&gt;0,main!R16,"")</f>
        <v>01/01/2007</v>
      </c>
      <c r="G13" s="953" t="str">
        <f>IF(main!O16&gt;0,main!O16,"")</f>
        <v>מוקפא</v>
      </c>
      <c r="H13" s="952"/>
      <c r="I13" s="952"/>
      <c r="J13" s="953" t="str">
        <f>main!N16</f>
        <v>משתתף ברווחים</v>
      </c>
      <c r="K13" s="953">
        <f>main!DU16</f>
        <v>0</v>
      </c>
      <c r="L13" s="953">
        <f>main!DV16</f>
        <v>0</v>
      </c>
      <c r="M13" s="953">
        <f>main!DQ16</f>
        <v>0</v>
      </c>
    </row>
    <row r="14" spans="1:13" ht="18.75" x14ac:dyDescent="0.2">
      <c r="A14" s="953" t="str">
        <f>IF(main!C17&gt;0,main!C17,"")</f>
        <v>קרן פנסיה</v>
      </c>
      <c r="B14" s="953" t="str">
        <f>IF(main!D17&gt;0,main!D17,"")</f>
        <v>פסגות קופות גמל ופנסיה בע"מ</v>
      </c>
      <c r="C14" s="953" t="str">
        <f>IF(main!E17&gt;0,main!E17,"")</f>
        <v>תשורה מקיפה</v>
      </c>
      <c r="D14" s="953" t="str">
        <f>IF(main!G17&gt;0,main!G17,"")</f>
        <v>קצבה משלמת</v>
      </c>
      <c r="E14" s="953" t="str">
        <f>IF(main!K17&gt;0,main!K17,"")</f>
        <v>שכיר</v>
      </c>
      <c r="F14" s="967" t="str">
        <f>IF(main!R17&gt;0,main!R17,"")</f>
        <v>01/02/2015</v>
      </c>
      <c r="G14" s="953" t="str">
        <f>IF(main!O17&gt;0,main!O17,"")</f>
        <v>מוקפא</v>
      </c>
      <c r="H14" s="952"/>
      <c r="I14" s="952"/>
      <c r="J14" s="953" t="str">
        <f>main!N17</f>
        <v>משתתף ברווחים</v>
      </c>
      <c r="K14" s="953">
        <f>main!DU17</f>
        <v>0</v>
      </c>
      <c r="L14" s="953">
        <f>main!DV17</f>
        <v>0</v>
      </c>
      <c r="M14" s="953">
        <f>main!DQ17</f>
        <v>0</v>
      </c>
    </row>
    <row r="15" spans="1:13" ht="18.75" x14ac:dyDescent="0.2">
      <c r="A15" s="953" t="str">
        <f>IF(main!C18&gt;0,main!C18,"")</f>
        <v>פוליסת ביטוח חיים משולב חיסכון</v>
      </c>
      <c r="B15" s="953" t="str">
        <f>IF(main!D18&gt;0,main!D18,"")</f>
        <v>הראל חברה לביטוח בע"מ</v>
      </c>
      <c r="C15" s="953" t="str">
        <f>IF(main!E18&gt;0,main!E18,"")</f>
        <v xml:space="preserve">הראל מגוון עסקי למנהלים                           </v>
      </c>
      <c r="D15" s="953" t="str">
        <f>IF(main!G18&gt;0,main!G18,"")</f>
        <v>הון</v>
      </c>
      <c r="E15" s="953" t="str">
        <f>IF(main!K18&gt;0,main!K18,"")</f>
        <v>שכיר</v>
      </c>
      <c r="F15" s="967" t="str">
        <f>IF(main!R18&gt;0,main!R18,"")</f>
        <v>01/02/1999</v>
      </c>
      <c r="G15" s="953" t="str">
        <f>IF(main!O18&gt;0,main!O18,"")</f>
        <v>פעיל</v>
      </c>
      <c r="H15" s="952"/>
      <c r="I15" s="952"/>
      <c r="J15" s="953" t="str">
        <f>main!N18</f>
        <v>משתתף ברווחים</v>
      </c>
      <c r="K15" s="953">
        <f>main!DU18</f>
        <v>0</v>
      </c>
      <c r="L15" s="953">
        <f>main!DV18</f>
        <v>0</v>
      </c>
      <c r="M15" s="953">
        <f>main!DQ18</f>
        <v>0</v>
      </c>
    </row>
    <row r="16" spans="1:13" ht="75" x14ac:dyDescent="0.2">
      <c r="A16" s="953" t="str">
        <f>IF(main!C19&gt;0,main!C19,"")</f>
        <v>פוליסת ביטוח חיים משולב חיסכון</v>
      </c>
      <c r="B16" s="953" t="str">
        <f>IF(main!D19&gt;0,main!D19,"")</f>
        <v>הראל חברה לביטוח בע"מ</v>
      </c>
      <c r="C16" s="953" t="str">
        <f>IF(main!E19&gt;0,main!E19,"")</f>
        <v xml:space="preserve">מגוון לשכירים קצבה לא משלמת                       </v>
      </c>
      <c r="D16" s="953" t="str">
        <f>IF(main!G19&gt;0,main!G19,"")</f>
        <v>הון</v>
      </c>
      <c r="E16" s="953" t="str">
        <f>IF(main!K19&gt;0,main!K19,"")</f>
        <v>עצמאי</v>
      </c>
      <c r="F16" s="967" t="str">
        <f>IF(main!R19&gt;0,main!R19,"")</f>
        <v>01/02/2000</v>
      </c>
      <c r="G16" s="953" t="str">
        <f>IF(main!O19&gt;0,main!O19,"")</f>
        <v>פעיל</v>
      </c>
      <c r="H16" s="952"/>
      <c r="I16" s="952"/>
      <c r="J16" s="953" t="str">
        <f>main!N19</f>
        <v>משתתף ברווחים</v>
      </c>
      <c r="K16" s="953">
        <f>main!DU19</f>
        <v>0</v>
      </c>
      <c r="L16" s="953">
        <f>main!DV19</f>
        <v>0</v>
      </c>
      <c r="M16" s="953">
        <f>main!DQ19</f>
        <v>0</v>
      </c>
    </row>
    <row r="17" spans="1:13" ht="75" x14ac:dyDescent="0.2">
      <c r="A17" s="953" t="str">
        <f>IF(main!C20&gt;0,main!C20,"")</f>
        <v>פוליסת ביטוח חיים משולב חיסכון</v>
      </c>
      <c r="B17" s="953" t="str">
        <f>IF(main!D20&gt;0,main!D20,"")</f>
        <v>מגדל</v>
      </c>
      <c r="C17" s="953" t="str">
        <f>IF(main!E20&gt;0,main!E20,"")</f>
        <v>יותר</v>
      </c>
      <c r="D17" s="953" t="str">
        <f>IF(main!G20&gt;0,main!G20,"")</f>
        <v>קצבה משלמת</v>
      </c>
      <c r="E17" s="953" t="str">
        <f>IF(main!K20&gt;0,main!K20,"")</f>
        <v>שכיר</v>
      </c>
      <c r="F17" s="967" t="str">
        <f>IF(main!R20&gt;0,main!R20,"")</f>
        <v>01/01/1999</v>
      </c>
      <c r="G17" s="953" t="str">
        <f>IF(main!O20&gt;0,main!O20,"")</f>
        <v>פעיל</v>
      </c>
      <c r="H17" s="952"/>
      <c r="I17" s="952"/>
      <c r="J17" s="953" t="str">
        <f>main!N20</f>
        <v>משתתף ברווחים</v>
      </c>
      <c r="K17" s="953">
        <f>main!DU20</f>
        <v>0</v>
      </c>
      <c r="L17" s="953">
        <f>main!DV20</f>
        <v>0</v>
      </c>
      <c r="M17" s="953">
        <f>main!DQ20</f>
        <v>0</v>
      </c>
    </row>
    <row r="18" spans="1:13" ht="75" x14ac:dyDescent="0.2">
      <c r="A18" s="953" t="str">
        <f>IF(main!C21&gt;0,main!C21,"")</f>
        <v>פוליסת ביטוח חיים משולב חיסכון</v>
      </c>
      <c r="B18" s="953" t="str">
        <f>IF(main!D21&gt;0,main!D21,"")</f>
        <v>מגדל</v>
      </c>
      <c r="C18" s="953" t="str">
        <f>IF(main!E21&gt;0,main!E21,"")</f>
        <v>יותר הון</v>
      </c>
      <c r="D18" s="953" t="str">
        <f>IF(main!G21&gt;0,main!G21,"")</f>
        <v>הון</v>
      </c>
      <c r="E18" s="953" t="str">
        <f>IF(main!K21&gt;0,main!K21,"")</f>
        <v>שכיר</v>
      </c>
      <c r="F18" s="967" t="str">
        <f>IF(main!R21&gt;0,main!R21,"")</f>
        <v>01/07/1988</v>
      </c>
      <c r="G18" s="953" t="str">
        <f>IF(main!O21&gt;0,main!O21,"")</f>
        <v>מוקפא</v>
      </c>
      <c r="H18" s="952"/>
      <c r="I18" s="952"/>
      <c r="J18" s="953" t="str">
        <f>main!N21</f>
        <v>משתתף ברווחים</v>
      </c>
      <c r="K18" s="953">
        <f>main!DU21</f>
        <v>0</v>
      </c>
      <c r="L18" s="953">
        <f>main!DV21</f>
        <v>0</v>
      </c>
      <c r="M18" s="953">
        <f>main!DQ21</f>
        <v>0</v>
      </c>
    </row>
    <row r="19" spans="1:13" ht="75" x14ac:dyDescent="0.2">
      <c r="A19" s="953" t="str">
        <f>IF(main!C22&gt;0,main!C22,"")</f>
        <v>פוליסת ביטוח חיים משולב חיסכון</v>
      </c>
      <c r="B19" s="953" t="str">
        <f>IF(main!D22&gt;0,main!D22,"")</f>
        <v>מגדל</v>
      </c>
      <c r="C19" s="953" t="str">
        <f>IF(main!E22&gt;0,main!E22,"")</f>
        <v>יותר</v>
      </c>
      <c r="D19" s="953" t="str">
        <f>IF(main!G22&gt;0,main!G22,"")</f>
        <v>קצבה משלמת</v>
      </c>
      <c r="E19" s="953" t="str">
        <f>IF(main!K22&gt;0,main!K22,"")</f>
        <v>עצמאי</v>
      </c>
      <c r="F19" s="967" t="str">
        <f>IF(main!R22&gt;0,main!R22,"")</f>
        <v>01/07/1994</v>
      </c>
      <c r="G19" s="953" t="str">
        <f>IF(main!O22&gt;0,main!O22,"")</f>
        <v>פעיל</v>
      </c>
      <c r="H19" s="952"/>
      <c r="I19" s="952"/>
      <c r="J19" s="953" t="str">
        <f>main!N22</f>
        <v>משתתף ברווחים</v>
      </c>
      <c r="K19" s="953">
        <f>main!DU22</f>
        <v>0</v>
      </c>
      <c r="L19" s="953">
        <f>main!DV22</f>
        <v>0</v>
      </c>
      <c r="M19" s="953">
        <f>main!DQ22</f>
        <v>0</v>
      </c>
    </row>
    <row r="20" spans="1:13" ht="75" x14ac:dyDescent="0.2">
      <c r="A20" s="953" t="str">
        <f>IF(main!C23&gt;0,main!C23,"")</f>
        <v>פוליסת ביטוח חיים משולב חיסכון</v>
      </c>
      <c r="B20" s="953" t="str">
        <f>IF(main!D23&gt;0,main!D23,"")</f>
        <v>מגדל</v>
      </c>
      <c r="C20" s="953" t="str">
        <f>IF(main!E23&gt;0,main!E23,"")</f>
        <v>יותר</v>
      </c>
      <c r="D20" s="953" t="str">
        <f>IF(main!G23&gt;0,main!G23,"")</f>
        <v>קצבה משלמת</v>
      </c>
      <c r="E20" s="953" t="str">
        <f>IF(main!K23&gt;0,main!K23,"")</f>
        <v>שכיר</v>
      </c>
      <c r="F20" s="967" t="str">
        <f>IF(main!R23&gt;0,main!R23,"")</f>
        <v>01/12/1998</v>
      </c>
      <c r="G20" s="953" t="str">
        <f>IF(main!O23&gt;0,main!O23,"")</f>
        <v>מוקפא</v>
      </c>
      <c r="H20" s="952"/>
      <c r="I20" s="952"/>
      <c r="J20" s="953" t="str">
        <f>main!N23</f>
        <v>משתתף ברווחים</v>
      </c>
      <c r="K20" s="953">
        <f>main!DU23</f>
        <v>0</v>
      </c>
      <c r="L20" s="953">
        <f>main!DV23</f>
        <v>0</v>
      </c>
      <c r="M20" s="953">
        <f>main!DQ23</f>
        <v>0</v>
      </c>
    </row>
    <row r="21" spans="1:13" ht="75" x14ac:dyDescent="0.2">
      <c r="A21" s="953" t="str">
        <f>IF(main!C24&gt;0,main!C24,"")</f>
        <v>פוליסת ביטוח חיים משולב חיסכון</v>
      </c>
      <c r="B21" s="953" t="str">
        <f>IF(main!D24&gt;0,main!D24,"")</f>
        <v>מגדל</v>
      </c>
      <c r="C21" s="953" t="str">
        <f>IF(main!E24&gt;0,main!E24,"")</f>
        <v>יותר</v>
      </c>
      <c r="D21" s="953" t="str">
        <f>IF(main!G24&gt;0,main!G24,"")</f>
        <v>קצבה משלמת</v>
      </c>
      <c r="E21" s="953" t="str">
        <f>IF(main!K24&gt;0,main!K24,"")</f>
        <v>שכיר</v>
      </c>
      <c r="F21" s="967" t="str">
        <f>IF(main!R24&gt;0,main!R24,"")</f>
        <v>01/03/1984</v>
      </c>
      <c r="G21" s="953" t="str">
        <f>IF(main!O24&gt;0,main!O24,"")</f>
        <v>פעיל</v>
      </c>
      <c r="H21" s="952"/>
      <c r="I21" s="952"/>
      <c r="J21" s="953" t="str">
        <f>main!N24</f>
        <v>משתתף ברווחים</v>
      </c>
      <c r="K21" s="953">
        <f>main!DU24</f>
        <v>0</v>
      </c>
      <c r="L21" s="953">
        <f>main!DV24</f>
        <v>0</v>
      </c>
      <c r="M21" s="953">
        <f>main!DQ24</f>
        <v>0</v>
      </c>
    </row>
    <row r="22" spans="1:13" ht="75" x14ac:dyDescent="0.2">
      <c r="A22" s="953" t="str">
        <f>IF(main!C25&gt;0,main!C25,"")</f>
        <v>פוליסת ביטוח חיים משולב חיסכון</v>
      </c>
      <c r="B22" s="953" t="str">
        <f>IF(main!D25&gt;0,main!D25,"")</f>
        <v>מגדל</v>
      </c>
      <c r="C22" s="953" t="str">
        <f>IF(main!E25&gt;0,main!E25,"")</f>
        <v>יותר</v>
      </c>
      <c r="D22" s="953" t="str">
        <f>IF(main!G25&gt;0,main!G25,"")</f>
        <v>קצבה משלמת</v>
      </c>
      <c r="E22" s="953" t="str">
        <f>IF(main!K25&gt;0,main!K25,"")</f>
        <v>שכיר</v>
      </c>
      <c r="F22" s="967" t="str">
        <f>IF(main!R25&gt;0,main!R25,"")</f>
        <v/>
      </c>
      <c r="G22" s="953" t="str">
        <f>IF(main!O25&gt;0,main!O25,"")</f>
        <v>מוקפא</v>
      </c>
      <c r="H22" s="952"/>
      <c r="I22" s="952"/>
      <c r="J22" s="953" t="str">
        <f>main!N25</f>
        <v>משתתף ברווחים</v>
      </c>
      <c r="K22" s="953">
        <f>main!DU25</f>
        <v>0</v>
      </c>
      <c r="L22" s="953">
        <f>main!DV25</f>
        <v>0</v>
      </c>
      <c r="M22" s="953">
        <f>main!DQ25</f>
        <v>0</v>
      </c>
    </row>
    <row r="23" spans="1:13" ht="93.75" x14ac:dyDescent="0.2">
      <c r="A23" s="953" t="str">
        <f>IF(main!C26&gt;0,main!C26,"")</f>
        <v>קרן פנסיה</v>
      </c>
      <c r="B23" s="953" t="str">
        <f>IF(main!D26&gt;0,main!D26,"")</f>
        <v>מבטחים מוסד לביטוח סוציאלי של העובדים</v>
      </c>
      <c r="C23" s="953" t="str">
        <f>IF(main!E26&gt;0,main!E26,"")</f>
        <v>מקיפה</v>
      </c>
      <c r="D23" s="953" t="str">
        <f>IF(main!G26&gt;0,main!G26,"")</f>
        <v>קצבה משלמת</v>
      </c>
      <c r="E23" s="953" t="str">
        <f>IF(main!K26&gt;0,main!K26,"")</f>
        <v>שכיר</v>
      </c>
      <c r="F23" s="967" t="str">
        <f>IF(main!R26&gt;0,main!R26,"")</f>
        <v/>
      </c>
      <c r="G23" s="953" t="str">
        <f>IF(main!O26&gt;0,main!O26,"")</f>
        <v>פעיל</v>
      </c>
      <c r="H23" s="952"/>
      <c r="I23" s="952"/>
      <c r="J23" s="953" t="str">
        <f>main!N26</f>
        <v>משתתף ברווחים</v>
      </c>
      <c r="K23" s="953">
        <f>main!DU26</f>
        <v>0</v>
      </c>
      <c r="L23" s="953">
        <f>main!DV26</f>
        <v>42.18</v>
      </c>
      <c r="M23" s="953">
        <f>main!DQ26</f>
        <v>0</v>
      </c>
    </row>
    <row r="24" spans="1:13" ht="18.75" x14ac:dyDescent="0.2">
      <c r="A24" s="953" t="str">
        <f>IF(main!C27&gt;0,main!C27,"")</f>
        <v/>
      </c>
      <c r="B24" s="953" t="str">
        <f>IF(main!D27&gt;0,main!D27,"")</f>
        <v/>
      </c>
      <c r="C24" s="953" t="str">
        <f>IF(main!E27&gt;0,main!E27,"")</f>
        <v/>
      </c>
      <c r="D24" s="953" t="str">
        <f>IF(main!G27&gt;0,main!G27,"")</f>
        <v/>
      </c>
      <c r="E24" s="953" t="str">
        <f>IF(main!K27&gt;0,main!K27,"")</f>
        <v/>
      </c>
      <c r="F24" s="967" t="str">
        <f>IF(main!R27&gt;0,main!R27,"")</f>
        <v xml:space="preserve"> </v>
      </c>
      <c r="G24" s="953" t="str">
        <f>IF(main!O27&gt;0,main!O27,"")</f>
        <v/>
      </c>
      <c r="H24" s="952"/>
      <c r="I24" s="952"/>
      <c r="J24" s="953" t="str">
        <f>main!N27</f>
        <v/>
      </c>
      <c r="K24" s="953">
        <f>main!DU27</f>
        <v>0</v>
      </c>
      <c r="L24" s="953">
        <f>main!DV27</f>
        <v>0</v>
      </c>
      <c r="M24" s="953">
        <f>main!DQ27</f>
        <v>0</v>
      </c>
    </row>
    <row r="25" spans="1:13" ht="18.75" x14ac:dyDescent="0.2">
      <c r="A25" s="953" t="str">
        <f>IF(main!C28&gt;0,main!C28,"")</f>
        <v/>
      </c>
      <c r="B25" s="953" t="str">
        <f>IF(main!D28&gt;0,main!D28,"")</f>
        <v/>
      </c>
      <c r="C25" s="953" t="str">
        <f>IF(main!E28&gt;0,main!E28,"")</f>
        <v/>
      </c>
      <c r="D25" s="953" t="str">
        <f>IF(main!G28&gt;0,main!G28,"")</f>
        <v/>
      </c>
      <c r="E25" s="953" t="str">
        <f>IF(main!K28&gt;0,main!K28,"")</f>
        <v/>
      </c>
      <c r="F25" s="967" t="str">
        <f>IF(main!R28&gt;0,main!R28,"")</f>
        <v xml:space="preserve"> </v>
      </c>
      <c r="G25" s="953" t="str">
        <f>IF(main!O28&gt;0,main!O28,"")</f>
        <v/>
      </c>
      <c r="H25" s="952"/>
      <c r="I25" s="952"/>
      <c r="J25" s="953" t="str">
        <f>main!N28</f>
        <v/>
      </c>
      <c r="K25" s="953">
        <f>main!DU28</f>
        <v>0</v>
      </c>
      <c r="L25" s="953">
        <f>main!DV28</f>
        <v>0</v>
      </c>
      <c r="M25" s="953">
        <f>main!DQ28</f>
        <v>0</v>
      </c>
    </row>
    <row r="26" spans="1:13" ht="18.75" x14ac:dyDescent="0.2">
      <c r="A26" s="953" t="str">
        <f>IF(main!C29&gt;0,main!C29,"")</f>
        <v/>
      </c>
      <c r="B26" s="953" t="str">
        <f>IF(main!D29&gt;0,main!D29,"")</f>
        <v/>
      </c>
      <c r="C26" s="953" t="str">
        <f>IF(main!E29&gt;0,main!E29,"")</f>
        <v/>
      </c>
      <c r="D26" s="953" t="str">
        <f>IF(main!G29&gt;0,main!G29,"")</f>
        <v/>
      </c>
      <c r="E26" s="953" t="str">
        <f>IF(main!K29&gt;0,main!K29,"")</f>
        <v/>
      </c>
      <c r="F26" s="967" t="str">
        <f>IF(main!R29&gt;0,main!R29,"")</f>
        <v xml:space="preserve"> </v>
      </c>
      <c r="G26" s="953" t="str">
        <f>IF(main!O29&gt;0,main!O29,"")</f>
        <v/>
      </c>
      <c r="H26" s="952"/>
      <c r="I26" s="952"/>
      <c r="J26" s="953" t="str">
        <f>main!N29</f>
        <v/>
      </c>
      <c r="K26" s="953">
        <f>main!DU29</f>
        <v>0</v>
      </c>
      <c r="L26" s="953">
        <f>main!DV29</f>
        <v>0</v>
      </c>
      <c r="M26" s="953">
        <f>main!DQ29</f>
        <v>0</v>
      </c>
    </row>
    <row r="27" spans="1:13" ht="18.75" x14ac:dyDescent="0.2">
      <c r="A27" s="953" t="str">
        <f>IF(main!C30&gt;0,main!C30,"")</f>
        <v/>
      </c>
      <c r="B27" s="953" t="str">
        <f>IF(main!D30&gt;0,main!D30,"")</f>
        <v/>
      </c>
      <c r="C27" s="953" t="str">
        <f>IF(main!E30&gt;0,main!E30,"")</f>
        <v/>
      </c>
      <c r="D27" s="953" t="str">
        <f>IF(main!G30&gt;0,main!G30,"")</f>
        <v/>
      </c>
      <c r="E27" s="953" t="str">
        <f>IF(main!K30&gt;0,main!K30,"")</f>
        <v/>
      </c>
      <c r="F27" s="967" t="str">
        <f>IF(main!R30&gt;0,main!R30,"")</f>
        <v xml:space="preserve"> </v>
      </c>
      <c r="G27" s="953" t="str">
        <f>IF(main!O30&gt;0,main!O30,"")</f>
        <v/>
      </c>
      <c r="H27" s="952"/>
      <c r="I27" s="952"/>
      <c r="J27" s="953" t="str">
        <f>main!N30</f>
        <v/>
      </c>
      <c r="K27" s="953">
        <f>main!DU30</f>
        <v>0</v>
      </c>
      <c r="L27" s="953">
        <f>main!DV30</f>
        <v>0</v>
      </c>
      <c r="M27" s="953">
        <f>main!DQ30</f>
        <v>0</v>
      </c>
    </row>
    <row r="28" spans="1:13" ht="18.75" x14ac:dyDescent="0.2">
      <c r="A28" s="953" t="str">
        <f>IF(main!C31&gt;0,main!C31,"")</f>
        <v/>
      </c>
      <c r="B28" s="953" t="str">
        <f>IF(main!D31&gt;0,main!D31,"")</f>
        <v/>
      </c>
      <c r="C28" s="953" t="str">
        <f>IF(main!E31&gt;0,main!E31,"")</f>
        <v/>
      </c>
      <c r="D28" s="953" t="str">
        <f>IF(main!G31&gt;0,main!G31,"")</f>
        <v/>
      </c>
      <c r="E28" s="953" t="str">
        <f>IF(main!K31&gt;0,main!K31,"")</f>
        <v/>
      </c>
      <c r="F28" s="967" t="str">
        <f>IF(main!R31&gt;0,main!R31,"")</f>
        <v xml:space="preserve"> </v>
      </c>
      <c r="G28" s="953" t="str">
        <f>IF(main!O31&gt;0,main!O31,"")</f>
        <v/>
      </c>
      <c r="H28" s="952"/>
      <c r="I28" s="952"/>
      <c r="J28" s="953" t="str">
        <f>main!N31</f>
        <v/>
      </c>
      <c r="K28" s="953">
        <f>main!DU31</f>
        <v>0</v>
      </c>
      <c r="L28" s="953">
        <f>main!DV31</f>
        <v>0</v>
      </c>
      <c r="M28" s="953">
        <f>main!DQ31</f>
        <v>0</v>
      </c>
    </row>
    <row r="29" spans="1:13" ht="18.75" x14ac:dyDescent="0.2">
      <c r="A29" s="953" t="str">
        <f>IF(main!C32&gt;0,main!C32,"")</f>
        <v/>
      </c>
      <c r="B29" s="953" t="str">
        <f>IF(main!D32&gt;0,main!D32,"")</f>
        <v/>
      </c>
      <c r="C29" s="953" t="str">
        <f>IF(main!E32&gt;0,main!E32,"")</f>
        <v/>
      </c>
      <c r="D29" s="953" t="str">
        <f>IF(main!G32&gt;0,main!G32,"")</f>
        <v/>
      </c>
      <c r="E29" s="953" t="str">
        <f>IF(main!K32&gt;0,main!K32,"")</f>
        <v/>
      </c>
      <c r="F29" s="967" t="str">
        <f>IF(main!R32&gt;0,main!R32,"")</f>
        <v xml:space="preserve"> </v>
      </c>
      <c r="G29" s="953" t="str">
        <f>IF(main!O32&gt;0,main!O32,"")</f>
        <v/>
      </c>
      <c r="H29" s="952"/>
      <c r="I29" s="952"/>
      <c r="J29" s="953" t="str">
        <f>main!N32</f>
        <v/>
      </c>
      <c r="K29" s="953">
        <f>main!DU32</f>
        <v>0</v>
      </c>
      <c r="L29" s="953">
        <f>main!DV32</f>
        <v>0</v>
      </c>
      <c r="M29" s="953">
        <f>main!DQ32</f>
        <v>0</v>
      </c>
    </row>
    <row r="30" spans="1:13" ht="18.75" x14ac:dyDescent="0.2">
      <c r="A30" s="953" t="str">
        <f>IF(main!C33&gt;0,main!C33,"")</f>
        <v/>
      </c>
      <c r="B30" s="953" t="str">
        <f>IF(main!D33&gt;0,main!D33,"")</f>
        <v/>
      </c>
      <c r="C30" s="953" t="str">
        <f>IF(main!E33&gt;0,main!E33,"")</f>
        <v/>
      </c>
      <c r="D30" s="953" t="str">
        <f>IF(main!G33&gt;0,main!G33,"")</f>
        <v/>
      </c>
      <c r="E30" s="953" t="str">
        <f>IF(main!K33&gt;0,main!K33,"")</f>
        <v/>
      </c>
      <c r="F30" s="967" t="str">
        <f>IF(main!R33&gt;0,main!R33,"")</f>
        <v xml:space="preserve"> </v>
      </c>
      <c r="G30" s="953" t="str">
        <f>IF(main!O33&gt;0,main!O33,"")</f>
        <v/>
      </c>
      <c r="H30" s="952"/>
      <c r="I30" s="952"/>
      <c r="J30" s="953" t="str">
        <f>main!N33</f>
        <v/>
      </c>
      <c r="K30" s="953">
        <f>main!DU33</f>
        <v>0</v>
      </c>
      <c r="L30" s="953">
        <f>main!DV33</f>
        <v>0</v>
      </c>
      <c r="M30" s="953">
        <f>main!DQ33</f>
        <v>0</v>
      </c>
    </row>
    <row r="31" spans="1:13" ht="18.75" x14ac:dyDescent="0.2">
      <c r="A31" s="953" t="str">
        <f>IF(main!C34&gt;0,main!C34,"")</f>
        <v/>
      </c>
      <c r="B31" s="953" t="str">
        <f>IF(main!D34&gt;0,main!D34,"")</f>
        <v/>
      </c>
      <c r="C31" s="953" t="str">
        <f>IF(main!E34&gt;0,main!E34,"")</f>
        <v/>
      </c>
      <c r="D31" s="953" t="str">
        <f>IF(main!G34&gt;0,main!G34,"")</f>
        <v/>
      </c>
      <c r="E31" s="953" t="str">
        <f>IF(main!K34&gt;0,main!K34,"")</f>
        <v/>
      </c>
      <c r="F31" s="967" t="str">
        <f>IF(main!R34&gt;0,main!R34,"")</f>
        <v xml:space="preserve"> </v>
      </c>
      <c r="G31" s="953" t="str">
        <f>IF(main!O34&gt;0,main!O34,"")</f>
        <v/>
      </c>
      <c r="H31" s="952"/>
      <c r="I31" s="952"/>
      <c r="J31" s="953" t="str">
        <f>main!N34</f>
        <v/>
      </c>
      <c r="K31" s="953">
        <f>main!DU34</f>
        <v>0</v>
      </c>
      <c r="L31" s="953">
        <f>main!DV34</f>
        <v>0</v>
      </c>
      <c r="M31" s="953">
        <f>main!DQ34</f>
        <v>0</v>
      </c>
    </row>
    <row r="32" spans="1:13" ht="18.75" x14ac:dyDescent="0.2">
      <c r="A32" s="953" t="str">
        <f>IF(main!C35&gt;0,main!C35,"")</f>
        <v/>
      </c>
      <c r="B32" s="953" t="str">
        <f>IF(main!D35&gt;0,main!D35,"")</f>
        <v/>
      </c>
      <c r="C32" s="953" t="str">
        <f>IF(main!E35&gt;0,main!E35,"")</f>
        <v/>
      </c>
      <c r="D32" s="953" t="str">
        <f>IF(main!G35&gt;0,main!G35,"")</f>
        <v/>
      </c>
      <c r="E32" s="953" t="str">
        <f>IF(main!K35&gt;0,main!K35,"")</f>
        <v/>
      </c>
      <c r="F32" s="967" t="str">
        <f>IF(main!R35&gt;0,main!R35,"")</f>
        <v xml:space="preserve"> </v>
      </c>
      <c r="G32" s="953" t="str">
        <f>IF(main!O35&gt;0,main!O35,"")</f>
        <v/>
      </c>
      <c r="H32" s="952"/>
      <c r="I32" s="952"/>
      <c r="J32" s="953" t="str">
        <f>main!N35</f>
        <v/>
      </c>
      <c r="K32" s="953">
        <f>main!DU35</f>
        <v>0</v>
      </c>
      <c r="L32" s="953">
        <f>main!DV35</f>
        <v>0</v>
      </c>
      <c r="M32" s="953">
        <f>main!DQ35</f>
        <v>0</v>
      </c>
    </row>
    <row r="33" spans="1:13" ht="18.75" x14ac:dyDescent="0.2">
      <c r="A33" s="953" t="str">
        <f>IF(main!C36&gt;0,main!C36,"")</f>
        <v/>
      </c>
      <c r="B33" s="953" t="str">
        <f>IF(main!D36&gt;0,main!D36,"")</f>
        <v/>
      </c>
      <c r="C33" s="953" t="str">
        <f>IF(main!E36&gt;0,main!E36,"")</f>
        <v/>
      </c>
      <c r="D33" s="953" t="str">
        <f>IF(main!G36&gt;0,main!G36,"")</f>
        <v/>
      </c>
      <c r="E33" s="953" t="str">
        <f>IF(main!K36&gt;0,main!K36,"")</f>
        <v/>
      </c>
      <c r="F33" s="967" t="str">
        <f>IF(main!R36&gt;0,main!R36,"")</f>
        <v xml:space="preserve"> </v>
      </c>
      <c r="G33" s="953" t="str">
        <f>IF(main!O36&gt;0,main!O36,"")</f>
        <v/>
      </c>
      <c r="H33" s="952"/>
      <c r="I33" s="952"/>
      <c r="J33" s="953" t="str">
        <f>main!N36</f>
        <v/>
      </c>
      <c r="K33" s="953">
        <f>main!DU36</f>
        <v>0</v>
      </c>
      <c r="L33" s="953">
        <f>main!DV36</f>
        <v>0</v>
      </c>
      <c r="M33" s="953">
        <f>main!DQ36</f>
        <v>0</v>
      </c>
    </row>
    <row r="34" spans="1:13" ht="18.75" x14ac:dyDescent="0.2">
      <c r="A34" s="953" t="str">
        <f>IF(main!C37&gt;0,main!C37,"")</f>
        <v/>
      </c>
      <c r="B34" s="953" t="str">
        <f>IF(main!D37&gt;0,main!D37,"")</f>
        <v/>
      </c>
      <c r="C34" s="953" t="str">
        <f>IF(main!E37&gt;0,main!E37,"")</f>
        <v/>
      </c>
      <c r="D34" s="953" t="str">
        <f>IF(main!G37&gt;0,main!G37,"")</f>
        <v/>
      </c>
      <c r="E34" s="953" t="str">
        <f>IF(main!K37&gt;0,main!K37,"")</f>
        <v/>
      </c>
      <c r="F34" s="967" t="str">
        <f>IF(main!R37&gt;0,main!R37,"")</f>
        <v xml:space="preserve"> </v>
      </c>
      <c r="G34" s="953" t="str">
        <f>IF(main!O37&gt;0,main!O37,"")</f>
        <v/>
      </c>
      <c r="H34" s="952"/>
      <c r="I34" s="952"/>
      <c r="J34" s="953" t="str">
        <f>main!N37</f>
        <v/>
      </c>
      <c r="K34" s="953">
        <f>main!DU37</f>
        <v>0</v>
      </c>
      <c r="L34" s="953">
        <f>main!DV37</f>
        <v>0</v>
      </c>
      <c r="M34" s="953">
        <f>main!DQ37</f>
        <v>0</v>
      </c>
    </row>
    <row r="35" spans="1:13" ht="18.75" x14ac:dyDescent="0.2">
      <c r="A35" s="953" t="str">
        <f>IF(main!C38&gt;0,main!C38,"")</f>
        <v/>
      </c>
      <c r="B35" s="953" t="str">
        <f>IF(main!D38&gt;0,main!D38,"")</f>
        <v/>
      </c>
      <c r="C35" s="953" t="str">
        <f>IF(main!E38&gt;0,main!E38,"")</f>
        <v/>
      </c>
      <c r="D35" s="953" t="str">
        <f>IF(main!G38&gt;0,main!G38,"")</f>
        <v/>
      </c>
      <c r="E35" s="953" t="str">
        <f>IF(main!K38&gt;0,main!K38,"")</f>
        <v/>
      </c>
      <c r="F35" s="967" t="str">
        <f>IF(main!R38&gt;0,main!R38,"")</f>
        <v xml:space="preserve"> </v>
      </c>
      <c r="G35" s="953" t="str">
        <f>IF(main!O38&gt;0,main!O38,"")</f>
        <v/>
      </c>
      <c r="H35" s="952"/>
      <c r="I35" s="952"/>
      <c r="J35" s="953" t="str">
        <f>main!N38</f>
        <v/>
      </c>
      <c r="K35" s="953">
        <f>main!DU38</f>
        <v>0</v>
      </c>
      <c r="L35" s="953">
        <f>main!DV38</f>
        <v>0</v>
      </c>
      <c r="M35" s="953">
        <f>main!DQ38</f>
        <v>0</v>
      </c>
    </row>
    <row r="36" spans="1:13" ht="18.75" x14ac:dyDescent="0.2">
      <c r="A36" s="953" t="str">
        <f>IF(main!C39&gt;0,main!C39,"")</f>
        <v/>
      </c>
      <c r="B36" s="953" t="str">
        <f>IF(main!D39&gt;0,main!D39,"")</f>
        <v/>
      </c>
      <c r="C36" s="953" t="str">
        <f>IF(main!E39&gt;0,main!E39,"")</f>
        <v/>
      </c>
      <c r="D36" s="953" t="str">
        <f>IF(main!G39&gt;0,main!G39,"")</f>
        <v/>
      </c>
      <c r="E36" s="953" t="str">
        <f>IF(main!K39&gt;0,main!K39,"")</f>
        <v/>
      </c>
      <c r="F36" s="967" t="str">
        <f>IF(main!R39&gt;0,main!R39,"")</f>
        <v xml:space="preserve"> </v>
      </c>
      <c r="G36" s="953" t="str">
        <f>IF(main!O39&gt;0,main!O39,"")</f>
        <v/>
      </c>
      <c r="H36" s="952"/>
      <c r="I36" s="952"/>
      <c r="J36" s="953" t="str">
        <f>main!N39</f>
        <v/>
      </c>
      <c r="K36" s="953">
        <f>main!DU39</f>
        <v>0</v>
      </c>
      <c r="L36" s="953">
        <f>main!DV39</f>
        <v>0</v>
      </c>
      <c r="M36" s="953">
        <f>main!DQ39</f>
        <v>0</v>
      </c>
    </row>
    <row r="37" spans="1:13" ht="18.75" x14ac:dyDescent="0.2">
      <c r="A37" s="953" t="str">
        <f>IF(main!C40&gt;0,main!C40,"")</f>
        <v/>
      </c>
      <c r="B37" s="953" t="str">
        <f>IF(main!D40&gt;0,main!D40,"")</f>
        <v/>
      </c>
      <c r="C37" s="953" t="str">
        <f>IF(main!E40&gt;0,main!E40,"")</f>
        <v/>
      </c>
      <c r="D37" s="953" t="str">
        <f>IF(main!G40&gt;0,main!G40,"")</f>
        <v/>
      </c>
      <c r="E37" s="953" t="str">
        <f>IF(main!K40&gt;0,main!K40,"")</f>
        <v/>
      </c>
      <c r="F37" s="967" t="str">
        <f>IF(main!R40&gt;0,main!R40,"")</f>
        <v xml:space="preserve"> </v>
      </c>
      <c r="G37" s="953" t="str">
        <f>IF(main!O40&gt;0,main!O40,"")</f>
        <v/>
      </c>
      <c r="H37" s="952"/>
      <c r="I37" s="952"/>
      <c r="J37" s="953" t="str">
        <f>main!N40</f>
        <v/>
      </c>
      <c r="K37" s="953">
        <f>main!DU40</f>
        <v>0</v>
      </c>
      <c r="L37" s="953">
        <f>main!DV40</f>
        <v>0</v>
      </c>
      <c r="M37" s="953">
        <f>main!DQ40</f>
        <v>0</v>
      </c>
    </row>
    <row r="38" spans="1:13" ht="18.75" x14ac:dyDescent="0.2">
      <c r="A38" s="953" t="str">
        <f>IF(main!C41&gt;0,main!C41,"")</f>
        <v/>
      </c>
      <c r="B38" s="953" t="str">
        <f>IF(main!D41&gt;0,main!D41,"")</f>
        <v/>
      </c>
      <c r="C38" s="953" t="str">
        <f>IF(main!E41&gt;0,main!E41,"")</f>
        <v/>
      </c>
      <c r="D38" s="953" t="str">
        <f>IF(main!G41&gt;0,main!G41,"")</f>
        <v/>
      </c>
      <c r="E38" s="953" t="str">
        <f>IF(main!K41&gt;0,main!K41,"")</f>
        <v/>
      </c>
      <c r="F38" s="967" t="str">
        <f>IF(main!R41&gt;0,main!R41,"")</f>
        <v xml:space="preserve"> </v>
      </c>
      <c r="G38" s="953" t="str">
        <f>IF(main!O41&gt;0,main!O41,"")</f>
        <v/>
      </c>
      <c r="H38" s="952"/>
      <c r="I38" s="952"/>
      <c r="J38" s="953" t="str">
        <f>main!N41</f>
        <v/>
      </c>
      <c r="K38" s="953">
        <f>main!DU41</f>
        <v>0</v>
      </c>
      <c r="L38" s="953">
        <f>main!DV41</f>
        <v>0</v>
      </c>
      <c r="M38" s="953">
        <f>main!DQ41</f>
        <v>0</v>
      </c>
    </row>
    <row r="39" spans="1:13" ht="18.75" x14ac:dyDescent="0.2">
      <c r="A39" s="953" t="str">
        <f>IF(main!C42&gt;0,main!C42,"")</f>
        <v/>
      </c>
      <c r="B39" s="953" t="str">
        <f>IF(main!D42&gt;0,main!D42,"")</f>
        <v/>
      </c>
      <c r="C39" s="953" t="str">
        <f>IF(main!E42&gt;0,main!E42,"")</f>
        <v/>
      </c>
      <c r="D39" s="953" t="str">
        <f>IF(main!G42&gt;0,main!G42,"")</f>
        <v/>
      </c>
      <c r="E39" s="953" t="str">
        <f>IF(main!K42&gt;0,main!K42,"")</f>
        <v/>
      </c>
      <c r="F39" s="967" t="str">
        <f>IF(main!R42&gt;0,main!R42,"")</f>
        <v xml:space="preserve"> </v>
      </c>
      <c r="G39" s="953" t="str">
        <f>IF(main!O42&gt;0,main!O42,"")</f>
        <v/>
      </c>
      <c r="H39" s="952"/>
      <c r="I39" s="952"/>
      <c r="J39" s="953" t="str">
        <f>main!N42</f>
        <v/>
      </c>
      <c r="K39" s="953">
        <f>main!DU42</f>
        <v>0</v>
      </c>
      <c r="L39" s="953">
        <f>main!DV42</f>
        <v>0</v>
      </c>
      <c r="M39" s="953">
        <f>main!DQ42</f>
        <v>0</v>
      </c>
    </row>
    <row r="40" spans="1:13" ht="18.75" x14ac:dyDescent="0.2">
      <c r="A40" s="953" t="str">
        <f>IF(main!C43&gt;0,main!C43,"")</f>
        <v/>
      </c>
      <c r="B40" s="953" t="str">
        <f>IF(main!D43&gt;0,main!D43,"")</f>
        <v/>
      </c>
      <c r="C40" s="953" t="str">
        <f>IF(main!E43&gt;0,main!E43,"")</f>
        <v/>
      </c>
      <c r="D40" s="953" t="str">
        <f>IF(main!G43&gt;0,main!G43,"")</f>
        <v/>
      </c>
      <c r="E40" s="953" t="str">
        <f>IF(main!K43&gt;0,main!K43,"")</f>
        <v/>
      </c>
      <c r="F40" s="967" t="str">
        <f>IF(main!R43&gt;0,main!R43,"")</f>
        <v xml:space="preserve"> </v>
      </c>
      <c r="G40" s="953" t="str">
        <f>IF(main!O43&gt;0,main!O43,"")</f>
        <v/>
      </c>
      <c r="H40" s="952"/>
      <c r="I40" s="952"/>
      <c r="J40" s="953" t="str">
        <f>main!N43</f>
        <v/>
      </c>
      <c r="K40" s="953">
        <f>main!DU43</f>
        <v>0</v>
      </c>
      <c r="L40" s="953">
        <f>main!DV43</f>
        <v>0</v>
      </c>
      <c r="M40" s="953">
        <f>main!DQ43</f>
        <v>0</v>
      </c>
    </row>
    <row r="41" spans="1:13" ht="18.75" x14ac:dyDescent="0.2">
      <c r="A41" s="953" t="str">
        <f>IF(main!C44&gt;0,main!C44,"")</f>
        <v/>
      </c>
      <c r="B41" s="953" t="str">
        <f>IF(main!D44&gt;0,main!D44,"")</f>
        <v/>
      </c>
      <c r="C41" s="953" t="str">
        <f>IF(main!E44&gt;0,main!E44,"")</f>
        <v/>
      </c>
      <c r="D41" s="953" t="str">
        <f>IF(main!G44&gt;0,main!G44,"")</f>
        <v/>
      </c>
      <c r="E41" s="953" t="str">
        <f>IF(main!K44&gt;0,main!K44,"")</f>
        <v/>
      </c>
      <c r="F41" s="967" t="str">
        <f>IF(main!R44&gt;0,main!R44,"")</f>
        <v xml:space="preserve"> </v>
      </c>
      <c r="G41" s="953" t="str">
        <f>IF(main!O44&gt;0,main!O44,"")</f>
        <v/>
      </c>
      <c r="H41" s="952"/>
      <c r="I41" s="952"/>
      <c r="J41" s="953" t="str">
        <f>main!N44</f>
        <v/>
      </c>
      <c r="K41" s="953">
        <f>main!DU44</f>
        <v>0</v>
      </c>
      <c r="L41" s="953">
        <f>main!DV44</f>
        <v>0</v>
      </c>
      <c r="M41" s="953">
        <f>main!DQ44</f>
        <v>0</v>
      </c>
    </row>
    <row r="42" spans="1:13" ht="18.75" x14ac:dyDescent="0.2">
      <c r="A42" s="953" t="str">
        <f>IF(main!C45&gt;0,main!C45,"")</f>
        <v/>
      </c>
      <c r="B42" s="953" t="str">
        <f>IF(main!D45&gt;0,main!D45,"")</f>
        <v/>
      </c>
      <c r="C42" s="953" t="str">
        <f>IF(main!E45&gt;0,main!E45,"")</f>
        <v/>
      </c>
      <c r="D42" s="953" t="str">
        <f>IF(main!G45&gt;0,main!G45,"")</f>
        <v/>
      </c>
      <c r="E42" s="953" t="str">
        <f>IF(main!K45&gt;0,main!K45,"")</f>
        <v/>
      </c>
      <c r="F42" s="967" t="str">
        <f>IF(main!R45&gt;0,main!R45,"")</f>
        <v xml:space="preserve"> </v>
      </c>
      <c r="G42" s="953" t="str">
        <f>IF(main!O45&gt;0,main!O45,"")</f>
        <v/>
      </c>
      <c r="H42" s="952"/>
      <c r="I42" s="952"/>
      <c r="J42" s="953" t="str">
        <f>main!N45</f>
        <v/>
      </c>
      <c r="K42" s="953">
        <f>main!DU45</f>
        <v>0</v>
      </c>
      <c r="L42" s="953">
        <f>main!DV45</f>
        <v>0</v>
      </c>
      <c r="M42" s="953">
        <f>main!DQ45</f>
        <v>0</v>
      </c>
    </row>
    <row r="43" spans="1:13" ht="18.75" x14ac:dyDescent="0.2">
      <c r="A43" s="953" t="str">
        <f>IF(main!C46&gt;0,main!C46,"")</f>
        <v/>
      </c>
      <c r="B43" s="953" t="str">
        <f>IF(main!D46&gt;0,main!D46,"")</f>
        <v/>
      </c>
      <c r="C43" s="953" t="str">
        <f>IF(main!E46&gt;0,main!E46,"")</f>
        <v/>
      </c>
      <c r="D43" s="953" t="str">
        <f>IF(main!G46&gt;0,main!G46,"")</f>
        <v/>
      </c>
      <c r="E43" s="953" t="str">
        <f>IF(main!K46&gt;0,main!K46,"")</f>
        <v/>
      </c>
      <c r="F43" s="967" t="str">
        <f>IF(main!R46&gt;0,main!R46,"")</f>
        <v xml:space="preserve"> </v>
      </c>
      <c r="G43" s="953" t="str">
        <f>IF(main!O46&gt;0,main!O46,"")</f>
        <v/>
      </c>
      <c r="H43" s="952"/>
      <c r="I43" s="952"/>
      <c r="J43" s="953" t="str">
        <f>main!N46</f>
        <v/>
      </c>
      <c r="K43" s="953">
        <f>main!DU46</f>
        <v>0</v>
      </c>
      <c r="L43" s="953">
        <f>main!DV46</f>
        <v>0</v>
      </c>
      <c r="M43" s="953">
        <f>main!DQ46</f>
        <v>0</v>
      </c>
    </row>
    <row r="44" spans="1:13" ht="18.75" x14ac:dyDescent="0.2">
      <c r="A44" s="953" t="str">
        <f>IF(main!C47&gt;0,main!C47,"")</f>
        <v/>
      </c>
      <c r="B44" s="953" t="str">
        <f>IF(main!D47&gt;0,main!D47,"")</f>
        <v/>
      </c>
      <c r="C44" s="953" t="str">
        <f>IF(main!E47&gt;0,main!E47,"")</f>
        <v/>
      </c>
      <c r="D44" s="953" t="str">
        <f>IF(main!G47&gt;0,main!G47,"")</f>
        <v/>
      </c>
      <c r="E44" s="953" t="str">
        <f>IF(main!K47&gt;0,main!K47,"")</f>
        <v/>
      </c>
      <c r="F44" s="967" t="str">
        <f>IF(main!R47&gt;0,main!R47,"")</f>
        <v xml:space="preserve"> </v>
      </c>
      <c r="G44" s="953" t="str">
        <f>IF(main!O47&gt;0,main!O47,"")</f>
        <v/>
      </c>
      <c r="H44" s="952"/>
      <c r="I44" s="952"/>
      <c r="J44" s="953" t="str">
        <f>main!N47</f>
        <v/>
      </c>
      <c r="K44" s="953">
        <f>main!DU47</f>
        <v>0</v>
      </c>
      <c r="L44" s="953">
        <f>main!DV47</f>
        <v>0</v>
      </c>
      <c r="M44" s="953">
        <f>main!DQ47</f>
        <v>0</v>
      </c>
    </row>
    <row r="45" spans="1:13" ht="18.75" x14ac:dyDescent="0.2">
      <c r="A45" s="953" t="str">
        <f>IF(main!C48&gt;0,main!C48,"")</f>
        <v/>
      </c>
      <c r="B45" s="953" t="str">
        <f>IF(main!D48&gt;0,main!D48,"")</f>
        <v/>
      </c>
      <c r="C45" s="953" t="str">
        <f>IF(main!E48&gt;0,main!E48,"")</f>
        <v/>
      </c>
      <c r="D45" s="953" t="str">
        <f>IF(main!G48&gt;0,main!G48,"")</f>
        <v/>
      </c>
      <c r="E45" s="953" t="str">
        <f>IF(main!K48&gt;0,main!K48,"")</f>
        <v/>
      </c>
      <c r="F45" s="967" t="str">
        <f>IF(main!R48&gt;0,main!R48,"")</f>
        <v xml:space="preserve"> </v>
      </c>
      <c r="G45" s="953" t="str">
        <f>IF(main!O48&gt;0,main!O48,"")</f>
        <v/>
      </c>
      <c r="H45" s="952"/>
      <c r="I45" s="952"/>
      <c r="J45" s="953" t="str">
        <f>main!N48</f>
        <v/>
      </c>
      <c r="K45" s="953">
        <f>main!DU48</f>
        <v>0</v>
      </c>
      <c r="L45" s="953">
        <f>main!DV48</f>
        <v>0</v>
      </c>
      <c r="M45" s="953">
        <f>main!DQ48</f>
        <v>0</v>
      </c>
    </row>
    <row r="46" spans="1:13" ht="18.75" x14ac:dyDescent="0.2">
      <c r="A46" s="953" t="str">
        <f>IF(main!C49&gt;0,main!C49,"")</f>
        <v/>
      </c>
      <c r="B46" s="953" t="str">
        <f>IF(main!D49&gt;0,main!D49,"")</f>
        <v/>
      </c>
      <c r="C46" s="953" t="str">
        <f>IF(main!E49&gt;0,main!E49,"")</f>
        <v/>
      </c>
      <c r="D46" s="953" t="str">
        <f>IF(main!G49&gt;0,main!G49,"")</f>
        <v/>
      </c>
      <c r="E46" s="953" t="str">
        <f>IF(main!K49&gt;0,main!K49,"")</f>
        <v/>
      </c>
      <c r="F46" s="967" t="str">
        <f>IF(main!R49&gt;0,main!R49,"")</f>
        <v xml:space="preserve"> </v>
      </c>
      <c r="G46" s="953" t="str">
        <f>IF(main!O49&gt;0,main!O49,"")</f>
        <v/>
      </c>
      <c r="H46" s="952"/>
      <c r="I46" s="952"/>
      <c r="J46" s="953" t="str">
        <f>main!N49</f>
        <v/>
      </c>
      <c r="K46" s="953">
        <f>main!DU49</f>
        <v>0</v>
      </c>
      <c r="L46" s="953">
        <f>main!DV49</f>
        <v>0</v>
      </c>
      <c r="M46" s="953">
        <f>main!DQ49</f>
        <v>0</v>
      </c>
    </row>
    <row r="47" spans="1:13" ht="18.75" x14ac:dyDescent="0.2">
      <c r="A47" s="953" t="str">
        <f>IF(main!C50&gt;0,main!C50,"")</f>
        <v/>
      </c>
      <c r="B47" s="953" t="str">
        <f>IF(main!D50&gt;0,main!D50,"")</f>
        <v/>
      </c>
      <c r="C47" s="953" t="str">
        <f>IF(main!E50&gt;0,main!E50,"")</f>
        <v/>
      </c>
      <c r="D47" s="953" t="str">
        <f>IF(main!G50&gt;0,main!G50,"")</f>
        <v/>
      </c>
      <c r="E47" s="953" t="str">
        <f>IF(main!K50&gt;0,main!K50,"")</f>
        <v/>
      </c>
      <c r="F47" s="967" t="str">
        <f>IF(main!R50&gt;0,main!R50,"")</f>
        <v xml:space="preserve"> </v>
      </c>
      <c r="G47" s="953" t="str">
        <f>IF(main!O50&gt;0,main!O50,"")</f>
        <v/>
      </c>
      <c r="H47" s="952"/>
      <c r="I47" s="952"/>
      <c r="J47" s="953" t="str">
        <f>main!N50</f>
        <v/>
      </c>
      <c r="K47" s="953">
        <f>main!DU50</f>
        <v>0</v>
      </c>
      <c r="L47" s="953">
        <f>main!DV50</f>
        <v>0</v>
      </c>
      <c r="M47" s="953">
        <f>main!DQ50</f>
        <v>0</v>
      </c>
    </row>
    <row r="48" spans="1:13" ht="18.75" x14ac:dyDescent="0.2">
      <c r="A48" s="953" t="str">
        <f>IF(main!C51&gt;0,main!C51,"")</f>
        <v/>
      </c>
      <c r="B48" s="953" t="str">
        <f>IF(main!D51&gt;0,main!D51,"")</f>
        <v/>
      </c>
      <c r="C48" s="953" t="str">
        <f>IF(main!E51&gt;0,main!E51,"")</f>
        <v/>
      </c>
      <c r="D48" s="953" t="str">
        <f>IF(main!G51&gt;0,main!G51,"")</f>
        <v/>
      </c>
      <c r="E48" s="953" t="str">
        <f>IF(main!K51&gt;0,main!K51,"")</f>
        <v/>
      </c>
      <c r="F48" s="967" t="str">
        <f>IF(main!R51&gt;0,main!R51,"")</f>
        <v xml:space="preserve"> </v>
      </c>
      <c r="G48" s="953" t="str">
        <f>IF(main!O51&gt;0,main!O51,"")</f>
        <v/>
      </c>
      <c r="H48" s="952"/>
      <c r="I48" s="952"/>
      <c r="J48" s="953" t="str">
        <f>main!N51</f>
        <v/>
      </c>
      <c r="K48" s="953">
        <f>main!DU51</f>
        <v>0</v>
      </c>
      <c r="L48" s="953">
        <f>main!DV51</f>
        <v>0</v>
      </c>
      <c r="M48" s="953">
        <f>main!DQ51</f>
        <v>0</v>
      </c>
    </row>
    <row r="49" spans="1:13" ht="19.5" thickBot="1" x14ac:dyDescent="0.25">
      <c r="A49" s="953" t="str">
        <f>IF(main!C52&gt;0,main!C52,"")</f>
        <v/>
      </c>
      <c r="B49" s="953" t="str">
        <f>IF(main!D52&gt;0,main!D52,"")</f>
        <v/>
      </c>
      <c r="C49" s="953" t="str">
        <f>IF(main!E52&gt;0,main!E52,"")</f>
        <v/>
      </c>
      <c r="D49" s="953" t="str">
        <f>IF(main!G52&gt;0,main!G52,"")</f>
        <v/>
      </c>
      <c r="E49" s="953" t="str">
        <f>IF(main!K52&gt;0,main!K52,"")</f>
        <v/>
      </c>
      <c r="F49" s="967" t="str">
        <f>IF(main!R52&gt;0,main!R52,"")</f>
        <v xml:space="preserve"> </v>
      </c>
      <c r="G49" s="953" t="str">
        <f>IF(main!O52&gt;0,main!O52,"")</f>
        <v/>
      </c>
      <c r="H49" s="952"/>
      <c r="I49" s="952"/>
      <c r="J49" s="953" t="str">
        <f>main!N52</f>
        <v/>
      </c>
      <c r="K49" s="953">
        <f>main!DU52</f>
        <v>0</v>
      </c>
      <c r="L49" s="953">
        <f>main!DV52</f>
        <v>0</v>
      </c>
      <c r="M49" s="953">
        <f>main!DQ52</f>
        <v>0</v>
      </c>
    </row>
    <row r="50" spans="1:13" ht="29.25" thickTop="1" thickBot="1" x14ac:dyDescent="0.25">
      <c r="A50" s="974"/>
      <c r="B50" s="955"/>
      <c r="C50" s="956"/>
      <c r="D50" s="957"/>
      <c r="E50" s="957"/>
      <c r="F50" s="958"/>
      <c r="G50" s="957"/>
      <c r="H50" s="960"/>
      <c r="I50" s="960">
        <f>SUM(I6:I49)</f>
        <v>0</v>
      </c>
      <c r="J50" s="960"/>
      <c r="K50" s="960">
        <f>SUM(K6:K49)</f>
        <v>0.66</v>
      </c>
      <c r="L50" s="960">
        <f>SUM(L6:L49)</f>
        <v>117.18</v>
      </c>
      <c r="M50" s="959">
        <f>SUM(M6:M49)</f>
        <v>0</v>
      </c>
    </row>
    <row r="51" spans="1:13" ht="19.5" thickTop="1" x14ac:dyDescent="0.2">
      <c r="A51" s="961"/>
      <c r="B51" s="962"/>
      <c r="C51" s="961"/>
      <c r="D51" s="962"/>
      <c r="E51" s="962"/>
      <c r="F51" s="963"/>
      <c r="G51" s="962"/>
      <c r="H51" s="964"/>
      <c r="I51" s="965">
        <v>0</v>
      </c>
      <c r="J51" s="962"/>
      <c r="K51" s="978"/>
      <c r="L51" s="978"/>
    </row>
  </sheetData>
  <mergeCells count="1">
    <mergeCell ref="B1:G1"/>
  </mergeCells>
  <conditionalFormatting sqref="M6:M49">
    <cfRule type="cellIs" dxfId="0" priority="1" operator="equal">
      <formula>0</formula>
    </cfRule>
  </conditionalFormatting>
  <pageMargins left="0.11811023622047245" right="0.19685039370078741" top="0.74803149606299213" bottom="0.74803149606299213" header="0.31496062992125984" footer="0.31496062992125984"/>
  <pageSetup paperSize="9" orientation="landscape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34"/>
  <dimension ref="A1:T17"/>
  <sheetViews>
    <sheetView rightToLeft="1" workbookViewId="0">
      <selection activeCell="AL8" sqref="AL8"/>
    </sheetView>
  </sheetViews>
  <sheetFormatPr defaultRowHeight="12.75" x14ac:dyDescent="0.2"/>
  <cols>
    <col min="1" max="1" width="18.140625" customWidth="1"/>
    <col min="2" max="2" width="15.140625" customWidth="1"/>
    <col min="17" max="17" width="15.140625" customWidth="1"/>
  </cols>
  <sheetData>
    <row r="1" spans="1:20" ht="27.75" thickBot="1" x14ac:dyDescent="0.25">
      <c r="A1" s="1094" t="str">
        <f>IF(Q14="גבר", "Male","Female")</f>
        <v>Male</v>
      </c>
      <c r="B1" s="1094"/>
      <c r="C1" s="1094"/>
      <c r="D1" s="1094"/>
      <c r="E1" s="1094"/>
      <c r="F1" s="220"/>
      <c r="G1" s="221"/>
      <c r="H1" s="221"/>
      <c r="I1" s="221"/>
      <c r="J1" s="221"/>
      <c r="K1" s="221"/>
      <c r="L1" s="222"/>
      <c r="P1" s="5"/>
    </row>
    <row r="2" spans="1:20" ht="27" x14ac:dyDescent="0.2">
      <c r="A2" s="1094"/>
      <c r="B2" s="1094"/>
      <c r="C2" s="1094"/>
      <c r="D2" s="1094"/>
      <c r="E2" s="1094"/>
      <c r="F2" s="220"/>
      <c r="G2" s="221"/>
      <c r="H2" s="221"/>
      <c r="I2" s="221"/>
      <c r="J2" s="221"/>
      <c r="K2" s="221"/>
      <c r="L2" s="222"/>
      <c r="M2" s="1095" t="s">
        <v>539</v>
      </c>
      <c r="N2" s="1096"/>
      <c r="O2" s="1096"/>
      <c r="P2" s="1096"/>
      <c r="Q2" s="1096"/>
      <c r="R2" s="1096"/>
      <c r="S2" s="1096"/>
      <c r="T2" s="1097"/>
    </row>
    <row r="3" spans="1:20" ht="13.5" thickBot="1" x14ac:dyDescent="0.25">
      <c r="A3" s="1094"/>
      <c r="B3" s="1094"/>
      <c r="C3" s="1094"/>
      <c r="D3" s="1094"/>
      <c r="E3" s="1094"/>
      <c r="F3" s="223"/>
      <c r="L3" s="185"/>
      <c r="M3" s="1098"/>
      <c r="N3" s="1099"/>
      <c r="O3" s="1099"/>
      <c r="P3" s="1099"/>
      <c r="Q3" s="1099"/>
      <c r="R3" s="1099"/>
      <c r="S3" s="1099"/>
      <c r="T3" s="1100"/>
    </row>
    <row r="4" spans="1:20" ht="45" x14ac:dyDescent="0.2">
      <c r="A4" s="224" t="s">
        <v>540</v>
      </c>
      <c r="B4" s="224" t="s">
        <v>541</v>
      </c>
      <c r="C4" s="224" t="s">
        <v>542</v>
      </c>
      <c r="D4" s="224" t="s">
        <v>543</v>
      </c>
      <c r="E4" s="224" t="s">
        <v>544</v>
      </c>
      <c r="F4" s="223"/>
      <c r="K4">
        <f>IF($Q$13&gt;2016,0,IF($Q$12&gt;$A5,0,IF($Q$9&lt;$A5,0,IF($Q$9&lt;$Q$12,0,IF($Q$9&lt;$A6,($Q$9-$Q$12)*$C6,($A6-$Q$12)*$C6)))))</f>
        <v>0</v>
      </c>
      <c r="L4" s="185"/>
      <c r="M4" s="225"/>
      <c r="N4" s="226"/>
      <c r="O4" s="226"/>
      <c r="P4" s="226"/>
      <c r="Q4" s="226"/>
      <c r="R4" s="226"/>
      <c r="S4" s="226"/>
      <c r="T4" s="227"/>
    </row>
    <row r="5" spans="1:20" x14ac:dyDescent="0.2">
      <c r="A5" s="228">
        <v>5270</v>
      </c>
      <c r="B5" s="228">
        <f>A5</f>
        <v>5270</v>
      </c>
      <c r="C5" s="229">
        <v>0.1</v>
      </c>
      <c r="D5" s="230">
        <f>IF($Q$9&gt;$Q$12,IF($Q$12&gt;$A5,0,($A5-$Q$12)*$C5),0)</f>
        <v>0</v>
      </c>
      <c r="E5" s="230">
        <f>IF($Q$10&gt;$Q$12,IF($Q$12&gt;$A5,0,($A5-$Q$12)*$C5),0)</f>
        <v>0</v>
      </c>
      <c r="F5" s="223"/>
      <c r="K5" s="231"/>
      <c r="L5" s="232"/>
      <c r="M5" s="233"/>
      <c r="N5" s="185"/>
      <c r="O5" s="185"/>
      <c r="P5" s="234" t="s">
        <v>545</v>
      </c>
      <c r="Q5" s="235">
        <v>8390</v>
      </c>
      <c r="R5" s="185"/>
      <c r="S5" s="185"/>
      <c r="T5" s="236"/>
    </row>
    <row r="6" spans="1:20" x14ac:dyDescent="0.2">
      <c r="A6" s="228">
        <v>9000</v>
      </c>
      <c r="B6" s="228">
        <f>A6-A5</f>
        <v>3730</v>
      </c>
      <c r="C6" s="229">
        <v>0.14000000000000001</v>
      </c>
      <c r="D6" s="230">
        <f>IF($Q$14="גבר",IF(OR($Q$9&lt;$A5,$Q$12&gt;A6),0,IF($Q$9&lt;$Q$12,0,IF($Q$9&lt;$A6,($Q$9-$Q$12)*$C6,($A6-$Q$12)*$C6))),IF(OR($Q$12&gt;A6,$Q$9&lt;$A5),0,IF($Q$9&lt;$Q$12,0,IF($Q$9&lt;$A6,($Q$9-$Q$12)*$C6,($A6-$Q$12)*$C6))))</f>
        <v>0</v>
      </c>
      <c r="E6" s="230">
        <f>IF($Q$14="גבר",IF(OR($Q$10&lt;$A5,$Q$12&gt;A6),0,IF($Q$10&lt;$Q$12,0,IF($Q$10&lt;$A6,($Q$10-$Q$12)*$C6,($A6-$Q$12)*$C6))),IF($Q$10&lt;$A5,0,IF(OR($Q$12&gt;$A$6,$Q$10&lt;$Q$12),0,IF($Q$10&lt;$A6,($Q$10-$Q$12)*$C6,($A6-$Q$12)*$C6))))</f>
        <v>0</v>
      </c>
      <c r="F6" s="223"/>
      <c r="K6" s="231"/>
      <c r="L6" s="237"/>
      <c r="M6" s="233"/>
      <c r="N6" s="185"/>
      <c r="O6" s="185"/>
      <c r="P6" s="234" t="s">
        <v>546</v>
      </c>
      <c r="Q6" s="238">
        <f>Q5*IF(YEAR(Q13)&lt;2016,43.5%,IF(AND(YEAR(Q13)&gt;=2016,YEAR(Q13)&lt;=2019),49%,IF(AND(YEAR(Q13)&gt;=2019,YEAR(Q13)&lt;=2024),52%,67%)))</f>
        <v>5621.3</v>
      </c>
      <c r="R6" s="185"/>
      <c r="S6" s="185"/>
      <c r="T6" s="236"/>
    </row>
    <row r="7" spans="1:20" x14ac:dyDescent="0.2">
      <c r="A7" s="228">
        <v>13990</v>
      </c>
      <c r="B7" s="228">
        <f>A7-A6</f>
        <v>4990</v>
      </c>
      <c r="C7" s="229">
        <v>0.21</v>
      </c>
      <c r="D7" s="230">
        <f>IF($Q$14="גבר",IF($Q$9&lt;$A6,0,IF($Q$9&lt;$Q$12,0,IF($Q$9&lt;$A7,IF($A$6&gt;$Q$12, ($Q$9-$A6)*$C7,($Q$9-$Q$12)*$C$7),$B$7*$C7))),IF($Q$9&lt;$A6,0,IF($Q$9&lt;$Q$12,0,IF($Q$9&lt;$A7,IF($A$6&gt;$Q$12, ($Q$9-$A6)*$C7,($Q$9-$Q$12)*$C$7),$B7*$C7))))</f>
        <v>0</v>
      </c>
      <c r="E7" s="230">
        <f>IF($Q$14="גבר",IF($Q$10&lt;$A6,0,IF($Q$10&lt;$Q$12,0,IF($Q$10&lt;$A7,IF($A$6&gt;$Q$12, ($Q$10-$A6)*$C7,($Q$10-$Q$12)*$C$7),$B$7*$C7))),IF($Q$10&lt;$A6,0,IF($Q$10&lt;$Q$12,0,IF($Q$10&lt;$A7,IF($A$6&gt;$Q$12, ($Q$10-$A6)*$C7,($Q$10-$Q$12)*$C$7),$B7*$C7))))</f>
        <v>0</v>
      </c>
      <c r="F7" s="223"/>
      <c r="K7" s="231"/>
      <c r="M7" s="233"/>
      <c r="N7" s="185"/>
      <c r="O7" s="185"/>
      <c r="P7" s="234" t="s">
        <v>547</v>
      </c>
      <c r="Q7" s="239">
        <f>IF(Q14="גבר",2.25,2.75)</f>
        <v>2.25</v>
      </c>
      <c r="R7" s="185"/>
      <c r="S7" s="185"/>
      <c r="T7" s="236"/>
    </row>
    <row r="8" spans="1:20" x14ac:dyDescent="0.2">
      <c r="A8" s="228">
        <v>19980</v>
      </c>
      <c r="B8" s="228">
        <f>A8-A7</f>
        <v>5990</v>
      </c>
      <c r="C8" s="229">
        <v>0.31</v>
      </c>
      <c r="D8" s="230">
        <f>IF($Q$14="גבר",IF($Q$9&lt;$A7,0,IF($Q$9&lt;$Q$12,0,IF($Q$9&lt;$A8, ($Q$9-$A7)*$C8,$B8*$C8))),IF($Q$9&lt;$A7,0,IF($Q$9&lt;$Q$12,0,IF($Q$9&lt;$A8, ($Q$9-$A7)*$C8,$B8*$C8))))</f>
        <v>0</v>
      </c>
      <c r="E8" s="230">
        <f>IF($Q$14="גבר",IF($Q$10&lt;$A7,0,IF($Q$10&lt;$Q$12,0,IF($Q$10&lt;$A8, ($Q$10-$A7)*$C8,$B8*$C8))),IF($Q$10&lt;$A7,0,IF($Q$10&lt;$Q$12,0,IF($Q$10&lt;$A8, ($Q$10-$A7)*$C8,$B8*$C8))))</f>
        <v>0</v>
      </c>
      <c r="F8" s="223"/>
      <c r="K8" s="231"/>
      <c r="L8" s="232"/>
      <c r="M8" s="233"/>
      <c r="N8" s="185"/>
      <c r="O8" s="185"/>
      <c r="P8" s="234" t="s">
        <v>548</v>
      </c>
      <c r="Q8" s="235">
        <v>216</v>
      </c>
      <c r="R8" s="185"/>
      <c r="S8" s="185"/>
      <c r="T8" s="236"/>
    </row>
    <row r="9" spans="1:20" x14ac:dyDescent="0.2">
      <c r="A9" s="228">
        <v>41780</v>
      </c>
      <c r="B9" s="228">
        <f>A9-A8</f>
        <v>21800</v>
      </c>
      <c r="C9" s="229">
        <v>0.34</v>
      </c>
      <c r="D9" s="230">
        <f>IF($Q$14="גבר",IF($Q$9&lt;$A8,0,IF($Q$9&lt;$Q$12,0,IF($Q$9&lt;$A9, ($Q$9-$A8)*$C9,$B9*$C9))),IF($Q$9&lt;$A8,0,IF($Q$9&lt;$Q$12,0,IF($Q$9&lt;$A9, ($Q$9-$A8)*$C9,$B9*$C9))))</f>
        <v>0</v>
      </c>
      <c r="E9" s="230">
        <f>IF($Q$14="גבר",IF($Q$10&lt;$A8,0,IF($Q$10&lt;$Q$12,0,IF($Q$10&lt;$A9, ($Q$10-$A8)*$C9,$B9*$C9))),IF($Q$10&lt;$A8,0,IF($Q$10&lt;$Q$12,0,IF($Q$10&lt;$A9, ($Q$10-$A8)*$C9,$B9*$C9))))</f>
        <v>0</v>
      </c>
      <c r="F9" s="223"/>
      <c r="K9" s="231"/>
      <c r="L9" s="232"/>
      <c r="M9" s="233"/>
      <c r="N9" s="185"/>
      <c r="O9" s="185"/>
      <c r="P9" s="234" t="s">
        <v>549</v>
      </c>
      <c r="Q9" s="240">
        <v>0</v>
      </c>
      <c r="R9" s="255"/>
      <c r="S9" s="185"/>
      <c r="T9" s="236"/>
    </row>
    <row r="10" spans="1:20" x14ac:dyDescent="0.2">
      <c r="A10" s="228">
        <v>99999999</v>
      </c>
      <c r="B10" s="228">
        <f>A10-A9</f>
        <v>99958219</v>
      </c>
      <c r="C10" s="229">
        <v>0.48</v>
      </c>
      <c r="D10" s="230">
        <f>IF(IF($Q$9&gt;$A10,IF($Q$12&gt;$A10,0,IF($Q$12&lt;$A9,$B10*$C10,($B10-$Q$12+$A9)*$C10)),IF($Q$12&gt;$A10,0,IF($Q$12&lt;$A9,($Q$9-$A9)*$C10,($B10-$Q$12+$A9))))&lt;0,0,IF($Q$9&gt;$A10,IF($Q$12&gt;$A10,0,IF($Q$12&lt;$A9,$B10*$C10,($B10-$Q$12+$A9)*$C10)),IF($Q$12&gt;$A10,0,IF($Q$12&lt;$A9,($Q$9-$A9)*$C10,($B10-$Q$12+$A9)))))</f>
        <v>0</v>
      </c>
      <c r="E10" s="230">
        <f>IF(IF($Q$10&gt;$A10,IF($Q$12&gt;$A10,0,IF($Q$12&lt;$A9,$B10*$C10,($B10-$Q$12+$A9)*$C10)),IF($Q$12&gt;$A10,0,IF($Q$12&lt;$A9,($Q$10-$A9)*$C10,($B10-$Q$12+$A9))))&lt;0,0,IF($Q$10&gt;$A10,IF($Q$12&gt;$A10,0,IF($Q$12&lt;$A9,$B10*$C10,($B10-$Q$12+$A9)*$C10)),IF($Q$12&gt;$A10,0,IF($Q$12&lt;$A9,($Q$10-$A9)*$C10,($B10-$Q$12+$A9)))))</f>
        <v>0</v>
      </c>
      <c r="F10" s="223"/>
      <c r="K10" s="231"/>
      <c r="L10" s="232"/>
      <c r="M10" s="233"/>
      <c r="N10" s="185"/>
      <c r="O10" s="185"/>
      <c r="P10" s="234" t="s">
        <v>550</v>
      </c>
      <c r="Q10" s="240">
        <v>0</v>
      </c>
      <c r="R10" s="255"/>
      <c r="S10" s="185"/>
      <c r="T10" s="236"/>
    </row>
    <row r="11" spans="1:20" ht="15" x14ac:dyDescent="0.2">
      <c r="A11" s="1101" t="s">
        <v>551</v>
      </c>
      <c r="B11" s="1101"/>
      <c r="C11" s="1101"/>
      <c r="D11" s="241">
        <f>SUM(D5:D10)</f>
        <v>0</v>
      </c>
      <c r="E11" s="241">
        <f>SUM(E5:E10)</f>
        <v>0</v>
      </c>
      <c r="F11" s="223"/>
      <c r="I11" s="232"/>
      <c r="K11" s="231"/>
      <c r="L11" s="185"/>
      <c r="M11" s="233"/>
      <c r="N11" s="242"/>
      <c r="O11" s="185"/>
      <c r="P11" s="234" t="s">
        <v>552</v>
      </c>
      <c r="Q11" s="243">
        <f>IF(Q14="גבר",4860,5734)</f>
        <v>4860</v>
      </c>
      <c r="R11" s="185"/>
      <c r="S11" s="185"/>
      <c r="T11" s="236"/>
    </row>
    <row r="12" spans="1:20" ht="15" x14ac:dyDescent="0.2">
      <c r="A12" s="1101" t="s">
        <v>553</v>
      </c>
      <c r="B12" s="1101"/>
      <c r="C12" s="1101"/>
      <c r="D12" s="244">
        <f>Q9-D11</f>
        <v>0</v>
      </c>
      <c r="E12" s="244">
        <f>Q10-E11</f>
        <v>0</v>
      </c>
      <c r="F12" s="223"/>
      <c r="H12" s="232"/>
      <c r="I12" s="232"/>
      <c r="K12" s="231"/>
      <c r="L12" s="185"/>
      <c r="M12" s="245"/>
      <c r="N12" s="242"/>
      <c r="O12" s="185"/>
      <c r="P12" s="234" t="s">
        <v>554</v>
      </c>
      <c r="Q12" s="235">
        <f>Q11+Q6</f>
        <v>10481.299999999999</v>
      </c>
      <c r="R12" s="185"/>
      <c r="S12" s="185"/>
      <c r="T12" s="236"/>
    </row>
    <row r="13" spans="1:20" x14ac:dyDescent="0.2">
      <c r="A13" s="246"/>
      <c r="B13" s="246"/>
      <c r="C13" s="246"/>
      <c r="D13" s="246"/>
      <c r="E13" s="246"/>
      <c r="F13" s="223"/>
      <c r="K13" s="231"/>
      <c r="L13" s="185"/>
      <c r="M13" s="233"/>
      <c r="N13" s="247"/>
      <c r="O13" s="247"/>
      <c r="P13" s="234" t="s">
        <v>555</v>
      </c>
      <c r="Q13" s="248">
        <v>45873</v>
      </c>
      <c r="R13" s="185"/>
      <c r="S13" s="185"/>
      <c r="T13" s="236"/>
    </row>
    <row r="14" spans="1:20" x14ac:dyDescent="0.2">
      <c r="A14" s="249"/>
      <c r="B14" s="250"/>
      <c r="C14" s="250"/>
      <c r="D14" s="250"/>
      <c r="E14" s="250"/>
      <c r="F14" s="223"/>
      <c r="L14" s="185"/>
      <c r="M14" s="233"/>
      <c r="N14" s="247"/>
      <c r="O14" s="185"/>
      <c r="P14" s="234" t="s">
        <v>556</v>
      </c>
      <c r="Q14" s="251" t="str">
        <f>'נתוני יסוד'!B2</f>
        <v>גבר</v>
      </c>
      <c r="R14" s="185"/>
      <c r="S14" s="185"/>
      <c r="T14" s="236"/>
    </row>
    <row r="15" spans="1:20" x14ac:dyDescent="0.2">
      <c r="A15" s="250"/>
      <c r="B15" s="250"/>
      <c r="C15" s="250"/>
      <c r="D15" s="250"/>
      <c r="E15" s="250"/>
      <c r="F15" s="223"/>
      <c r="L15" s="185"/>
      <c r="M15" s="233"/>
      <c r="N15" s="247"/>
      <c r="O15" s="185"/>
      <c r="P15" s="185"/>
      <c r="Q15" s="185"/>
      <c r="R15" s="185"/>
      <c r="S15" s="185"/>
      <c r="T15" s="236"/>
    </row>
    <row r="16" spans="1:20" ht="13.5" thickBot="1" x14ac:dyDescent="0.25">
      <c r="M16" s="252"/>
      <c r="N16" s="253"/>
      <c r="O16" s="253"/>
      <c r="P16" s="253"/>
      <c r="Q16" s="253"/>
      <c r="R16" s="253"/>
      <c r="S16" s="253"/>
      <c r="T16" s="254"/>
    </row>
    <row r="17" spans="13:20" ht="15.75" thickBot="1" x14ac:dyDescent="0.25">
      <c r="M17" s="1102" t="s">
        <v>557</v>
      </c>
      <c r="N17" s="1103"/>
      <c r="O17" s="1103"/>
      <c r="P17" s="1103"/>
      <c r="Q17" s="1103"/>
      <c r="R17" s="1103"/>
      <c r="S17" s="1103"/>
      <c r="T17" s="1104"/>
    </row>
  </sheetData>
  <mergeCells count="5">
    <mergeCell ref="A1:E3"/>
    <mergeCell ref="M2:T3"/>
    <mergeCell ref="A11:C11"/>
    <mergeCell ref="A12:C12"/>
    <mergeCell ref="M17:T17"/>
  </mergeCells>
  <pageMargins left="0.7" right="0.7" top="0.75" bottom="0.75" header="0.3" footer="0.3"/>
  <pageSetup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53">
    <tabColor indexed="46"/>
  </sheetPr>
  <dimension ref="A2:L61"/>
  <sheetViews>
    <sheetView rightToLeft="1" workbookViewId="0">
      <selection activeCell="AL8" sqref="AL8"/>
    </sheetView>
  </sheetViews>
  <sheetFormatPr defaultRowHeight="23.25" x14ac:dyDescent="0.2"/>
  <cols>
    <col min="1" max="1" width="64.42578125" style="257" customWidth="1"/>
    <col min="2" max="2" width="25.28515625" style="257" customWidth="1"/>
    <col min="3" max="3" width="15.85546875" style="257" bestFit="1" customWidth="1"/>
    <col min="4" max="4" width="24.85546875" style="257" customWidth="1"/>
    <col min="5" max="5" width="12.42578125" style="257" customWidth="1"/>
    <col min="6" max="6" width="24.85546875" style="257" customWidth="1"/>
    <col min="7" max="7" width="11" style="257" customWidth="1"/>
    <col min="8" max="8" width="24.85546875" style="257" customWidth="1"/>
    <col min="9" max="9" width="5.7109375" style="257" customWidth="1"/>
    <col min="10" max="10" width="24.85546875" style="257" customWidth="1"/>
    <col min="11" max="11" width="5.7109375" style="257" customWidth="1"/>
    <col min="12" max="12" width="26.42578125" style="257" customWidth="1"/>
    <col min="13" max="16384" width="9.140625" style="257"/>
  </cols>
  <sheetData>
    <row r="2" spans="1:12" x14ac:dyDescent="0.2">
      <c r="D2" s="1105" t="s">
        <v>590</v>
      </c>
      <c r="E2" s="1105"/>
      <c r="F2" s="1105"/>
      <c r="G2" s="1105"/>
      <c r="H2" s="1105"/>
      <c r="I2" s="1105"/>
      <c r="J2" s="1105"/>
      <c r="K2" s="1105"/>
      <c r="L2" s="1105"/>
    </row>
    <row r="3" spans="1:12" s="261" customFormat="1" ht="46.5" x14ac:dyDescent="0.2">
      <c r="A3" s="256">
        <v>0</v>
      </c>
      <c r="B3" s="270" t="s">
        <v>591</v>
      </c>
      <c r="D3" s="271" t="s">
        <v>592</v>
      </c>
      <c r="F3" s="284" t="s">
        <v>593</v>
      </c>
      <c r="H3" s="281" t="s">
        <v>594</v>
      </c>
      <c r="J3" s="283" t="s">
        <v>595</v>
      </c>
      <c r="L3" s="282" t="s">
        <v>596</v>
      </c>
    </row>
    <row r="5" spans="1:12" x14ac:dyDescent="0.2">
      <c r="A5" s="257" t="s">
        <v>269</v>
      </c>
      <c r="B5" s="257">
        <f>'נתוני יסוד'!B33</f>
        <v>0</v>
      </c>
      <c r="D5" s="257">
        <f>B5</f>
        <v>0</v>
      </c>
      <c r="F5" s="257">
        <f>D5</f>
        <v>0</v>
      </c>
      <c r="H5" s="257">
        <v>0</v>
      </c>
      <c r="J5" s="257">
        <f>D5</f>
        <v>0</v>
      </c>
      <c r="L5" s="257">
        <f>D5</f>
        <v>0</v>
      </c>
    </row>
    <row r="6" spans="1:12" x14ac:dyDescent="0.2">
      <c r="A6" s="257" t="s">
        <v>460</v>
      </c>
      <c r="B6" s="257">
        <f>'נתוני יסוד'!B34</f>
        <v>0</v>
      </c>
      <c r="D6" s="257">
        <f t="shared" ref="D6:D13" si="0">B6</f>
        <v>0</v>
      </c>
      <c r="F6" s="257">
        <f t="shared" ref="F6:F13" si="1">D6</f>
        <v>0</v>
      </c>
      <c r="H6" s="257">
        <v>0</v>
      </c>
      <c r="J6" s="257">
        <f t="shared" ref="J6:J13" si="2">D6</f>
        <v>0</v>
      </c>
      <c r="L6" s="257">
        <f t="shared" ref="L6:L13" si="3">D6</f>
        <v>0</v>
      </c>
    </row>
    <row r="7" spans="1:12" x14ac:dyDescent="0.2">
      <c r="A7" s="257" t="s">
        <v>558</v>
      </c>
      <c r="B7" s="257">
        <f>'נתוני יסוד'!B35</f>
        <v>0</v>
      </c>
      <c r="D7" s="257">
        <f t="shared" si="0"/>
        <v>0</v>
      </c>
      <c r="F7" s="257">
        <f t="shared" si="1"/>
        <v>0</v>
      </c>
      <c r="H7" s="257">
        <v>0</v>
      </c>
      <c r="J7" s="257">
        <f t="shared" si="2"/>
        <v>0</v>
      </c>
      <c r="L7" s="257">
        <f t="shared" si="3"/>
        <v>0</v>
      </c>
    </row>
    <row r="8" spans="1:12" x14ac:dyDescent="0.2">
      <c r="A8" s="257" t="s">
        <v>559</v>
      </c>
      <c r="B8" s="257">
        <f>'נתוני יסוד'!B36</f>
        <v>0</v>
      </c>
      <c r="D8" s="257">
        <f t="shared" si="0"/>
        <v>0</v>
      </c>
      <c r="F8" s="257">
        <f t="shared" si="1"/>
        <v>0</v>
      </c>
      <c r="H8" s="257">
        <v>0</v>
      </c>
      <c r="J8" s="257">
        <f t="shared" si="2"/>
        <v>0</v>
      </c>
      <c r="L8" s="257">
        <f t="shared" si="3"/>
        <v>0</v>
      </c>
    </row>
    <row r="10" spans="1:12" x14ac:dyDescent="0.2">
      <c r="A10" s="257" t="s">
        <v>560</v>
      </c>
      <c r="B10" s="257">
        <f>main!BS6</f>
        <v>0</v>
      </c>
      <c r="D10" s="257">
        <f t="shared" si="0"/>
        <v>0</v>
      </c>
      <c r="F10" s="257">
        <f t="shared" si="1"/>
        <v>0</v>
      </c>
      <c r="H10" s="257">
        <v>0</v>
      </c>
      <c r="J10" s="257">
        <f t="shared" si="2"/>
        <v>0</v>
      </c>
      <c r="L10" s="257">
        <f t="shared" si="3"/>
        <v>0</v>
      </c>
    </row>
    <row r="11" spans="1:12" x14ac:dyDescent="0.2">
      <c r="A11" s="257" t="s">
        <v>561</v>
      </c>
      <c r="B11" s="257">
        <f>main!BR6</f>
        <v>0</v>
      </c>
      <c r="D11" s="257">
        <f t="shared" si="0"/>
        <v>0</v>
      </c>
      <c r="F11" s="257">
        <f t="shared" si="1"/>
        <v>0</v>
      </c>
      <c r="H11" s="257">
        <v>0</v>
      </c>
      <c r="J11" s="257">
        <f t="shared" si="2"/>
        <v>0</v>
      </c>
      <c r="L11" s="257">
        <f t="shared" si="3"/>
        <v>0</v>
      </c>
    </row>
    <row r="12" spans="1:12" x14ac:dyDescent="0.2">
      <c r="A12" s="257" t="s">
        <v>562</v>
      </c>
      <c r="B12" s="257">
        <f>main!BQ6</f>
        <v>0</v>
      </c>
      <c r="D12" s="257">
        <f t="shared" si="0"/>
        <v>0</v>
      </c>
      <c r="F12" s="257">
        <f t="shared" si="1"/>
        <v>0</v>
      </c>
      <c r="H12" s="257">
        <v>0</v>
      </c>
      <c r="J12" s="257">
        <f t="shared" si="2"/>
        <v>0</v>
      </c>
      <c r="L12" s="257">
        <f t="shared" si="3"/>
        <v>0</v>
      </c>
    </row>
    <row r="13" spans="1:12" x14ac:dyDescent="0.2">
      <c r="A13" s="257" t="s">
        <v>563</v>
      </c>
      <c r="B13" s="257">
        <f>main!BP6</f>
        <v>29520221.329107102</v>
      </c>
      <c r="D13" s="257">
        <f t="shared" si="0"/>
        <v>29520221.329107102</v>
      </c>
      <c r="F13" s="257">
        <f t="shared" si="1"/>
        <v>29520221.329107102</v>
      </c>
      <c r="H13" s="257">
        <v>0</v>
      </c>
      <c r="J13" s="257">
        <f t="shared" si="2"/>
        <v>29520221.329107102</v>
      </c>
      <c r="L13" s="257">
        <f t="shared" si="3"/>
        <v>29520221.329107102</v>
      </c>
    </row>
    <row r="15" spans="1:12" x14ac:dyDescent="0.2">
      <c r="A15" s="257" t="s">
        <v>564</v>
      </c>
      <c r="B15" s="257">
        <v>0</v>
      </c>
      <c r="D15" s="257">
        <v>0</v>
      </c>
      <c r="F15" s="257">
        <v>0</v>
      </c>
      <c r="H15" s="257">
        <v>0</v>
      </c>
      <c r="J15" s="257">
        <v>0</v>
      </c>
      <c r="L15" s="257">
        <v>0</v>
      </c>
    </row>
    <row r="16" spans="1:12" x14ac:dyDescent="0.2">
      <c r="A16" s="257" t="s">
        <v>565</v>
      </c>
      <c r="B16" s="257">
        <v>0</v>
      </c>
      <c r="D16" s="257">
        <v>0</v>
      </c>
      <c r="F16" s="257">
        <v>0</v>
      </c>
      <c r="H16" s="257">
        <v>0</v>
      </c>
      <c r="J16" s="257">
        <v>0</v>
      </c>
      <c r="L16" s="257">
        <v>0</v>
      </c>
    </row>
    <row r="17" spans="1:12" x14ac:dyDescent="0.2">
      <c r="A17" s="257" t="s">
        <v>566</v>
      </c>
      <c r="B17" s="257">
        <v>0</v>
      </c>
      <c r="D17" s="257">
        <v>0</v>
      </c>
      <c r="F17" s="257">
        <v>0</v>
      </c>
      <c r="H17" s="257">
        <v>0</v>
      </c>
      <c r="J17" s="257">
        <v>0</v>
      </c>
      <c r="L17" s="257">
        <v>0</v>
      </c>
    </row>
    <row r="18" spans="1:12" x14ac:dyDescent="0.2">
      <c r="A18" s="257" t="s">
        <v>563</v>
      </c>
      <c r="B18" s="257">
        <v>0</v>
      </c>
      <c r="D18" s="257">
        <v>0</v>
      </c>
      <c r="F18" s="257">
        <v>0</v>
      </c>
      <c r="H18" s="257">
        <v>0</v>
      </c>
      <c r="J18" s="257">
        <v>0</v>
      </c>
      <c r="L18" s="257">
        <v>0</v>
      </c>
    </row>
    <row r="20" spans="1:12" x14ac:dyDescent="0.2">
      <c r="A20" s="257" t="s">
        <v>567</v>
      </c>
      <c r="B20" s="257">
        <f>main!BY6</f>
        <v>0</v>
      </c>
      <c r="D20" s="257">
        <v>0</v>
      </c>
      <c r="F20" s="257">
        <v>0</v>
      </c>
      <c r="H20" s="257">
        <v>0</v>
      </c>
      <c r="J20" s="257">
        <v>0</v>
      </c>
      <c r="L20" s="257">
        <v>0</v>
      </c>
    </row>
    <row r="21" spans="1:12" x14ac:dyDescent="0.2">
      <c r="A21" s="257" t="s">
        <v>568</v>
      </c>
      <c r="B21" s="257">
        <f>main!BX6</f>
        <v>0</v>
      </c>
      <c r="D21" s="257">
        <v>0</v>
      </c>
      <c r="F21" s="257">
        <v>0</v>
      </c>
      <c r="H21" s="257">
        <v>0</v>
      </c>
      <c r="J21" s="257">
        <v>0</v>
      </c>
      <c r="L21" s="257">
        <v>0</v>
      </c>
    </row>
    <row r="22" spans="1:12" x14ac:dyDescent="0.2">
      <c r="A22" s="257" t="s">
        <v>569</v>
      </c>
      <c r="B22" s="257">
        <f>main!BW6</f>
        <v>0</v>
      </c>
      <c r="D22" s="257">
        <v>0</v>
      </c>
      <c r="F22" s="257">
        <v>0</v>
      </c>
      <c r="H22" s="257">
        <v>0</v>
      </c>
      <c r="J22" s="257">
        <v>0</v>
      </c>
      <c r="L22" s="257">
        <v>0</v>
      </c>
    </row>
    <row r="23" spans="1:12" x14ac:dyDescent="0.2">
      <c r="A23" s="257" t="s">
        <v>570</v>
      </c>
      <c r="B23" s="257">
        <f>main!BV6</f>
        <v>0</v>
      </c>
      <c r="D23" s="257">
        <v>0</v>
      </c>
      <c r="F23" s="257">
        <v>0</v>
      </c>
      <c r="H23" s="257">
        <v>0</v>
      </c>
      <c r="J23" s="257">
        <v>0</v>
      </c>
      <c r="L23" s="257">
        <v>0</v>
      </c>
    </row>
    <row r="25" spans="1:12" x14ac:dyDescent="0.2">
      <c r="A25" s="257" t="s">
        <v>571</v>
      </c>
      <c r="B25" s="257">
        <v>0</v>
      </c>
      <c r="D25" s="257">
        <v>0</v>
      </c>
      <c r="F25" s="257">
        <v>0</v>
      </c>
      <c r="H25" s="257">
        <v>0</v>
      </c>
      <c r="J25" s="257">
        <v>0</v>
      </c>
      <c r="L25" s="257">
        <v>0</v>
      </c>
    </row>
    <row r="26" spans="1:12" x14ac:dyDescent="0.2">
      <c r="A26" s="257" t="s">
        <v>572</v>
      </c>
      <c r="B26" s="257">
        <v>0</v>
      </c>
      <c r="D26" s="257">
        <v>0</v>
      </c>
      <c r="F26" s="257">
        <v>0</v>
      </c>
      <c r="H26" s="257">
        <v>0</v>
      </c>
      <c r="J26" s="257">
        <v>0</v>
      </c>
      <c r="L26" s="257">
        <v>0</v>
      </c>
    </row>
    <row r="27" spans="1:12" x14ac:dyDescent="0.2">
      <c r="A27" s="257" t="s">
        <v>573</v>
      </c>
      <c r="B27" s="257">
        <v>0</v>
      </c>
      <c r="D27" s="257">
        <v>0</v>
      </c>
      <c r="F27" s="257">
        <v>0</v>
      </c>
      <c r="H27" s="257">
        <v>0</v>
      </c>
      <c r="J27" s="257">
        <v>0</v>
      </c>
      <c r="L27" s="257">
        <v>0</v>
      </c>
    </row>
    <row r="28" spans="1:12" x14ac:dyDescent="0.2">
      <c r="A28" s="257" t="s">
        <v>574</v>
      </c>
      <c r="B28" s="257">
        <v>0</v>
      </c>
      <c r="D28" s="257">
        <v>0</v>
      </c>
      <c r="F28" s="257">
        <v>0</v>
      </c>
      <c r="H28" s="257">
        <v>0</v>
      </c>
      <c r="J28" s="257">
        <v>0</v>
      </c>
      <c r="L28" s="257">
        <v>0</v>
      </c>
    </row>
    <row r="31" spans="1:12" s="261" customFormat="1" ht="44.25" customHeight="1" x14ac:dyDescent="0.2">
      <c r="A31" s="256">
        <v>0</v>
      </c>
      <c r="B31" s="270" t="s">
        <v>591</v>
      </c>
      <c r="D31" s="271" t="s">
        <v>592</v>
      </c>
      <c r="F31" s="272" t="s">
        <v>593</v>
      </c>
      <c r="H31" s="273" t="s">
        <v>594</v>
      </c>
      <c r="J31" s="274" t="s">
        <v>595</v>
      </c>
      <c r="L31" s="275" t="s">
        <v>596</v>
      </c>
    </row>
    <row r="32" spans="1:12" x14ac:dyDescent="0.2">
      <c r="A32" s="257" t="s">
        <v>269</v>
      </c>
      <c r="B32" s="257">
        <v>0</v>
      </c>
      <c r="D32" s="257">
        <v>0</v>
      </c>
      <c r="F32" s="257">
        <v>0</v>
      </c>
      <c r="H32" s="257">
        <v>0</v>
      </c>
      <c r="J32" s="257">
        <v>0</v>
      </c>
      <c r="L32" s="257">
        <v>0</v>
      </c>
    </row>
    <row r="33" spans="1:12" x14ac:dyDescent="0.2">
      <c r="A33" s="257" t="s">
        <v>575</v>
      </c>
      <c r="B33" s="257">
        <f>B5-B7</f>
        <v>0</v>
      </c>
      <c r="D33" s="257">
        <v>0</v>
      </c>
      <c r="F33" s="257">
        <v>0</v>
      </c>
      <c r="H33" s="257">
        <v>0</v>
      </c>
      <c r="J33" s="257">
        <f>J5-J7</f>
        <v>0</v>
      </c>
      <c r="L33" s="257">
        <f>L5-L7</f>
        <v>0</v>
      </c>
    </row>
    <row r="34" spans="1:12" x14ac:dyDescent="0.2">
      <c r="A34" s="257" t="s">
        <v>267</v>
      </c>
      <c r="B34" s="257">
        <v>0</v>
      </c>
      <c r="D34" s="257">
        <v>0</v>
      </c>
      <c r="F34" s="257">
        <v>0</v>
      </c>
      <c r="H34" s="257">
        <v>0</v>
      </c>
      <c r="J34" s="257">
        <v>0</v>
      </c>
      <c r="L34" s="257">
        <v>0</v>
      </c>
    </row>
    <row r="35" spans="1:12" x14ac:dyDescent="0.2">
      <c r="A35" s="257" t="s">
        <v>576</v>
      </c>
      <c r="B35" s="257">
        <v>0</v>
      </c>
      <c r="D35" s="257">
        <v>0</v>
      </c>
      <c r="F35" s="257">
        <v>0</v>
      </c>
      <c r="H35" s="257">
        <v>0</v>
      </c>
      <c r="J35" s="257">
        <v>0</v>
      </c>
      <c r="L35" s="257">
        <v>0</v>
      </c>
    </row>
    <row r="36" spans="1:12" x14ac:dyDescent="0.2">
      <c r="A36" s="257" t="s">
        <v>577</v>
      </c>
      <c r="B36" s="257">
        <f>B33</f>
        <v>0</v>
      </c>
      <c r="D36" s="257">
        <f>D32-D35</f>
        <v>0</v>
      </c>
      <c r="F36" s="257">
        <v>0</v>
      </c>
      <c r="H36" s="257">
        <f>H32-H34-H35</f>
        <v>0</v>
      </c>
      <c r="J36" s="257">
        <f>J32</f>
        <v>0</v>
      </c>
      <c r="L36" s="257">
        <f>L32-L34</f>
        <v>0</v>
      </c>
    </row>
    <row r="37" spans="1:12" x14ac:dyDescent="0.2">
      <c r="A37" s="257" t="s">
        <v>578</v>
      </c>
    </row>
    <row r="38" spans="1:12" x14ac:dyDescent="0.2">
      <c r="A38" s="258" t="s">
        <v>579</v>
      </c>
      <c r="D38" s="257">
        <f>D36-D37</f>
        <v>0</v>
      </c>
    </row>
    <row r="39" spans="1:12" x14ac:dyDescent="0.2">
      <c r="A39" s="259" t="s">
        <v>580</v>
      </c>
      <c r="B39" s="276">
        <f>B38</f>
        <v>0</v>
      </c>
      <c r="C39" s="259"/>
      <c r="D39" s="277">
        <f>D32-D37</f>
        <v>0</v>
      </c>
      <c r="E39" s="259"/>
      <c r="F39" s="278"/>
      <c r="G39" s="259"/>
      <c r="H39" s="279">
        <f>H32-H37-H34</f>
        <v>0</v>
      </c>
      <c r="I39" s="259"/>
      <c r="J39" s="260"/>
      <c r="K39" s="259"/>
      <c r="L39" s="280"/>
    </row>
    <row r="41" spans="1:12" x14ac:dyDescent="0.2">
      <c r="A41" s="285" t="s">
        <v>581</v>
      </c>
      <c r="B41" s="257">
        <v>0</v>
      </c>
      <c r="D41" s="257">
        <v>0</v>
      </c>
      <c r="F41" s="257">
        <v>0</v>
      </c>
      <c r="H41" s="257">
        <v>0</v>
      </c>
      <c r="J41" s="257">
        <v>0</v>
      </c>
      <c r="L41" s="257">
        <v>0</v>
      </c>
    </row>
    <row r="42" spans="1:12" x14ac:dyDescent="0.2">
      <c r="A42" s="286" t="s">
        <v>447</v>
      </c>
      <c r="B42" s="257">
        <v>0</v>
      </c>
      <c r="D42" s="257">
        <v>0</v>
      </c>
      <c r="F42" s="257">
        <v>0</v>
      </c>
      <c r="H42" s="257">
        <v>0</v>
      </c>
      <c r="J42" s="257">
        <v>0</v>
      </c>
      <c r="L42" s="257">
        <v>0</v>
      </c>
    </row>
    <row r="43" spans="1:12" x14ac:dyDescent="0.2">
      <c r="A43" s="287" t="s">
        <v>582</v>
      </c>
      <c r="B43" s="257">
        <v>0</v>
      </c>
      <c r="D43" s="257">
        <v>0</v>
      </c>
      <c r="F43" s="257">
        <v>0</v>
      </c>
      <c r="H43" s="257">
        <v>0</v>
      </c>
      <c r="J43" s="257">
        <v>0</v>
      </c>
      <c r="L43" s="257">
        <v>0</v>
      </c>
    </row>
    <row r="44" spans="1:12" x14ac:dyDescent="0.2">
      <c r="A44" s="286" t="s">
        <v>450</v>
      </c>
      <c r="B44" s="257">
        <v>0</v>
      </c>
      <c r="D44" s="257">
        <v>0</v>
      </c>
      <c r="F44" s="257">
        <v>0</v>
      </c>
      <c r="H44" s="257">
        <v>0</v>
      </c>
      <c r="J44" s="257">
        <v>0</v>
      </c>
      <c r="L44" s="257">
        <v>0</v>
      </c>
    </row>
    <row r="45" spans="1:12" x14ac:dyDescent="0.2">
      <c r="A45" s="286" t="s">
        <v>452</v>
      </c>
      <c r="B45" s="257">
        <v>0</v>
      </c>
      <c r="D45" s="257">
        <v>0</v>
      </c>
      <c r="F45" s="257">
        <v>0</v>
      </c>
      <c r="H45" s="257">
        <v>0</v>
      </c>
      <c r="J45" s="257">
        <v>0</v>
      </c>
      <c r="L45" s="257">
        <v>0</v>
      </c>
    </row>
    <row r="46" spans="1:12" x14ac:dyDescent="0.2">
      <c r="A46" s="286" t="s">
        <v>583</v>
      </c>
      <c r="B46" s="257">
        <v>0</v>
      </c>
      <c r="D46" s="257">
        <v>0</v>
      </c>
      <c r="F46" s="257">
        <v>0</v>
      </c>
      <c r="H46" s="257">
        <v>0</v>
      </c>
      <c r="J46" s="257">
        <v>0</v>
      </c>
      <c r="L46" s="257">
        <v>0</v>
      </c>
    </row>
    <row r="47" spans="1:12" x14ac:dyDescent="0.2">
      <c r="A47" s="286" t="s">
        <v>584</v>
      </c>
      <c r="B47" s="257">
        <v>0</v>
      </c>
      <c r="D47" s="257">
        <v>0</v>
      </c>
      <c r="F47" s="257">
        <v>0</v>
      </c>
      <c r="H47" s="257">
        <v>0</v>
      </c>
      <c r="J47" s="257">
        <v>0</v>
      </c>
      <c r="L47" s="257">
        <v>0</v>
      </c>
    </row>
    <row r="48" spans="1:12" x14ac:dyDescent="0.2">
      <c r="A48" s="288" t="s">
        <v>585</v>
      </c>
      <c r="B48" s="257">
        <f>SUM(B41:B47)</f>
        <v>0</v>
      </c>
      <c r="D48" s="257">
        <v>0</v>
      </c>
      <c r="F48" s="257">
        <f>SUM(F41:F46)</f>
        <v>0</v>
      </c>
      <c r="H48" s="257">
        <f>H41+H42+H44+H46+H47</f>
        <v>0</v>
      </c>
      <c r="J48" s="257">
        <f>J41+J42+J43+J44+J45+J46</f>
        <v>0</v>
      </c>
      <c r="L48" s="257">
        <f>L41+L42+L43+L44+L45+L46+L47</f>
        <v>0</v>
      </c>
    </row>
    <row r="49" spans="1:12" x14ac:dyDescent="0.2">
      <c r="A49" s="288" t="s">
        <v>586</v>
      </c>
      <c r="B49" s="276">
        <v>0</v>
      </c>
      <c r="D49" s="277">
        <v>0</v>
      </c>
      <c r="F49" s="278">
        <v>0</v>
      </c>
      <c r="H49" s="279">
        <v>0</v>
      </c>
      <c r="J49" s="260">
        <v>0</v>
      </c>
      <c r="L49" s="280">
        <v>0</v>
      </c>
    </row>
    <row r="51" spans="1:12" x14ac:dyDescent="0.2">
      <c r="A51" s="257" t="s">
        <v>587</v>
      </c>
      <c r="B51" s="257">
        <v>0</v>
      </c>
    </row>
    <row r="52" spans="1:12" x14ac:dyDescent="0.2">
      <c r="A52" s="257" t="s">
        <v>588</v>
      </c>
      <c r="D52" s="257">
        <v>0</v>
      </c>
    </row>
    <row r="53" spans="1:12" ht="46.5" x14ac:dyDescent="0.2">
      <c r="A53" s="261" t="s">
        <v>463</v>
      </c>
      <c r="F53" s="257">
        <v>0</v>
      </c>
      <c r="H53" s="257">
        <v>0</v>
      </c>
      <c r="J53" s="257">
        <v>0</v>
      </c>
      <c r="L53" s="257">
        <v>0</v>
      </c>
    </row>
    <row r="56" spans="1:12" x14ac:dyDescent="0.2">
      <c r="A56" s="257" t="s">
        <v>589</v>
      </c>
      <c r="B56" s="276">
        <f>B51+B39</f>
        <v>0</v>
      </c>
      <c r="D56" s="277"/>
      <c r="F56" s="278">
        <f>F39+F53</f>
        <v>0</v>
      </c>
      <c r="H56" s="279">
        <f>H53+H39</f>
        <v>0</v>
      </c>
      <c r="J56" s="260">
        <f>J53+J39</f>
        <v>0</v>
      </c>
      <c r="L56" s="280">
        <f>L53+L39</f>
        <v>0</v>
      </c>
    </row>
    <row r="58" spans="1:12" s="261" customFormat="1" ht="46.5" x14ac:dyDescent="0.2">
      <c r="B58" s="270" t="s">
        <v>591</v>
      </c>
      <c r="D58" s="271" t="s">
        <v>592</v>
      </c>
      <c r="F58" s="272" t="s">
        <v>593</v>
      </c>
      <c r="H58" s="273" t="s">
        <v>594</v>
      </c>
      <c r="J58" s="274" t="s">
        <v>595</v>
      </c>
      <c r="L58" s="275" t="s">
        <v>596</v>
      </c>
    </row>
    <row r="61" spans="1:12" x14ac:dyDescent="0.2">
      <c r="B61" s="257" t="s">
        <v>597</v>
      </c>
      <c r="C61" s="257">
        <v>2.5</v>
      </c>
      <c r="D61" s="257" t="s">
        <v>163</v>
      </c>
      <c r="E61" s="257">
        <v>125.59842915811087</v>
      </c>
      <c r="F61" s="257" t="s">
        <v>598</v>
      </c>
      <c r="G61" s="257">
        <v>90</v>
      </c>
    </row>
  </sheetData>
  <mergeCells count="1">
    <mergeCell ref="D2:L2"/>
  </mergeCells>
  <pageMargins left="0.75" right="0.75" top="1" bottom="1" header="0.5" footer="0.5"/>
  <pageSetup paperSize="9" scale="45" orientation="landscape" r:id="rId1"/>
  <headerFooter alignWithMargins="0"/>
  <rowBreaks count="1" manualBreakCount="1">
    <brk id="29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25">
    <tabColor indexed="13"/>
  </sheetPr>
  <dimension ref="A1:I103"/>
  <sheetViews>
    <sheetView rightToLeft="1" workbookViewId="0">
      <selection activeCell="AL8" sqref="AL8"/>
    </sheetView>
  </sheetViews>
  <sheetFormatPr defaultRowHeight="12.75" x14ac:dyDescent="0.2"/>
  <cols>
    <col min="1" max="1" width="16" style="322" customWidth="1"/>
    <col min="2" max="2" width="18.140625" style="322" customWidth="1"/>
    <col min="3" max="4" width="16.5703125" style="322" customWidth="1"/>
    <col min="5" max="5" width="17.5703125" style="322" customWidth="1"/>
    <col min="6" max="6" width="16.85546875" style="322" customWidth="1"/>
    <col min="7" max="12" width="19.85546875" style="322" customWidth="1"/>
    <col min="13" max="16384" width="9.140625" style="322"/>
  </cols>
  <sheetData>
    <row r="1" spans="1:9" x14ac:dyDescent="0.2">
      <c r="A1" s="603" t="s">
        <v>433</v>
      </c>
      <c r="B1" s="603">
        <f>'נתוני יסוד'!$B$22</f>
        <v>90</v>
      </c>
      <c r="C1" s="603" t="s">
        <v>163</v>
      </c>
      <c r="D1" s="603"/>
      <c r="E1" s="603">
        <v>125.59842915811087</v>
      </c>
      <c r="F1" s="603" t="s">
        <v>231</v>
      </c>
      <c r="G1" s="603">
        <v>2.5</v>
      </c>
    </row>
    <row r="2" spans="1:9" x14ac:dyDescent="0.2">
      <c r="C2" s="1106" t="s">
        <v>781</v>
      </c>
      <c r="D2" s="1106"/>
      <c r="E2" s="1106"/>
    </row>
    <row r="4" spans="1:9" ht="24" customHeight="1" x14ac:dyDescent="0.2">
      <c r="A4" s="604"/>
      <c r="B4" s="605" t="s">
        <v>782</v>
      </c>
      <c r="C4" s="604" t="s">
        <v>625</v>
      </c>
      <c r="D4" s="604" t="s">
        <v>783</v>
      </c>
      <c r="E4" s="604" t="s">
        <v>784</v>
      </c>
      <c r="F4" s="604" t="s">
        <v>785</v>
      </c>
      <c r="G4" s="604" t="s">
        <v>786</v>
      </c>
    </row>
    <row r="5" spans="1:9" ht="24" customHeight="1" x14ac:dyDescent="0.2">
      <c r="A5" s="900" t="s">
        <v>591</v>
      </c>
      <c r="B5" s="901">
        <f>'סיכומי מקורות'!$B$51</f>
        <v>0</v>
      </c>
      <c r="C5" s="902">
        <f>'סיכומי מקורות'!$B$39</f>
        <v>0</v>
      </c>
      <c r="D5" s="902">
        <f t="shared" ref="D5:D10" si="0">C5+B5</f>
        <v>0</v>
      </c>
      <c r="E5" s="902">
        <f>'מקסימום פנסיה עם קצבה פטורה'!$J$8</f>
        <v>0</v>
      </c>
      <c r="F5" s="902">
        <f>PV(G1/100/12,(B1-E1)*12,E5,0,1)*(-1)</f>
        <v>0</v>
      </c>
      <c r="G5" s="902">
        <f t="shared" ref="G5:G10" si="1">C5+F5+B5</f>
        <v>0</v>
      </c>
      <c r="I5" s="898" t="s">
        <v>1003</v>
      </c>
    </row>
    <row r="6" spans="1:9" ht="24" customHeight="1" x14ac:dyDescent="0.2">
      <c r="A6" s="609" t="s">
        <v>592</v>
      </c>
      <c r="B6" s="610">
        <v>0</v>
      </c>
      <c r="C6" s="611">
        <f>'סיכומי מקורות'!$D$39</f>
        <v>0</v>
      </c>
      <c r="D6" s="611">
        <f t="shared" si="0"/>
        <v>0</v>
      </c>
      <c r="E6" s="611">
        <f>'סיכומי מקורות'!$D$49</f>
        <v>0</v>
      </c>
      <c r="F6" s="611">
        <f>PV(G1/100/12,(B1-E1)*12,E6,0,1)*(-1)</f>
        <v>0</v>
      </c>
      <c r="G6" s="611">
        <f t="shared" si="1"/>
        <v>0</v>
      </c>
      <c r="I6" s="898" t="s">
        <v>596</v>
      </c>
    </row>
    <row r="7" spans="1:9" ht="24" customHeight="1" x14ac:dyDescent="0.2">
      <c r="A7" s="903" t="s">
        <v>593</v>
      </c>
      <c r="B7" s="904">
        <f>'נתוני יסוד'!$B$38</f>
        <v>0</v>
      </c>
      <c r="C7" s="904">
        <f>'סיכומי מקורות'!$F$39</f>
        <v>0</v>
      </c>
      <c r="D7" s="904">
        <f t="shared" si="0"/>
        <v>0</v>
      </c>
      <c r="E7" s="904">
        <f>'פיצויים פטורים והוני'!$O$44</f>
        <v>0</v>
      </c>
      <c r="F7" s="904">
        <f>PV(G1/100/12,(B1-E1)*12,E7,0,1)*(-1)</f>
        <v>0</v>
      </c>
      <c r="G7" s="904">
        <f t="shared" si="1"/>
        <v>0</v>
      </c>
    </row>
    <row r="8" spans="1:9" ht="24" customHeight="1" x14ac:dyDescent="0.2">
      <c r="A8" s="905" t="s">
        <v>594</v>
      </c>
      <c r="B8" s="906">
        <f>'נתוני יסוד'!$B$38</f>
        <v>0</v>
      </c>
      <c r="C8" s="906" t="e">
        <f>'פיצויים פטורים וקצבה'!$D$35</f>
        <v>#DIV/0!</v>
      </c>
      <c r="D8" s="906" t="e">
        <f t="shared" si="0"/>
        <v>#DIV/0!</v>
      </c>
      <c r="E8" s="906">
        <f>'פיצויים פטורים וקצבה'!$N$51</f>
        <v>0</v>
      </c>
      <c r="F8" s="906">
        <f>PV($G$1/100/12,($B$1-$E$1)*12,E8,,1)*(-1)</f>
        <v>0</v>
      </c>
      <c r="G8" s="906" t="e">
        <f t="shared" si="1"/>
        <v>#DIV/0!</v>
      </c>
    </row>
    <row r="9" spans="1:9" ht="24" customHeight="1" x14ac:dyDescent="0.2">
      <c r="A9" s="907" t="s">
        <v>595</v>
      </c>
      <c r="B9" s="908">
        <f>'נתוני יסוד'!$B$38</f>
        <v>0</v>
      </c>
      <c r="C9" s="908" t="e">
        <f>'קצבה פטורה והוני'!$D$35</f>
        <v>#DIV/0!</v>
      </c>
      <c r="D9" s="908" t="e">
        <f t="shared" si="0"/>
        <v>#DIV/0!</v>
      </c>
      <c r="E9" s="908">
        <f>'קצבה פטורה והוני'!$N$57</f>
        <v>0</v>
      </c>
      <c r="F9" s="908">
        <f>PV($G$1/100/12,($B$1-$E$1)*12,E9,,1)*(-1)</f>
        <v>0</v>
      </c>
      <c r="G9" s="908" t="e">
        <f t="shared" si="1"/>
        <v>#DIV/0!</v>
      </c>
    </row>
    <row r="10" spans="1:9" ht="24" customHeight="1" x14ac:dyDescent="0.2">
      <c r="A10" s="911" t="s">
        <v>596</v>
      </c>
      <c r="B10" s="912">
        <f>'נתוני יסוד'!$B$38</f>
        <v>0</v>
      </c>
      <c r="C10" s="912"/>
      <c r="D10" s="912">
        <f t="shared" si="0"/>
        <v>0</v>
      </c>
      <c r="E10" s="912"/>
      <c r="F10" s="912">
        <f>PV($G$1/100/12,($B$1-$E$1)*12,E10,,1)*(-1)</f>
        <v>0</v>
      </c>
      <c r="G10" s="912">
        <f t="shared" si="1"/>
        <v>0</v>
      </c>
    </row>
    <row r="11" spans="1:9" x14ac:dyDescent="0.2">
      <c r="A11" s="604"/>
      <c r="B11" s="604"/>
      <c r="C11" s="604"/>
      <c r="D11" s="604"/>
      <c r="E11" s="604"/>
      <c r="F11" s="604"/>
      <c r="G11" s="604"/>
    </row>
    <row r="12" spans="1:9" x14ac:dyDescent="0.2">
      <c r="A12" s="604"/>
      <c r="B12" s="604"/>
      <c r="C12" s="604"/>
      <c r="D12" s="604"/>
      <c r="E12" s="604"/>
      <c r="F12" s="604"/>
      <c r="G12" s="604"/>
    </row>
    <row r="25" spans="9:9" x14ac:dyDescent="0.2">
      <c r="I25" s="616"/>
    </row>
    <row r="41" spans="2:7" ht="21.75" customHeight="1" x14ac:dyDescent="0.2">
      <c r="D41" s="617" t="s">
        <v>787</v>
      </c>
      <c r="E41" s="618" t="e">
        <f>IF(F41=G5,A5,IF(F41=G6,A6,IF(F41=G7,A7,IF(F41=G8,A8,IF(F41=G9,A9,IF(F41=G10,A10,Problem))))))</f>
        <v>#DIV/0!</v>
      </c>
      <c r="F41" s="619" t="e">
        <f>MAXA(G5:G10)</f>
        <v>#DIV/0!</v>
      </c>
    </row>
    <row r="43" spans="2:7" x14ac:dyDescent="0.2">
      <c r="B43" s="615" t="s">
        <v>596</v>
      </c>
      <c r="C43" s="614" t="s">
        <v>595</v>
      </c>
      <c r="D43" s="613" t="s">
        <v>594</v>
      </c>
      <c r="E43" s="612" t="s">
        <v>593</v>
      </c>
      <c r="F43" s="620" t="s">
        <v>592</v>
      </c>
      <c r="G43" s="621" t="s">
        <v>788</v>
      </c>
    </row>
    <row r="45" spans="2:7" x14ac:dyDescent="0.2">
      <c r="C45" s="1107" t="str">
        <f>'נתוני יסוד'!B1</f>
        <v>ענתבי איל</v>
      </c>
      <c r="D45" s="1107"/>
      <c r="E45" s="1107"/>
      <c r="F45" s="1107"/>
    </row>
    <row r="46" spans="2:7" x14ac:dyDescent="0.2">
      <c r="C46" s="1107"/>
      <c r="D46" s="1107"/>
      <c r="E46" s="1107"/>
      <c r="F46" s="1107"/>
    </row>
    <row r="47" spans="2:7" x14ac:dyDescent="0.2">
      <c r="C47" s="1107"/>
      <c r="D47" s="1107"/>
      <c r="E47" s="1107"/>
      <c r="F47" s="1107"/>
    </row>
    <row r="48" spans="2:7" ht="13.5" thickBot="1" x14ac:dyDescent="0.25"/>
    <row r="49" spans="1:8" ht="14.25" thickTop="1" thickBot="1" x14ac:dyDescent="0.25">
      <c r="A49" s="622"/>
      <c r="B49" s="622"/>
      <c r="C49" s="622"/>
      <c r="D49" s="622"/>
      <c r="E49" s="622"/>
      <c r="F49" s="622"/>
      <c r="G49" s="622"/>
      <c r="H49" s="622"/>
    </row>
    <row r="50" spans="1:8" ht="13.5" thickTop="1" x14ac:dyDescent="0.2"/>
    <row r="51" spans="1:8" x14ac:dyDescent="0.2">
      <c r="C51" s="1108" t="s">
        <v>789</v>
      </c>
      <c r="D51" s="1109"/>
      <c r="E51" s="1109"/>
    </row>
    <row r="52" spans="1:8" x14ac:dyDescent="0.2">
      <c r="C52" s="1109"/>
      <c r="D52" s="1109"/>
      <c r="E52" s="1109"/>
    </row>
    <row r="54" spans="1:8" x14ac:dyDescent="0.2">
      <c r="A54" s="603" t="s">
        <v>433</v>
      </c>
      <c r="B54" s="623">
        <v>90</v>
      </c>
      <c r="C54" s="603" t="s">
        <v>163</v>
      </c>
      <c r="D54" s="603"/>
      <c r="E54" s="623">
        <v>68</v>
      </c>
      <c r="F54" s="603" t="s">
        <v>231</v>
      </c>
      <c r="G54" s="624">
        <v>3</v>
      </c>
    </row>
    <row r="55" spans="1:8" x14ac:dyDescent="0.2">
      <c r="E55" s="322" t="s">
        <v>790</v>
      </c>
    </row>
    <row r="57" spans="1:8" ht="25.5" x14ac:dyDescent="0.2">
      <c r="A57" s="604"/>
      <c r="B57" s="605" t="s">
        <v>782</v>
      </c>
      <c r="C57" s="604" t="s">
        <v>625</v>
      </c>
      <c r="D57" s="604" t="s">
        <v>783</v>
      </c>
      <c r="E57" s="604" t="s">
        <v>784</v>
      </c>
      <c r="F57" s="604" t="s">
        <v>785</v>
      </c>
      <c r="G57" s="604" t="s">
        <v>786</v>
      </c>
    </row>
    <row r="58" spans="1:8" x14ac:dyDescent="0.2">
      <c r="A58" s="911" t="s">
        <v>591</v>
      </c>
      <c r="B58" s="913">
        <f>'סיכומי מקורות'!$B$51</f>
        <v>0</v>
      </c>
      <c r="C58" s="912">
        <f>'סיכומי מקורות'!$B$39</f>
        <v>0</v>
      </c>
      <c r="D58" s="912">
        <f t="shared" ref="D58:D63" si="2">C58+B58</f>
        <v>0</v>
      </c>
      <c r="E58" s="912">
        <f>'מקסימום פנסיה עם קצבה פטורה'!$J$8</f>
        <v>0</v>
      </c>
      <c r="F58" s="912">
        <f>PV(G54/100/12,(B54-E54)*12,E58,0,1)*(-1)</f>
        <v>0</v>
      </c>
      <c r="G58" s="912">
        <f t="shared" ref="G58:G63" si="3">C58+F58+B58</f>
        <v>0</v>
      </c>
    </row>
    <row r="59" spans="1:8" x14ac:dyDescent="0.2">
      <c r="A59" s="609" t="s">
        <v>592</v>
      </c>
      <c r="B59" s="610">
        <f>'סיכומי מקורות'!$D$52</f>
        <v>0</v>
      </c>
      <c r="C59" s="611">
        <f>'סיכומי מקורות'!$D$39</f>
        <v>0</v>
      </c>
      <c r="D59" s="611">
        <f t="shared" si="2"/>
        <v>0</v>
      </c>
      <c r="E59" s="611">
        <f>'סיכומי מקורות'!$D$49</f>
        <v>0</v>
      </c>
      <c r="F59" s="611">
        <f>PV(G54/100/12,(B54-E54)*12,E59,0,1)*(-1)</f>
        <v>0</v>
      </c>
      <c r="G59" s="611">
        <f t="shared" si="3"/>
        <v>0</v>
      </c>
    </row>
    <row r="60" spans="1:8" x14ac:dyDescent="0.2">
      <c r="A60" s="903" t="s">
        <v>593</v>
      </c>
      <c r="B60" s="904">
        <f>'נתוני יסוד'!$B$38</f>
        <v>0</v>
      </c>
      <c r="C60" s="904">
        <f>'סיכומי מקורות'!$F$39</f>
        <v>0</v>
      </c>
      <c r="D60" s="904">
        <f t="shared" si="2"/>
        <v>0</v>
      </c>
      <c r="E60" s="904">
        <f>'פיצויים פטורים והוני'!$O$44</f>
        <v>0</v>
      </c>
      <c r="F60" s="904">
        <f>PV(G54/100/12,(B54-E54)*12,E60,0,1)*(-1)</f>
        <v>0</v>
      </c>
      <c r="G60" s="904">
        <f t="shared" si="3"/>
        <v>0</v>
      </c>
    </row>
    <row r="61" spans="1:8" x14ac:dyDescent="0.2">
      <c r="A61" s="914" t="s">
        <v>594</v>
      </c>
      <c r="B61" s="915">
        <f>'נתוני יסוד'!$B$38</f>
        <v>0</v>
      </c>
      <c r="C61" s="915" t="e">
        <f>'פיצויים פטורים וקצבה'!$D$35</f>
        <v>#DIV/0!</v>
      </c>
      <c r="D61" s="915" t="e">
        <f t="shared" si="2"/>
        <v>#DIV/0!</v>
      </c>
      <c r="E61" s="915">
        <f>'פיצויים פטורים וקצבה'!$N$51</f>
        <v>0</v>
      </c>
      <c r="F61" s="915">
        <f>PV(G54/100/12,(B54-E54)*12,E61,,1)*(-1)</f>
        <v>0</v>
      </c>
      <c r="G61" s="915" t="e">
        <f t="shared" si="3"/>
        <v>#DIV/0!</v>
      </c>
    </row>
    <row r="62" spans="1:8" x14ac:dyDescent="0.2">
      <c r="A62" s="916" t="s">
        <v>595</v>
      </c>
      <c r="B62" s="917">
        <f>'נתוני יסוד'!$B$38</f>
        <v>0</v>
      </c>
      <c r="C62" s="917" t="e">
        <f>'קצבה פטורה והוני'!$D$35</f>
        <v>#DIV/0!</v>
      </c>
      <c r="D62" s="917" t="e">
        <f t="shared" si="2"/>
        <v>#DIV/0!</v>
      </c>
      <c r="E62" s="917">
        <f>'קצבה פטורה והוני'!$N$57</f>
        <v>0</v>
      </c>
      <c r="F62" s="917">
        <f>PV(G54/100/12,(B54-E54)*12,E62,,1)*(-1)</f>
        <v>0</v>
      </c>
      <c r="G62" s="917" t="e">
        <f t="shared" si="3"/>
        <v>#DIV/0!</v>
      </c>
    </row>
    <row r="63" spans="1:8" x14ac:dyDescent="0.2">
      <c r="A63" s="909" t="s">
        <v>596</v>
      </c>
      <c r="B63" s="910">
        <f>'נתוני יסוד'!$B$38</f>
        <v>0</v>
      </c>
      <c r="C63" s="910"/>
      <c r="D63" s="910">
        <f t="shared" si="2"/>
        <v>0</v>
      </c>
      <c r="E63" s="910"/>
      <c r="F63" s="910">
        <f>PV(G54/100/12,(B54-E54)*12,E63,,1)*(-1)</f>
        <v>0</v>
      </c>
      <c r="G63" s="910">
        <f t="shared" si="3"/>
        <v>0</v>
      </c>
    </row>
    <row r="64" spans="1:8" x14ac:dyDescent="0.2">
      <c r="A64" s="604"/>
      <c r="B64" s="604"/>
      <c r="C64" s="604"/>
      <c r="D64" s="604"/>
      <c r="E64" s="604"/>
      <c r="F64" s="604"/>
      <c r="G64" s="604"/>
    </row>
    <row r="65" spans="1:7" x14ac:dyDescent="0.2">
      <c r="A65" s="604"/>
      <c r="B65" s="604"/>
      <c r="C65" s="604"/>
      <c r="D65" s="604"/>
      <c r="E65" s="604"/>
      <c r="F65" s="604"/>
      <c r="G65" s="604"/>
    </row>
    <row r="94" spans="2:7" x14ac:dyDescent="0.2">
      <c r="B94" s="615" t="s">
        <v>596</v>
      </c>
      <c r="C94" s="614" t="s">
        <v>595</v>
      </c>
      <c r="D94" s="613" t="s">
        <v>594</v>
      </c>
      <c r="E94" s="612" t="s">
        <v>593</v>
      </c>
      <c r="F94" s="620" t="s">
        <v>592</v>
      </c>
      <c r="G94" s="621" t="s">
        <v>788</v>
      </c>
    </row>
    <row r="98" spans="1:7" x14ac:dyDescent="0.2">
      <c r="C98" s="1107" t="str">
        <f>'נתוני יסוד'!B1</f>
        <v>ענתבי איל</v>
      </c>
      <c r="D98" s="1107"/>
      <c r="E98" s="1107"/>
      <c r="F98" s="1107"/>
    </row>
    <row r="99" spans="1:7" x14ac:dyDescent="0.2">
      <c r="C99" s="1107"/>
      <c r="D99" s="1107"/>
      <c r="E99" s="1107"/>
      <c r="F99" s="1107"/>
    </row>
    <row r="100" spans="1:7" x14ac:dyDescent="0.2">
      <c r="C100" s="1107"/>
      <c r="D100" s="1107"/>
      <c r="E100" s="1107"/>
      <c r="F100" s="1107"/>
    </row>
    <row r="102" spans="1:7" ht="27" customHeight="1" thickBot="1" x14ac:dyDescent="0.25">
      <c r="A102" s="1110" t="s">
        <v>791</v>
      </c>
      <c r="B102" s="1111"/>
      <c r="C102" s="1112" t="e">
        <f>IF(F102=G58,A58,IF(F102=G59,A59,IF(F102=G60,A60,IF(F102=G61,A61,IF(F102=G62,A62,IF(F102=G63,A63,Problem))))))</f>
        <v>#DIV/0!</v>
      </c>
      <c r="D102" s="1112"/>
      <c r="E102" s="625" t="s">
        <v>792</v>
      </c>
      <c r="F102" s="1113" t="e">
        <f>MAXA(G58:G63)</f>
        <v>#DIV/0!</v>
      </c>
      <c r="G102" s="1114"/>
    </row>
    <row r="103" spans="1:7" ht="13.5" thickTop="1" x14ac:dyDescent="0.2"/>
  </sheetData>
  <mergeCells count="7">
    <mergeCell ref="C2:E2"/>
    <mergeCell ref="C45:F47"/>
    <mergeCell ref="C51:E52"/>
    <mergeCell ref="C98:F100"/>
    <mergeCell ref="A102:B102"/>
    <mergeCell ref="C102:D102"/>
    <mergeCell ref="F102:G102"/>
  </mergeCells>
  <pageMargins left="0.75" right="0.75" top="0.51" bottom="0.5" header="0.39" footer="0.5"/>
  <pageSetup paperSize="9" scale="80" orientation="landscape" horizontalDpi="4294967293" verticalDpi="4294967293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35">
    <tabColor indexed="50"/>
  </sheetPr>
  <dimension ref="A1:AK102"/>
  <sheetViews>
    <sheetView rightToLeft="1" topLeftCell="A76" workbookViewId="0">
      <selection activeCell="AL8" sqref="AL8"/>
    </sheetView>
  </sheetViews>
  <sheetFormatPr defaultRowHeight="12.75" x14ac:dyDescent="0.2"/>
  <cols>
    <col min="1" max="15" width="25.7109375" style="601" customWidth="1"/>
    <col min="16" max="16" width="7.7109375" style="601" customWidth="1"/>
    <col min="17" max="19" width="25.7109375" style="601" customWidth="1"/>
    <col min="20" max="16384" width="9.140625" style="601"/>
  </cols>
  <sheetData>
    <row r="1" spans="1:16" x14ac:dyDescent="0.2">
      <c r="A1" s="601" t="s">
        <v>433</v>
      </c>
      <c r="B1" s="601">
        <f>'השוואה בחירתית'!B54</f>
        <v>90</v>
      </c>
      <c r="D1" s="601" t="s">
        <v>163</v>
      </c>
      <c r="E1" s="601">
        <f>'השוואה בחירתית'!E54</f>
        <v>68</v>
      </c>
      <c r="F1" s="601" t="s">
        <v>231</v>
      </c>
      <c r="G1" s="601">
        <f>'נתוני יסוד'!B23</f>
        <v>2.5</v>
      </c>
    </row>
    <row r="3" spans="1:16" ht="23.25" customHeight="1" x14ac:dyDescent="0.2">
      <c r="A3" s="1115" t="s">
        <v>793</v>
      </c>
      <c r="B3" s="1116"/>
    </row>
    <row r="4" spans="1:16" ht="24" customHeight="1" x14ac:dyDescent="0.2">
      <c r="B4" s="601" t="s">
        <v>625</v>
      </c>
      <c r="C4" s="629" t="s">
        <v>782</v>
      </c>
      <c r="D4" s="601" t="s">
        <v>794</v>
      </c>
      <c r="E4" s="601" t="s">
        <v>784</v>
      </c>
      <c r="F4" s="601" t="s">
        <v>785</v>
      </c>
      <c r="G4" s="601" t="s">
        <v>786</v>
      </c>
      <c r="L4" s="601" t="str">
        <f t="shared" ref="L4:M8" si="0">B4</f>
        <v>פיצויים נטו</v>
      </c>
      <c r="M4" s="630" t="str">
        <f t="shared" si="0"/>
        <v>כספים הפטורים במשיכה ח"פ בפרישה</v>
      </c>
      <c r="N4" s="601" t="str">
        <f>F4</f>
        <v>ע"נ של הקצבה</v>
      </c>
      <c r="O4" s="601" t="str">
        <f>G4</f>
        <v xml:space="preserve">סה"כ ע"נ </v>
      </c>
      <c r="P4" s="601" t="s">
        <v>270</v>
      </c>
    </row>
    <row r="5" spans="1:16" s="918" customFormat="1" ht="17.100000000000001" customHeight="1" x14ac:dyDescent="0.2">
      <c r="A5" s="918" t="s">
        <v>593</v>
      </c>
      <c r="B5" s="919" t="e">
        <f>'פיצויים פטורים והוני'!D35</f>
        <v>#DIV/0!</v>
      </c>
      <c r="C5" s="919">
        <f>'נתוני יסוד'!$B$38</f>
        <v>0</v>
      </c>
      <c r="D5" s="919" t="e">
        <f>SUM(B5:C5)</f>
        <v>#DIV/0!</v>
      </c>
      <c r="E5" s="919">
        <f>'פיצויים פטורים והוני'!O44</f>
        <v>0</v>
      </c>
      <c r="F5" s="919">
        <f>PV(G1/100/12,(B1-E1)*12,E5,0,1)*(-1)</f>
        <v>0</v>
      </c>
      <c r="G5" s="919" t="e">
        <f>D5+F5</f>
        <v>#DIV/0!</v>
      </c>
      <c r="K5" s="918" t="s">
        <v>593</v>
      </c>
      <c r="L5" s="920" t="e">
        <f t="shared" si="0"/>
        <v>#DIV/0!</v>
      </c>
      <c r="M5" s="920">
        <f t="shared" si="0"/>
        <v>0</v>
      </c>
      <c r="N5" s="921">
        <f>F5</f>
        <v>0</v>
      </c>
      <c r="O5" s="919" t="e">
        <f>SUM(L5:N5)</f>
        <v>#DIV/0!</v>
      </c>
      <c r="P5" s="919" t="e">
        <f>O5-G5</f>
        <v>#DIV/0!</v>
      </c>
    </row>
    <row r="6" spans="1:16" s="918" customFormat="1" ht="17.100000000000001" customHeight="1" x14ac:dyDescent="0.2">
      <c r="A6" s="918" t="s">
        <v>594</v>
      </c>
      <c r="B6" s="919" t="e">
        <f>'פיצויים פטורים וקצבה'!D35</f>
        <v>#DIV/0!</v>
      </c>
      <c r="C6" s="919">
        <f>'נתוני יסוד'!$B$38</f>
        <v>0</v>
      </c>
      <c r="D6" s="919" t="e">
        <f>SUM(B6:C6)</f>
        <v>#DIV/0!</v>
      </c>
      <c r="E6" s="919">
        <f>'פיצויים פטורים וקצבה'!N51</f>
        <v>0</v>
      </c>
      <c r="F6" s="919">
        <f>PV($G$1/100/12,($B$1-$E$1)*12,E6,,1)*(-1)</f>
        <v>0</v>
      </c>
      <c r="G6" s="919" t="e">
        <f>D6+F6</f>
        <v>#DIV/0!</v>
      </c>
      <c r="K6" s="918" t="s">
        <v>594</v>
      </c>
      <c r="L6" s="920" t="e">
        <f t="shared" si="0"/>
        <v>#DIV/0!</v>
      </c>
      <c r="M6" s="920">
        <f t="shared" si="0"/>
        <v>0</v>
      </c>
      <c r="N6" s="921">
        <f>F6</f>
        <v>0</v>
      </c>
      <c r="O6" s="919" t="e">
        <f>SUM(L6:N6)</f>
        <v>#DIV/0!</v>
      </c>
      <c r="P6" s="919" t="e">
        <f>O6-G6</f>
        <v>#DIV/0!</v>
      </c>
    </row>
    <row r="7" spans="1:16" s="918" customFormat="1" ht="17.100000000000001" customHeight="1" x14ac:dyDescent="0.2">
      <c r="A7" s="918" t="s">
        <v>595</v>
      </c>
      <c r="B7" s="919" t="e">
        <f>'קצבה פטורה והוני'!D35</f>
        <v>#DIV/0!</v>
      </c>
      <c r="C7" s="919">
        <f>'נתוני יסוד'!$B$38</f>
        <v>0</v>
      </c>
      <c r="D7" s="919" t="e">
        <f>SUM(B7:C7)</f>
        <v>#DIV/0!</v>
      </c>
      <c r="E7" s="919">
        <f>'קצבה פטורה והוני'!N57</f>
        <v>0</v>
      </c>
      <c r="F7" s="919">
        <f>PV($G$1/100/12,($B$1-$E$1)*12,E7,,1)*(-1)</f>
        <v>0</v>
      </c>
      <c r="G7" s="919" t="e">
        <f>D7+F7</f>
        <v>#DIV/0!</v>
      </c>
      <c r="K7" s="918" t="s">
        <v>595</v>
      </c>
      <c r="L7" s="920" t="e">
        <f t="shared" si="0"/>
        <v>#DIV/0!</v>
      </c>
      <c r="M7" s="920">
        <f t="shared" si="0"/>
        <v>0</v>
      </c>
      <c r="N7" s="921">
        <f>F7</f>
        <v>0</v>
      </c>
      <c r="O7" s="919" t="e">
        <f>SUM(L7:N7)</f>
        <v>#DIV/0!</v>
      </c>
      <c r="P7" s="919" t="e">
        <f>O7-G7</f>
        <v>#DIV/0!</v>
      </c>
    </row>
    <row r="8" spans="1:16" s="918" customFormat="1" ht="17.100000000000001" customHeight="1" x14ac:dyDescent="0.2">
      <c r="A8" s="918" t="s">
        <v>596</v>
      </c>
      <c r="B8" s="919"/>
      <c r="C8" s="919">
        <f>'נתוני יסוד'!$B$38</f>
        <v>0</v>
      </c>
      <c r="D8" s="919">
        <f>SUM(B8:C8)</f>
        <v>0</v>
      </c>
      <c r="E8" s="919"/>
      <c r="F8" s="919">
        <f>PV($G$1/100/12,($B$1-$E$1)*12,E8,,1)*(-1)</f>
        <v>0</v>
      </c>
      <c r="G8" s="919">
        <f>D8+F8</f>
        <v>0</v>
      </c>
      <c r="K8" s="918" t="s">
        <v>596</v>
      </c>
      <c r="L8" s="920">
        <f t="shared" si="0"/>
        <v>0</v>
      </c>
      <c r="M8" s="920">
        <f t="shared" si="0"/>
        <v>0</v>
      </c>
      <c r="N8" s="921">
        <f>F8</f>
        <v>0</v>
      </c>
      <c r="O8" s="919">
        <f>SUM(L8:N8)</f>
        <v>0</v>
      </c>
      <c r="P8" s="919">
        <f>O8-G8</f>
        <v>0</v>
      </c>
    </row>
    <row r="9" spans="1:16" s="925" customFormat="1" ht="17.100000000000001" customHeight="1" x14ac:dyDescent="0.2">
      <c r="A9" s="922" t="s">
        <v>591</v>
      </c>
      <c r="B9" s="923">
        <f>'סיכומי מקורות'!$B$39</f>
        <v>0</v>
      </c>
      <c r="C9" s="924">
        <f>'סיכומי מקורות'!$B$51</f>
        <v>0</v>
      </c>
      <c r="D9" s="924">
        <f>C9+B9</f>
        <v>0</v>
      </c>
      <c r="E9" s="924">
        <f>'מקסימום פנסיה עם קצבה פטורה'!$J$8</f>
        <v>0</v>
      </c>
      <c r="F9" s="924">
        <f>PV(G1/100/12,(B1-E1)*12,E9,0,1)*(-1)</f>
        <v>0</v>
      </c>
      <c r="G9" s="924">
        <f>C9+F9+B9</f>
        <v>0</v>
      </c>
    </row>
    <row r="10" spans="1:16" s="925" customFormat="1" ht="17.100000000000001" customHeight="1" x14ac:dyDescent="0.2">
      <c r="A10" s="922" t="s">
        <v>592</v>
      </c>
      <c r="B10" s="923">
        <f>'סיכומי מקורות'!$D$39</f>
        <v>0</v>
      </c>
      <c r="C10" s="924">
        <f>'סיכומי מקורות'!$D$52</f>
        <v>0</v>
      </c>
      <c r="D10" s="924">
        <f>C10+B10</f>
        <v>0</v>
      </c>
      <c r="E10" s="924">
        <f>'סיכומי מקורות'!$D$49</f>
        <v>0</v>
      </c>
      <c r="F10" s="924">
        <f>PV(G1/100/12,(B1-E1)*12,E10,0,1)*(-1)</f>
        <v>0</v>
      </c>
      <c r="G10" s="924">
        <f>C10+F10+B10</f>
        <v>0</v>
      </c>
    </row>
    <row r="42" spans="1:8" ht="12.75" customHeight="1" x14ac:dyDescent="0.2">
      <c r="A42" s="601" t="s">
        <v>795</v>
      </c>
      <c r="B42" s="601" t="s">
        <v>796</v>
      </c>
      <c r="C42" s="601" t="s">
        <v>797</v>
      </c>
      <c r="D42" s="601" t="s">
        <v>798</v>
      </c>
      <c r="E42" s="601" t="s">
        <v>799</v>
      </c>
      <c r="F42" s="601" t="s">
        <v>800</v>
      </c>
      <c r="G42" s="601" t="s">
        <v>801</v>
      </c>
      <c r="H42" s="601" t="s">
        <v>802</v>
      </c>
    </row>
    <row r="43" spans="1:8" s="647" customFormat="1" ht="12.75" customHeight="1" x14ac:dyDescent="0.2">
      <c r="A43" s="646">
        <f>PV(1.5/100/12,(B1-E1)*12,E5,0,1)*(-1)</f>
        <v>0</v>
      </c>
      <c r="B43" s="646">
        <f>PV(2.5/100/12,(B1-E1)*12,E5,0,1)*(-1)</f>
        <v>0</v>
      </c>
      <c r="C43" s="646">
        <f>PV(3/100/12,(B1-E1)*12,E5,0,1)*(-1)</f>
        <v>0</v>
      </c>
      <c r="D43" s="646">
        <f>PV(3.5/100/12,($B1-$E1)*12,$E5,0,1)*(-1)</f>
        <v>0</v>
      </c>
      <c r="E43" s="646">
        <f>PV(4/100/12,($B1-$E1)*12,$E5,0,1)*(-1)</f>
        <v>0</v>
      </c>
      <c r="F43" s="646">
        <f>PV(4.5/100/12,(B1-E1)*12,E5,0,1)*(-1)</f>
        <v>0</v>
      </c>
      <c r="G43" s="646">
        <f>PV(5.5/100/12,(B1-E1)*12,E5,0,1)*(-1)</f>
        <v>0</v>
      </c>
      <c r="H43" s="646">
        <f>PV(6.5/100/12,(B1-E1)*12,E5,0,1)*(-1)</f>
        <v>0</v>
      </c>
    </row>
    <row r="44" spans="1:8" s="649" customFormat="1" ht="12.75" customHeight="1" x14ac:dyDescent="0.2">
      <c r="A44" s="648">
        <f>PV(1.5/100/12,($B$1-$E$1)*12,E6,,1)*(-1)</f>
        <v>0</v>
      </c>
      <c r="B44" s="648">
        <f>PV(2.5/100/12,($B$1-$E$1)*12,E6,,1)*(-1)</f>
        <v>0</v>
      </c>
      <c r="C44" s="648">
        <f>PV(3/100/12,($B$1-$E$1)*12,E6,,1)*(-1)</f>
        <v>0</v>
      </c>
      <c r="D44" s="648">
        <f>PV(3.5/100/12,($B$1-$E$1)*12,$E6,,1)*(-1)</f>
        <v>0</v>
      </c>
      <c r="E44" s="648">
        <f>PV(4/100/12,($B$1-$E$1)*12,$E6,,1)*(-1)</f>
        <v>0</v>
      </c>
      <c r="F44" s="648">
        <f>PV(4.5/100/12,($B$1-$E$1)*12,E6,,1)*(-1)</f>
        <v>0</v>
      </c>
      <c r="G44" s="648">
        <f>PV(5.5/100/12,($B$1-$E$1)*12,E6,,1)*(-1)</f>
        <v>0</v>
      </c>
      <c r="H44" s="648">
        <f>PV(6.5/100/12,($B$1-$E$1)*12,E6,,1)*(-1)</f>
        <v>0</v>
      </c>
    </row>
    <row r="45" spans="1:8" s="651" customFormat="1" ht="12.75" customHeight="1" x14ac:dyDescent="0.2">
      <c r="A45" s="650">
        <f>PV(1.5/100/12,($B$1-$E$1)*12,E7,,1)*(-1)</f>
        <v>0</v>
      </c>
      <c r="B45" s="650">
        <f>PV(2.5/100/12,($B$1-$E$1)*12,E7,,1)*(-1)</f>
        <v>0</v>
      </c>
      <c r="C45" s="650">
        <f>PV(3/100/12,($B$1-$E$1)*12,E7,,1)*(-1)</f>
        <v>0</v>
      </c>
      <c r="D45" s="650">
        <f>PV(3.5/100/12,($B$1-$E$1)*12,$E7,,1)*(-1)</f>
        <v>0</v>
      </c>
      <c r="E45" s="650">
        <f>PV(4/100/12,($B$1-$E$1)*12,$E7,,1)*(-1)</f>
        <v>0</v>
      </c>
      <c r="F45" s="650">
        <f>PV(4.5/100/12,($B$1-$E$1)*12,E7,,1)*(-1)</f>
        <v>0</v>
      </c>
      <c r="G45" s="650">
        <f>PV(5.5/100/12,($B$1-$E$1)*12,E7,,1)*(-1)</f>
        <v>0</v>
      </c>
      <c r="H45" s="650">
        <f>PV(6.5/100/12,($B$1-$E$1)*12,E7,,1)*(-1)</f>
        <v>0</v>
      </c>
    </row>
    <row r="46" spans="1:8" s="653" customFormat="1" ht="12.75" customHeight="1" x14ac:dyDescent="0.2">
      <c r="A46" s="652">
        <f>PV(1.5/100/12,($B$1-$E$1)*12,E8,,1)*(-1)</f>
        <v>0</v>
      </c>
      <c r="B46" s="652">
        <f>PV(2.5/100/12,($B$1-$E$1)*12,E8,,1)*(-1)</f>
        <v>0</v>
      </c>
      <c r="C46" s="652">
        <f>PV(3/100/12,($B$1-$E$1)*12,E8,,1)*(-1)</f>
        <v>0</v>
      </c>
      <c r="D46" s="652">
        <f>PV(3.5/100/12,($B$1-$E$1)*12,$E8,,1)*(-1)</f>
        <v>0</v>
      </c>
      <c r="E46" s="652">
        <f>PV(4/100/12,($B$1-$E$1)*12,$E8,,1)*(-1)</f>
        <v>0</v>
      </c>
      <c r="F46" s="652">
        <f>PV(4.5/100/12,($B$1-$E$1)*12,E8,,1)*(-1)</f>
        <v>0</v>
      </c>
      <c r="G46" s="652">
        <f>PV(5.5/100/12,($B$1-$E$1)*12,E8,,1)*(-1)</f>
        <v>0</v>
      </c>
      <c r="H46" s="652">
        <f>PV(6.5/100/12,($B$1-$E$1)*12,E8,,1)*(-1)</f>
        <v>0</v>
      </c>
    </row>
    <row r="47" spans="1:8" s="655" customFormat="1" ht="12.75" customHeight="1" x14ac:dyDescent="0.2">
      <c r="A47" s="654">
        <f>PV(1.5/100/12,($B$1-$E$1)*12,E9,,1)*(-1)</f>
        <v>0</v>
      </c>
      <c r="B47" s="654">
        <f>PV(2.5/100/12,($B$1-$E$1)*12,E9,,1)*(-1)</f>
        <v>0</v>
      </c>
      <c r="C47" s="654">
        <f>PV(3/100/12,($B$1-$E$1)*12,E9,,1)*(-1)</f>
        <v>0</v>
      </c>
      <c r="D47" s="654">
        <f>PV(3.5/100/12,($B$1-$E$1)*12,$E9,,1)*(-1)</f>
        <v>0</v>
      </c>
      <c r="E47" s="654">
        <f>PV(4/100/12,($B$1-$E$1)*12,$E9,,1)*(-1)</f>
        <v>0</v>
      </c>
      <c r="F47" s="654">
        <f>PV(4.5/100/12,($B$1-$E$1)*12,E9,,1)*(-1)</f>
        <v>0</v>
      </c>
      <c r="G47" s="654">
        <f>PV(5.5/100/12,($B$1-$E$1)*12,E9,,1)*(-1)</f>
        <v>0</v>
      </c>
      <c r="H47" s="654">
        <f>PV(6.5/100/12,($B$1-$E$1)*12,E9,,1)*(-1)</f>
        <v>0</v>
      </c>
    </row>
    <row r="48" spans="1:8" s="657" customFormat="1" ht="12.75" customHeight="1" x14ac:dyDescent="0.2">
      <c r="A48" s="656">
        <f>PV(1.5/100/12,($B$1-$E$1)*12,E10,,1)*(-1)</f>
        <v>0</v>
      </c>
      <c r="B48" s="656">
        <f>PV(2.5/100/12,($B$1-$E$1)*12,E10,,1)*(-1)</f>
        <v>0</v>
      </c>
      <c r="C48" s="656">
        <f>PV(3/100/12,($B$1-$E$1)*12,E10,,1)*(-1)</f>
        <v>0</v>
      </c>
      <c r="D48" s="656">
        <f>PV(3.5/100/12,($B$1-$E$1)*12,$E10,,1)*(-1)</f>
        <v>0</v>
      </c>
      <c r="E48" s="656">
        <f>PV(4/100/12,($B$1-$E$1)*12,$E10,,1)*(-1)</f>
        <v>0</v>
      </c>
      <c r="F48" s="656">
        <f>PV(4.5/100/12,($B$1-$E$1)*12,E10,,1)*(-1)</f>
        <v>0</v>
      </c>
      <c r="G48" s="656">
        <f>PV(5.5/100/12,($B$1-$E$1)*12,E10,,1)*(-1)</f>
        <v>0</v>
      </c>
      <c r="H48" s="656">
        <f>PV(6.5/100/12,($B$1-$E$1)*12,E10,,1)*(-1)</f>
        <v>0</v>
      </c>
    </row>
    <row r="49" spans="1:37" ht="24" customHeight="1" x14ac:dyDescent="0.2">
      <c r="A49" s="658"/>
      <c r="B49" s="658"/>
      <c r="C49" s="658"/>
      <c r="D49" s="658"/>
      <c r="E49" s="658"/>
      <c r="F49" s="658"/>
      <c r="G49" s="658"/>
      <c r="H49" s="658"/>
    </row>
    <row r="50" spans="1:37" ht="24" customHeight="1" x14ac:dyDescent="0.2">
      <c r="A50" s="658"/>
      <c r="B50" s="658"/>
      <c r="C50" s="658"/>
      <c r="D50" s="658"/>
      <c r="E50" s="658"/>
      <c r="F50" s="658"/>
      <c r="G50" s="658"/>
      <c r="H50" s="658"/>
    </row>
    <row r="51" spans="1:37" x14ac:dyDescent="0.2">
      <c r="A51" s="659" t="s">
        <v>803</v>
      </c>
      <c r="B51" s="660" t="s">
        <v>592</v>
      </c>
      <c r="C51" s="661" t="s">
        <v>788</v>
      </c>
      <c r="D51" s="662" t="s">
        <v>596</v>
      </c>
      <c r="E51" s="663" t="s">
        <v>595</v>
      </c>
      <c r="F51" s="664" t="s">
        <v>594</v>
      </c>
      <c r="G51" s="665" t="s">
        <v>593</v>
      </c>
      <c r="H51" s="600"/>
      <c r="I51" s="600"/>
    </row>
    <row r="52" spans="1:37" ht="12.75" customHeight="1" x14ac:dyDescent="0.2">
      <c r="A52" s="666"/>
      <c r="B52" s="666"/>
      <c r="C52" s="666"/>
      <c r="D52" s="658"/>
      <c r="E52" s="658"/>
      <c r="F52" s="658"/>
      <c r="G52" s="658"/>
      <c r="H52" s="658"/>
      <c r="I52" s="600"/>
    </row>
    <row r="53" spans="1:37" ht="27" customHeight="1" x14ac:dyDescent="0.2">
      <c r="A53" s="667" t="s">
        <v>804</v>
      </c>
      <c r="B53" s="668">
        <v>90</v>
      </c>
      <c r="C53" s="666"/>
      <c r="D53" s="658"/>
      <c r="E53" s="658"/>
      <c r="F53" s="658"/>
      <c r="G53" s="658"/>
      <c r="H53" s="658"/>
      <c r="I53" s="600"/>
    </row>
    <row r="54" spans="1:37" ht="12.75" customHeight="1" x14ac:dyDescent="0.2">
      <c r="A54" s="669"/>
      <c r="B54" s="669"/>
      <c r="C54" s="669"/>
      <c r="D54" s="600"/>
      <c r="E54" s="600"/>
      <c r="F54" s="600"/>
      <c r="G54" s="600"/>
      <c r="H54" s="600"/>
      <c r="I54" s="600"/>
    </row>
    <row r="55" spans="1:37" x14ac:dyDescent="0.2">
      <c r="A55" s="600" t="s">
        <v>805</v>
      </c>
      <c r="B55" s="670" t="s">
        <v>806</v>
      </c>
      <c r="C55" s="600" t="s">
        <v>807</v>
      </c>
      <c r="D55" s="600" t="s">
        <v>808</v>
      </c>
      <c r="E55" s="600" t="s">
        <v>809</v>
      </c>
      <c r="F55" s="600" t="s">
        <v>810</v>
      </c>
      <c r="G55" s="600" t="s">
        <v>811</v>
      </c>
      <c r="H55" s="600" t="s">
        <v>812</v>
      </c>
      <c r="I55" s="600"/>
    </row>
    <row r="56" spans="1:37" x14ac:dyDescent="0.2">
      <c r="A56" s="671" t="e">
        <f t="shared" ref="A56:H56" si="1">A43+$D$5</f>
        <v>#DIV/0!</v>
      </c>
      <c r="B56" s="671" t="e">
        <f t="shared" si="1"/>
        <v>#DIV/0!</v>
      </c>
      <c r="C56" s="671" t="e">
        <f t="shared" si="1"/>
        <v>#DIV/0!</v>
      </c>
      <c r="D56" s="671" t="e">
        <f t="shared" si="1"/>
        <v>#DIV/0!</v>
      </c>
      <c r="E56" s="671" t="e">
        <f t="shared" si="1"/>
        <v>#DIV/0!</v>
      </c>
      <c r="F56" s="671" t="e">
        <f t="shared" si="1"/>
        <v>#DIV/0!</v>
      </c>
      <c r="G56" s="671" t="e">
        <f t="shared" si="1"/>
        <v>#DIV/0!</v>
      </c>
      <c r="H56" s="671" t="e">
        <f t="shared" si="1"/>
        <v>#DIV/0!</v>
      </c>
      <c r="I56" s="600"/>
    </row>
    <row r="57" spans="1:37" x14ac:dyDescent="0.2">
      <c r="A57" s="672" t="e">
        <f t="shared" ref="A57:H57" si="2">A44+$D$6</f>
        <v>#DIV/0!</v>
      </c>
      <c r="B57" s="672" t="e">
        <f t="shared" si="2"/>
        <v>#DIV/0!</v>
      </c>
      <c r="C57" s="672" t="e">
        <f t="shared" si="2"/>
        <v>#DIV/0!</v>
      </c>
      <c r="D57" s="672" t="e">
        <f t="shared" si="2"/>
        <v>#DIV/0!</v>
      </c>
      <c r="E57" s="672" t="e">
        <f t="shared" si="2"/>
        <v>#DIV/0!</v>
      </c>
      <c r="F57" s="672" t="e">
        <f t="shared" si="2"/>
        <v>#DIV/0!</v>
      </c>
      <c r="G57" s="672" t="e">
        <f t="shared" si="2"/>
        <v>#DIV/0!</v>
      </c>
      <c r="H57" s="672" t="e">
        <f t="shared" si="2"/>
        <v>#DIV/0!</v>
      </c>
      <c r="I57" s="600"/>
    </row>
    <row r="58" spans="1:37" x14ac:dyDescent="0.2">
      <c r="A58" s="673" t="e">
        <f t="shared" ref="A58:H58" si="3">A45+$D$7</f>
        <v>#DIV/0!</v>
      </c>
      <c r="B58" s="673" t="e">
        <f t="shared" si="3"/>
        <v>#DIV/0!</v>
      </c>
      <c r="C58" s="673" t="e">
        <f t="shared" si="3"/>
        <v>#DIV/0!</v>
      </c>
      <c r="D58" s="673" t="e">
        <f t="shared" si="3"/>
        <v>#DIV/0!</v>
      </c>
      <c r="E58" s="673" t="e">
        <f t="shared" si="3"/>
        <v>#DIV/0!</v>
      </c>
      <c r="F58" s="673" t="e">
        <f t="shared" si="3"/>
        <v>#DIV/0!</v>
      </c>
      <c r="G58" s="673" t="e">
        <f t="shared" si="3"/>
        <v>#DIV/0!</v>
      </c>
      <c r="H58" s="673" t="e">
        <f t="shared" si="3"/>
        <v>#DIV/0!</v>
      </c>
      <c r="I58" s="600"/>
    </row>
    <row r="59" spans="1:37" s="602" customFormat="1" x14ac:dyDescent="0.2">
      <c r="A59" s="674">
        <f t="shared" ref="A59:H59" si="4">A46+$D$8</f>
        <v>0</v>
      </c>
      <c r="B59" s="674">
        <f t="shared" si="4"/>
        <v>0</v>
      </c>
      <c r="C59" s="674">
        <f t="shared" si="4"/>
        <v>0</v>
      </c>
      <c r="D59" s="674">
        <f t="shared" si="4"/>
        <v>0</v>
      </c>
      <c r="E59" s="674">
        <f t="shared" si="4"/>
        <v>0</v>
      </c>
      <c r="F59" s="674">
        <f t="shared" si="4"/>
        <v>0</v>
      </c>
      <c r="G59" s="674">
        <f t="shared" si="4"/>
        <v>0</v>
      </c>
      <c r="H59" s="674">
        <f t="shared" si="4"/>
        <v>0</v>
      </c>
      <c r="I59" s="600"/>
      <c r="J59" s="675"/>
    </row>
    <row r="60" spans="1:37" s="679" customFormat="1" x14ac:dyDescent="0.2">
      <c r="A60" s="676">
        <f>A47+$D$9</f>
        <v>0</v>
      </c>
      <c r="B60" s="676">
        <f t="shared" ref="B60:H60" si="5">B47+$D$9</f>
        <v>0</v>
      </c>
      <c r="C60" s="676">
        <f t="shared" si="5"/>
        <v>0</v>
      </c>
      <c r="D60" s="676">
        <f t="shared" si="5"/>
        <v>0</v>
      </c>
      <c r="E60" s="676">
        <f t="shared" si="5"/>
        <v>0</v>
      </c>
      <c r="F60" s="676">
        <f t="shared" si="5"/>
        <v>0</v>
      </c>
      <c r="G60" s="676">
        <f t="shared" si="5"/>
        <v>0</v>
      </c>
      <c r="H60" s="676">
        <f t="shared" si="5"/>
        <v>0</v>
      </c>
      <c r="I60" s="659"/>
      <c r="J60" s="677"/>
      <c r="K60" s="678"/>
      <c r="L60" s="678"/>
      <c r="M60" s="678"/>
      <c r="N60" s="678"/>
      <c r="O60" s="678"/>
      <c r="P60" s="678"/>
      <c r="Q60" s="678"/>
      <c r="R60" s="678"/>
      <c r="S60" s="678"/>
      <c r="T60" s="678"/>
      <c r="U60" s="678"/>
      <c r="V60" s="678"/>
      <c r="W60" s="678"/>
      <c r="X60" s="678"/>
      <c r="Y60" s="678"/>
      <c r="Z60" s="678"/>
      <c r="AA60" s="678"/>
      <c r="AB60" s="678"/>
      <c r="AC60" s="678"/>
      <c r="AD60" s="678"/>
      <c r="AE60" s="678"/>
      <c r="AF60" s="678"/>
      <c r="AG60" s="678"/>
      <c r="AH60" s="678"/>
      <c r="AI60" s="678"/>
      <c r="AJ60" s="678"/>
      <c r="AK60" s="678"/>
    </row>
    <row r="61" spans="1:37" s="681" customFormat="1" x14ac:dyDescent="0.2">
      <c r="A61" s="680">
        <f>A48+$D$10</f>
        <v>0</v>
      </c>
      <c r="B61" s="680">
        <f t="shared" ref="B61:H61" si="6">B48+$D$10</f>
        <v>0</v>
      </c>
      <c r="C61" s="680">
        <f t="shared" si="6"/>
        <v>0</v>
      </c>
      <c r="D61" s="680">
        <f t="shared" si="6"/>
        <v>0</v>
      </c>
      <c r="E61" s="680">
        <f t="shared" si="6"/>
        <v>0</v>
      </c>
      <c r="F61" s="680">
        <f t="shared" si="6"/>
        <v>0</v>
      </c>
      <c r="G61" s="680">
        <f t="shared" si="6"/>
        <v>0</v>
      </c>
      <c r="H61" s="680">
        <f t="shared" si="6"/>
        <v>0</v>
      </c>
      <c r="I61" s="659"/>
      <c r="J61" s="677"/>
      <c r="K61" s="678"/>
      <c r="L61" s="678"/>
      <c r="M61" s="678"/>
      <c r="N61" s="678"/>
      <c r="O61" s="678"/>
      <c r="P61" s="678"/>
      <c r="Q61" s="678"/>
      <c r="R61" s="678"/>
      <c r="S61" s="678"/>
      <c r="T61" s="678"/>
      <c r="U61" s="678"/>
      <c r="V61" s="678"/>
      <c r="W61" s="678"/>
      <c r="X61" s="678"/>
      <c r="Y61" s="678"/>
      <c r="Z61" s="678"/>
      <c r="AA61" s="678"/>
      <c r="AB61" s="678"/>
      <c r="AC61" s="678"/>
      <c r="AD61" s="678"/>
      <c r="AE61" s="678"/>
      <c r="AF61" s="678"/>
      <c r="AG61" s="678"/>
      <c r="AH61" s="678"/>
      <c r="AI61" s="678"/>
      <c r="AJ61" s="678"/>
      <c r="AK61" s="678"/>
    </row>
    <row r="62" spans="1:37" x14ac:dyDescent="0.2">
      <c r="A62" s="600"/>
      <c r="B62" s="600"/>
      <c r="C62" s="600"/>
      <c r="D62" s="600"/>
      <c r="E62" s="600"/>
      <c r="F62" s="600"/>
      <c r="G62" s="600"/>
      <c r="H62" s="600"/>
      <c r="I62" s="600"/>
    </row>
    <row r="63" spans="1:37" x14ac:dyDescent="0.2">
      <c r="A63" s="600"/>
      <c r="B63" s="600"/>
      <c r="C63" s="600"/>
      <c r="D63" s="600"/>
      <c r="E63" s="600"/>
      <c r="F63" s="600"/>
      <c r="G63" s="600"/>
      <c r="H63" s="600"/>
      <c r="I63" s="600"/>
    </row>
    <row r="64" spans="1:37" x14ac:dyDescent="0.2">
      <c r="A64" s="600"/>
      <c r="B64" s="600"/>
      <c r="C64" s="600"/>
      <c r="D64" s="600"/>
      <c r="E64" s="600"/>
      <c r="F64" s="600"/>
      <c r="G64" s="600"/>
      <c r="H64" s="600"/>
      <c r="I64" s="600"/>
    </row>
    <row r="65" spans="1:9" x14ac:dyDescent="0.2">
      <c r="A65" s="600"/>
      <c r="B65" s="600"/>
      <c r="C65" s="600"/>
      <c r="D65" s="600"/>
      <c r="E65" s="600"/>
      <c r="F65" s="600"/>
      <c r="G65" s="600"/>
      <c r="H65" s="600"/>
      <c r="I65" s="600"/>
    </row>
    <row r="66" spans="1:9" x14ac:dyDescent="0.2">
      <c r="A66" s="600"/>
      <c r="B66" s="600"/>
      <c r="C66" s="600"/>
      <c r="D66" s="600"/>
      <c r="E66" s="600"/>
      <c r="F66" s="600"/>
      <c r="G66" s="600"/>
      <c r="H66" s="600"/>
      <c r="I66" s="600"/>
    </row>
    <row r="67" spans="1:9" x14ac:dyDescent="0.2">
      <c r="A67" s="600"/>
      <c r="B67" s="600"/>
      <c r="C67" s="600"/>
      <c r="D67" s="600"/>
      <c r="E67" s="600"/>
      <c r="F67" s="600"/>
      <c r="G67" s="600"/>
      <c r="H67" s="600"/>
      <c r="I67" s="600"/>
    </row>
    <row r="68" spans="1:9" x14ac:dyDescent="0.2">
      <c r="A68" s="600"/>
      <c r="B68" s="600"/>
      <c r="C68" s="600"/>
      <c r="D68" s="600"/>
      <c r="E68" s="600"/>
      <c r="F68" s="600"/>
      <c r="G68" s="600"/>
      <c r="H68" s="600"/>
      <c r="I68" s="600"/>
    </row>
    <row r="69" spans="1:9" x14ac:dyDescent="0.2">
      <c r="A69" s="600"/>
      <c r="B69" s="600"/>
      <c r="C69" s="600"/>
      <c r="D69" s="600"/>
      <c r="E69" s="600"/>
      <c r="F69" s="600"/>
      <c r="G69" s="600"/>
      <c r="H69" s="600"/>
      <c r="I69" s="600"/>
    </row>
    <row r="70" spans="1:9" x14ac:dyDescent="0.2">
      <c r="A70" s="600"/>
      <c r="B70" s="600"/>
      <c r="C70" s="600"/>
      <c r="D70" s="600"/>
      <c r="E70" s="600"/>
      <c r="F70" s="600"/>
      <c r="G70" s="600"/>
      <c r="H70" s="600"/>
      <c r="I70" s="600"/>
    </row>
    <row r="71" spans="1:9" x14ac:dyDescent="0.2">
      <c r="A71" s="600"/>
      <c r="B71" s="600"/>
      <c r="C71" s="600"/>
      <c r="D71" s="600"/>
      <c r="E71" s="600"/>
      <c r="F71" s="600"/>
      <c r="G71" s="600"/>
      <c r="H71" s="600"/>
      <c r="I71" s="600"/>
    </row>
    <row r="72" spans="1:9" x14ac:dyDescent="0.2">
      <c r="A72" s="600"/>
      <c r="B72" s="600"/>
      <c r="C72" s="600"/>
      <c r="D72" s="600"/>
      <c r="E72" s="600"/>
      <c r="F72" s="600"/>
      <c r="G72" s="600"/>
      <c r="H72" s="600"/>
      <c r="I72" s="600"/>
    </row>
    <row r="73" spans="1:9" x14ac:dyDescent="0.2">
      <c r="A73" s="600"/>
      <c r="B73" s="600"/>
      <c r="C73" s="600"/>
      <c r="D73" s="600"/>
      <c r="E73" s="600"/>
      <c r="F73" s="600"/>
      <c r="G73" s="600"/>
      <c r="H73" s="600"/>
      <c r="I73" s="600"/>
    </row>
    <row r="74" spans="1:9" x14ac:dyDescent="0.2">
      <c r="A74" s="600"/>
      <c r="B74" s="600"/>
      <c r="C74" s="600"/>
      <c r="D74" s="600"/>
      <c r="E74" s="600"/>
      <c r="F74" s="600"/>
      <c r="G74" s="600"/>
      <c r="H74" s="600"/>
      <c r="I74" s="600"/>
    </row>
    <row r="75" spans="1:9" x14ac:dyDescent="0.2">
      <c r="A75" s="600"/>
      <c r="B75" s="600"/>
      <c r="C75" s="600"/>
      <c r="D75" s="600"/>
      <c r="E75" s="600"/>
      <c r="F75" s="600"/>
      <c r="G75" s="600"/>
      <c r="H75" s="600"/>
      <c r="I75" s="600"/>
    </row>
    <row r="76" spans="1:9" x14ac:dyDescent="0.2">
      <c r="A76" s="600"/>
      <c r="B76" s="600"/>
      <c r="C76" s="600"/>
      <c r="D76" s="600"/>
      <c r="E76" s="600"/>
      <c r="F76" s="600"/>
      <c r="G76" s="600"/>
      <c r="H76" s="600"/>
      <c r="I76" s="600"/>
    </row>
    <row r="77" spans="1:9" x14ac:dyDescent="0.2">
      <c r="A77" s="600"/>
      <c r="B77" s="600"/>
      <c r="C77" s="600"/>
      <c r="D77" s="600"/>
      <c r="E77" s="600"/>
      <c r="F77" s="600"/>
      <c r="G77" s="600"/>
      <c r="H77" s="600"/>
      <c r="I77" s="600"/>
    </row>
    <row r="78" spans="1:9" x14ac:dyDescent="0.2">
      <c r="A78" s="600"/>
      <c r="B78" s="600"/>
      <c r="C78" s="600"/>
      <c r="D78" s="600"/>
      <c r="E78" s="600"/>
      <c r="F78" s="600"/>
      <c r="G78" s="600"/>
      <c r="H78" s="600"/>
      <c r="I78" s="600"/>
    </row>
    <row r="79" spans="1:9" x14ac:dyDescent="0.2">
      <c r="A79" s="600"/>
      <c r="B79" s="600"/>
      <c r="C79" s="600"/>
      <c r="D79" s="600"/>
      <c r="E79" s="600"/>
      <c r="F79" s="600"/>
      <c r="G79" s="600"/>
      <c r="H79" s="600"/>
      <c r="I79" s="600"/>
    </row>
    <row r="80" spans="1:9" x14ac:dyDescent="0.2">
      <c r="A80" s="600"/>
      <c r="B80" s="600"/>
      <c r="C80" s="600"/>
      <c r="D80" s="600"/>
      <c r="E80" s="600"/>
      <c r="F80" s="600"/>
      <c r="G80" s="600"/>
      <c r="H80" s="600"/>
      <c r="I80" s="600"/>
    </row>
    <row r="81" spans="1:9" x14ac:dyDescent="0.2">
      <c r="A81" s="600"/>
      <c r="B81" s="600"/>
      <c r="C81" s="600"/>
      <c r="D81" s="600"/>
      <c r="E81" s="600"/>
      <c r="F81" s="600"/>
      <c r="G81" s="600"/>
      <c r="H81" s="600"/>
      <c r="I81" s="600"/>
    </row>
    <row r="82" spans="1:9" x14ac:dyDescent="0.2">
      <c r="A82" s="600"/>
      <c r="B82" s="600"/>
      <c r="C82" s="600"/>
      <c r="D82" s="600"/>
      <c r="E82" s="600"/>
      <c r="F82" s="600"/>
      <c r="G82" s="600"/>
      <c r="H82" s="600"/>
      <c r="I82" s="600"/>
    </row>
    <row r="83" spans="1:9" x14ac:dyDescent="0.2">
      <c r="A83" s="600"/>
      <c r="B83" s="600"/>
      <c r="C83" s="600"/>
      <c r="D83" s="600"/>
      <c r="E83" s="600"/>
      <c r="F83" s="600"/>
      <c r="G83" s="600"/>
      <c r="H83" s="600"/>
      <c r="I83" s="600"/>
    </row>
    <row r="84" spans="1:9" x14ac:dyDescent="0.2">
      <c r="A84" s="600"/>
      <c r="B84" s="600"/>
      <c r="C84" s="600"/>
      <c r="D84" s="600"/>
      <c r="E84" s="600"/>
      <c r="F84" s="600"/>
      <c r="G84" s="600"/>
      <c r="H84" s="600"/>
      <c r="I84" s="600"/>
    </row>
    <row r="85" spans="1:9" x14ac:dyDescent="0.2">
      <c r="A85" s="600"/>
      <c r="B85" s="600"/>
      <c r="C85" s="600"/>
      <c r="D85" s="600"/>
      <c r="E85" s="600"/>
      <c r="F85" s="600"/>
      <c r="G85" s="600"/>
      <c r="H85" s="600"/>
      <c r="I85" s="600"/>
    </row>
    <row r="86" spans="1:9" x14ac:dyDescent="0.2">
      <c r="A86" s="600"/>
      <c r="B86" s="600"/>
      <c r="C86" s="600"/>
      <c r="D86" s="600"/>
      <c r="E86" s="600"/>
      <c r="F86" s="600"/>
      <c r="G86" s="600"/>
      <c r="H86" s="600"/>
      <c r="I86" s="600"/>
    </row>
    <row r="87" spans="1:9" x14ac:dyDescent="0.2">
      <c r="A87" s="600"/>
      <c r="B87" s="600"/>
      <c r="C87" s="600"/>
      <c r="D87" s="600"/>
      <c r="E87" s="600"/>
      <c r="F87" s="600"/>
      <c r="G87" s="600"/>
      <c r="H87" s="600"/>
      <c r="I87" s="600"/>
    </row>
    <row r="88" spans="1:9" x14ac:dyDescent="0.2">
      <c r="A88" s="600"/>
      <c r="B88" s="600"/>
      <c r="C88" s="600"/>
      <c r="D88" s="600"/>
      <c r="E88" s="600"/>
      <c r="F88" s="600"/>
      <c r="G88" s="600"/>
      <c r="H88" s="600"/>
      <c r="I88" s="600"/>
    </row>
    <row r="89" spans="1:9" x14ac:dyDescent="0.2">
      <c r="A89" s="600"/>
      <c r="B89" s="600"/>
      <c r="C89" s="600"/>
      <c r="D89" s="600"/>
      <c r="E89" s="600"/>
      <c r="F89" s="600"/>
      <c r="G89" s="600"/>
      <c r="H89" s="600"/>
      <c r="I89" s="600"/>
    </row>
    <row r="90" spans="1:9" x14ac:dyDescent="0.2">
      <c r="A90" s="600"/>
      <c r="B90" s="682"/>
      <c r="C90" s="682"/>
      <c r="D90" s="600"/>
      <c r="E90" s="600"/>
      <c r="F90" s="600"/>
      <c r="G90" s="600"/>
      <c r="H90" s="600"/>
      <c r="I90" s="600"/>
    </row>
    <row r="91" spans="1:9" x14ac:dyDescent="0.2">
      <c r="A91" s="659" t="s">
        <v>803</v>
      </c>
      <c r="B91" s="660" t="s">
        <v>592</v>
      </c>
      <c r="C91" s="661" t="s">
        <v>788</v>
      </c>
      <c r="D91" s="662" t="s">
        <v>596</v>
      </c>
      <c r="E91" s="663" t="s">
        <v>595</v>
      </c>
      <c r="F91" s="664" t="s">
        <v>594</v>
      </c>
      <c r="G91" s="665" t="s">
        <v>593</v>
      </c>
      <c r="H91" s="600"/>
      <c r="I91" s="600"/>
    </row>
    <row r="92" spans="1:9" x14ac:dyDescent="0.2">
      <c r="A92" s="600"/>
      <c r="B92" s="600"/>
      <c r="C92" s="600"/>
      <c r="D92" s="600"/>
      <c r="E92" s="600"/>
      <c r="F92" s="600"/>
      <c r="G92" s="600"/>
      <c r="H92" s="600"/>
      <c r="I92" s="600"/>
    </row>
    <row r="93" spans="1:9" x14ac:dyDescent="0.2">
      <c r="A93" s="600"/>
      <c r="B93" s="600"/>
      <c r="C93" s="600"/>
      <c r="D93" s="600"/>
      <c r="E93" s="600"/>
      <c r="F93" s="600"/>
      <c r="G93" s="600"/>
      <c r="H93" s="600"/>
      <c r="I93" s="600"/>
    </row>
    <row r="94" spans="1:9" x14ac:dyDescent="0.2">
      <c r="A94" s="600"/>
      <c r="B94" s="600"/>
      <c r="C94" s="600"/>
      <c r="D94" s="600"/>
      <c r="E94" s="600"/>
      <c r="F94" s="600"/>
      <c r="G94" s="600"/>
      <c r="H94" s="600"/>
      <c r="I94" s="600"/>
    </row>
    <row r="95" spans="1:9" x14ac:dyDescent="0.2">
      <c r="A95" s="600"/>
      <c r="B95" s="600"/>
      <c r="C95" s="1117">
        <v>0</v>
      </c>
      <c r="D95" s="1117"/>
      <c r="E95" s="1117"/>
      <c r="F95" s="600"/>
      <c r="G95" s="600"/>
      <c r="H95" s="600"/>
      <c r="I95" s="600"/>
    </row>
    <row r="96" spans="1:9" x14ac:dyDescent="0.2">
      <c r="A96" s="600"/>
      <c r="B96" s="600"/>
      <c r="C96" s="1117"/>
      <c r="D96" s="1117"/>
      <c r="E96" s="1117"/>
      <c r="F96" s="600"/>
      <c r="G96" s="600"/>
      <c r="H96" s="600"/>
      <c r="I96" s="600"/>
    </row>
    <row r="97" spans="1:9" x14ac:dyDescent="0.2">
      <c r="A97" s="600"/>
      <c r="B97" s="600"/>
      <c r="C97" s="600"/>
      <c r="D97" s="600"/>
      <c r="E97" s="600"/>
      <c r="F97" s="600"/>
      <c r="G97" s="600"/>
      <c r="H97" s="600"/>
      <c r="I97" s="600"/>
    </row>
    <row r="98" spans="1:9" x14ac:dyDescent="0.2">
      <c r="A98" s="600"/>
      <c r="B98" s="600"/>
      <c r="C98" s="600"/>
      <c r="D98" s="600"/>
      <c r="E98" s="600"/>
      <c r="F98" s="600"/>
      <c r="G98" s="600"/>
      <c r="H98" s="600"/>
      <c r="I98" s="600"/>
    </row>
    <row r="99" spans="1:9" x14ac:dyDescent="0.2">
      <c r="A99" s="600"/>
      <c r="B99" s="600"/>
      <c r="C99" s="600"/>
      <c r="D99" s="600"/>
      <c r="E99" s="600"/>
      <c r="F99" s="600"/>
      <c r="G99" s="600"/>
      <c r="H99" s="600"/>
      <c r="I99" s="600"/>
    </row>
    <row r="100" spans="1:9" x14ac:dyDescent="0.2">
      <c r="A100" s="600"/>
      <c r="B100" s="600"/>
      <c r="C100" s="600"/>
      <c r="D100" s="600"/>
      <c r="E100" s="600"/>
      <c r="F100" s="600"/>
      <c r="G100" s="600"/>
      <c r="H100" s="600"/>
      <c r="I100" s="600"/>
    </row>
    <row r="101" spans="1:9" x14ac:dyDescent="0.2">
      <c r="A101" s="600"/>
      <c r="B101" s="600"/>
      <c r="C101" s="600"/>
      <c r="D101" s="600"/>
      <c r="E101" s="600"/>
      <c r="F101" s="600"/>
      <c r="G101" s="600"/>
      <c r="H101" s="600"/>
      <c r="I101" s="600"/>
    </row>
    <row r="102" spans="1:9" x14ac:dyDescent="0.2">
      <c r="A102" s="600"/>
      <c r="B102" s="600"/>
      <c r="C102" s="600"/>
      <c r="D102" s="600"/>
      <c r="E102" s="600"/>
      <c r="F102" s="600"/>
      <c r="G102" s="600"/>
      <c r="H102" s="600"/>
      <c r="I102" s="600"/>
    </row>
  </sheetData>
  <mergeCells count="2">
    <mergeCell ref="A3:B3"/>
    <mergeCell ref="C95:E96"/>
  </mergeCells>
  <pageMargins left="0.19685039370078741" right="1.02" top="1.3779527559055118" bottom="0.39370078740157483" header="0.51181102362204722" footer="0.51181102362204722"/>
  <pageSetup paperSize="9" scale="57" orientation="landscape" horizontalDpi="4294967293" verticalDpi="0" r:id="rId1"/>
  <headerFooter alignWithMargins="0"/>
  <rowBreaks count="1" manualBreakCount="1">
    <brk id="50" max="16383" man="1"/>
  </rowBreaks>
  <colBreaks count="1" manualBreakCount="1">
    <brk id="9" max="1048575" man="1"/>
  </col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43">
    <tabColor indexed="13"/>
  </sheetPr>
  <dimension ref="A1:AK103"/>
  <sheetViews>
    <sheetView rightToLeft="1" topLeftCell="A28" workbookViewId="0">
      <selection activeCell="AL8" sqref="AL8"/>
    </sheetView>
  </sheetViews>
  <sheetFormatPr defaultRowHeight="12.75" x14ac:dyDescent="0.2"/>
  <cols>
    <col min="1" max="15" width="25.7109375" style="627" customWidth="1"/>
    <col min="16" max="16" width="7.7109375" style="627" customWidth="1"/>
    <col min="17" max="19" width="25.7109375" style="627" customWidth="1"/>
    <col min="20" max="16384" width="9.140625" style="627"/>
  </cols>
  <sheetData>
    <row r="1" spans="1:16" x14ac:dyDescent="0.2">
      <c r="A1" s="627" t="s">
        <v>433</v>
      </c>
      <c r="B1" s="685">
        <v>90</v>
      </c>
      <c r="D1" s="627" t="s">
        <v>163</v>
      </c>
      <c r="E1" s="685">
        <v>67</v>
      </c>
      <c r="F1" s="627" t="s">
        <v>231</v>
      </c>
      <c r="G1" s="686">
        <v>3</v>
      </c>
    </row>
    <row r="3" spans="1:16" ht="23.25" customHeight="1" x14ac:dyDescent="0.2">
      <c r="A3" s="1115" t="s">
        <v>793</v>
      </c>
      <c r="B3" s="1116"/>
    </row>
    <row r="4" spans="1:16" ht="24" customHeight="1" x14ac:dyDescent="0.2">
      <c r="B4" s="627" t="s">
        <v>625</v>
      </c>
      <c r="C4" s="629" t="s">
        <v>782</v>
      </c>
      <c r="D4" s="627" t="s">
        <v>794</v>
      </c>
      <c r="E4" s="627" t="s">
        <v>784</v>
      </c>
      <c r="F4" s="627" t="s">
        <v>785</v>
      </c>
      <c r="G4" s="627" t="s">
        <v>786</v>
      </c>
      <c r="L4" s="627" t="str">
        <f t="shared" ref="L4:M8" si="0">B4</f>
        <v>פיצויים נטו</v>
      </c>
      <c r="M4" s="630" t="str">
        <f t="shared" si="0"/>
        <v>כספים הפטורים במשיכה ח"פ בפרישה</v>
      </c>
      <c r="N4" s="627" t="str">
        <f>F4</f>
        <v>ע"נ של הקצבה</v>
      </c>
      <c r="O4" s="627" t="str">
        <f>G4</f>
        <v xml:space="preserve">סה"כ ע"נ </v>
      </c>
      <c r="P4" s="627" t="s">
        <v>270</v>
      </c>
    </row>
    <row r="5" spans="1:16" s="631" customFormat="1" ht="17.100000000000001" customHeight="1" x14ac:dyDescent="0.2">
      <c r="A5" s="631" t="s">
        <v>593</v>
      </c>
      <c r="B5" s="632"/>
      <c r="C5" s="632">
        <v>0</v>
      </c>
      <c r="D5" s="632">
        <f>SUM(B5:C5)</f>
        <v>0</v>
      </c>
      <c r="E5" s="632">
        <v>0</v>
      </c>
      <c r="F5" s="632">
        <f>PV(G1/100/12,(B1-E1)*12,E5,0,1)*(-1)</f>
        <v>0</v>
      </c>
      <c r="G5" s="632">
        <f>D5+F5</f>
        <v>0</v>
      </c>
      <c r="K5" s="631" t="s">
        <v>593</v>
      </c>
      <c r="L5" s="633">
        <f t="shared" si="0"/>
        <v>0</v>
      </c>
      <c r="M5" s="633">
        <f t="shared" si="0"/>
        <v>0</v>
      </c>
      <c r="N5" s="634">
        <f>F5</f>
        <v>0</v>
      </c>
      <c r="O5" s="632">
        <f>SUM(L5:N5)</f>
        <v>0</v>
      </c>
      <c r="P5" s="632">
        <f>O5-G5</f>
        <v>0</v>
      </c>
    </row>
    <row r="6" spans="1:16" s="635" customFormat="1" ht="17.100000000000001" customHeight="1" x14ac:dyDescent="0.2">
      <c r="A6" s="635" t="s">
        <v>594</v>
      </c>
      <c r="B6" s="636"/>
      <c r="C6" s="636">
        <v>0</v>
      </c>
      <c r="D6" s="636">
        <f>SUM(B6:C6)</f>
        <v>0</v>
      </c>
      <c r="E6" s="636">
        <v>0</v>
      </c>
      <c r="F6" s="636">
        <f>PV($G$1/100/12,($B$1-$E$1)*12,E6,,1)*(-1)</f>
        <v>0</v>
      </c>
      <c r="G6" s="636">
        <f>D6+F6</f>
        <v>0</v>
      </c>
      <c r="K6" s="635" t="s">
        <v>594</v>
      </c>
      <c r="L6" s="637">
        <f t="shared" si="0"/>
        <v>0</v>
      </c>
      <c r="M6" s="637">
        <f t="shared" si="0"/>
        <v>0</v>
      </c>
      <c r="N6" s="638">
        <f>F6</f>
        <v>0</v>
      </c>
      <c r="O6" s="636">
        <f>SUM(L6:N6)</f>
        <v>0</v>
      </c>
      <c r="P6" s="636">
        <f>O6-G6</f>
        <v>0</v>
      </c>
    </row>
    <row r="7" spans="1:16" s="639" customFormat="1" ht="17.100000000000001" customHeight="1" x14ac:dyDescent="0.2">
      <c r="A7" s="639" t="s">
        <v>595</v>
      </c>
      <c r="B7" s="324"/>
      <c r="C7" s="324">
        <v>0</v>
      </c>
      <c r="D7" s="324">
        <f>SUM(B7:C7)</f>
        <v>0</v>
      </c>
      <c r="E7" s="324">
        <v>0</v>
      </c>
      <c r="F7" s="324">
        <f>PV($G$1/100/12,($B$1-$E$1)*12,E7,,1)*(-1)</f>
        <v>0</v>
      </c>
      <c r="G7" s="324">
        <f>D7+F7</f>
        <v>0</v>
      </c>
      <c r="K7" s="639" t="s">
        <v>595</v>
      </c>
      <c r="L7" s="640">
        <f t="shared" si="0"/>
        <v>0</v>
      </c>
      <c r="M7" s="640">
        <f t="shared" si="0"/>
        <v>0</v>
      </c>
      <c r="N7" s="641">
        <f>F7</f>
        <v>0</v>
      </c>
      <c r="O7" s="324">
        <f>SUM(L7:N7)</f>
        <v>0</v>
      </c>
      <c r="P7" s="324">
        <f>O7-G7</f>
        <v>0</v>
      </c>
    </row>
    <row r="8" spans="1:16" s="642" customFormat="1" ht="17.100000000000001" customHeight="1" x14ac:dyDescent="0.2">
      <c r="A8" s="642" t="s">
        <v>596</v>
      </c>
      <c r="B8" s="643"/>
      <c r="C8" s="643">
        <v>0</v>
      </c>
      <c r="D8" s="643">
        <f>SUM(B8:C8)</f>
        <v>0</v>
      </c>
      <c r="E8" s="643">
        <v>0</v>
      </c>
      <c r="F8" s="643">
        <f>PV($G$1/100/12,($B$1-$E$1)*12,E8,,1)*(-1)</f>
        <v>0</v>
      </c>
      <c r="G8" s="643">
        <f>D8+F8</f>
        <v>0</v>
      </c>
      <c r="K8" s="642" t="s">
        <v>596</v>
      </c>
      <c r="L8" s="644">
        <f t="shared" si="0"/>
        <v>0</v>
      </c>
      <c r="M8" s="644">
        <f t="shared" si="0"/>
        <v>0</v>
      </c>
      <c r="N8" s="645">
        <f>F8</f>
        <v>0</v>
      </c>
      <c r="O8" s="643">
        <f>SUM(L8:N8)</f>
        <v>0</v>
      </c>
      <c r="P8" s="643">
        <f>O8-G8</f>
        <v>0</v>
      </c>
    </row>
    <row r="9" spans="1:16" s="621" customFormat="1" ht="17.100000000000001" customHeight="1" x14ac:dyDescent="0.2">
      <c r="A9" s="606" t="s">
        <v>591</v>
      </c>
      <c r="B9" s="607"/>
      <c r="C9" s="608">
        <v>0</v>
      </c>
      <c r="D9" s="608">
        <f>C9+B9</f>
        <v>0</v>
      </c>
      <c r="E9" s="608">
        <v>0</v>
      </c>
      <c r="F9" s="608">
        <f>PV(G1/100/12,(B1-E1)*12,E9,0,1)*(-1)</f>
        <v>0</v>
      </c>
      <c r="G9" s="608">
        <f>C9+F9+B9</f>
        <v>0</v>
      </c>
    </row>
    <row r="10" spans="1:16" s="620" customFormat="1" ht="17.100000000000001" customHeight="1" x14ac:dyDescent="0.2">
      <c r="A10" s="609" t="s">
        <v>592</v>
      </c>
      <c r="B10" s="610"/>
      <c r="C10" s="611">
        <v>0</v>
      </c>
      <c r="D10" s="611">
        <f>C10+B10</f>
        <v>0</v>
      </c>
      <c r="E10" s="611">
        <v>0</v>
      </c>
      <c r="F10" s="611">
        <f>PV(G1/100/12,(B1-E1)*12,E10,0,1)*(-1)</f>
        <v>0</v>
      </c>
      <c r="G10" s="611">
        <f>C10+F10+B10</f>
        <v>0</v>
      </c>
    </row>
    <row r="11" spans="1:16" s="325" customFormat="1" ht="17.100000000000001" customHeight="1" x14ac:dyDescent="0.2">
      <c r="A11" s="325" t="s">
        <v>813</v>
      </c>
      <c r="B11" s="326"/>
      <c r="C11" s="326">
        <v>0</v>
      </c>
      <c r="D11" s="326">
        <f>SUM(B11:C11)</f>
        <v>0</v>
      </c>
      <c r="E11" s="326">
        <v>0</v>
      </c>
      <c r="F11" s="326">
        <f>PV($G$1/100/12,($B$1-$E$1)*12,E11,,1)*(-1)</f>
        <v>0</v>
      </c>
      <c r="G11" s="326">
        <f>D11+F11</f>
        <v>0</v>
      </c>
      <c r="K11" s="325" t="s">
        <v>594</v>
      </c>
      <c r="L11" s="687">
        <f>B11</f>
        <v>0</v>
      </c>
      <c r="M11" s="687">
        <f>C11</f>
        <v>0</v>
      </c>
      <c r="N11" s="688">
        <f>F11</f>
        <v>0</v>
      </c>
      <c r="O11" s="326">
        <f>SUM(L11:N11)</f>
        <v>0</v>
      </c>
      <c r="P11" s="326">
        <f>O11-G11</f>
        <v>0</v>
      </c>
    </row>
    <row r="12" spans="1:16" s="689" customFormat="1" x14ac:dyDescent="0.2">
      <c r="A12" s="689" t="s">
        <v>814</v>
      </c>
      <c r="B12" s="690"/>
      <c r="C12" s="690">
        <v>0</v>
      </c>
      <c r="D12" s="691">
        <f>SUM(B12:C12)</f>
        <v>0</v>
      </c>
      <c r="E12" s="692"/>
      <c r="F12" s="691">
        <f>PV($G$1/100/12,($B$1-$E$1)*12,E12,,1)*(-1)</f>
        <v>0</v>
      </c>
      <c r="G12" s="691">
        <f>D12+F12</f>
        <v>0</v>
      </c>
    </row>
    <row r="42" spans="1:8" ht="12.75" customHeight="1" x14ac:dyDescent="0.2">
      <c r="A42" s="627" t="s">
        <v>795</v>
      </c>
      <c r="B42" s="627" t="s">
        <v>796</v>
      </c>
      <c r="C42" s="627" t="s">
        <v>797</v>
      </c>
      <c r="D42" s="627" t="s">
        <v>798</v>
      </c>
      <c r="E42" s="627" t="s">
        <v>799</v>
      </c>
      <c r="F42" s="627" t="s">
        <v>800</v>
      </c>
      <c r="G42" s="627" t="s">
        <v>801</v>
      </c>
      <c r="H42" s="627" t="s">
        <v>802</v>
      </c>
    </row>
    <row r="43" spans="1:8" s="647" customFormat="1" ht="12.75" customHeight="1" x14ac:dyDescent="0.2">
      <c r="A43" s="646">
        <f>PV(1.5/100/12,(B1-E1)*12,E5,0,1)*(-1)</f>
        <v>0</v>
      </c>
      <c r="B43" s="646">
        <f>PV(2.5/100/12,(B1-E1)*12,E5,0,1)*(-1)</f>
        <v>0</v>
      </c>
      <c r="C43" s="646">
        <f>PV(3/100/12,(B1-E1)*12,E5,0,1)*(-1)</f>
        <v>0</v>
      </c>
      <c r="D43" s="646">
        <f>PV(3.5/100/12,($B1-$E1)*12,$E5,0,1)*(-1)</f>
        <v>0</v>
      </c>
      <c r="E43" s="646">
        <f>PV(4/100/12,($B1-$E1)*12,$E5,0,1)*(-1)</f>
        <v>0</v>
      </c>
      <c r="F43" s="646">
        <f>PV(4.5/100/12,(B1-E1)*12,E5,0,1)*(-1)</f>
        <v>0</v>
      </c>
      <c r="G43" s="646">
        <f>PV(5.5/100/12,(B1-E1)*12,E5,0,1)*(-1)</f>
        <v>0</v>
      </c>
      <c r="H43" s="646">
        <f>PV(6.5/100/12,(B1-E1)*12,E5,0,1)*(-1)</f>
        <v>0</v>
      </c>
    </row>
    <row r="44" spans="1:8" s="649" customFormat="1" ht="12.75" customHeight="1" x14ac:dyDescent="0.2">
      <c r="A44" s="648">
        <f t="shared" ref="A44:A49" si="1">PV(1.5/100/12,($B$1-$E$1)*12,E6,,1)*(-1)</f>
        <v>0</v>
      </c>
      <c r="B44" s="648">
        <f t="shared" ref="B44:B49" si="2">PV(2.5/100/12,($B$1-$E$1)*12,E6,,1)*(-1)</f>
        <v>0</v>
      </c>
      <c r="C44" s="648">
        <f t="shared" ref="C44:C49" si="3">PV(3/100/12,($B$1-$E$1)*12,E6,,1)*(-1)</f>
        <v>0</v>
      </c>
      <c r="D44" s="648">
        <f t="shared" ref="D44:D50" si="4">PV(3.5/100/12,($B$1-$E$1)*12,$E6,,1)*(-1)</f>
        <v>0</v>
      </c>
      <c r="E44" s="648">
        <f t="shared" ref="E44:E50" si="5">PV(4/100/12,($B$1-$E$1)*12,$E6,,1)*(-1)</f>
        <v>0</v>
      </c>
      <c r="F44" s="648">
        <f t="shared" ref="F44:F49" si="6">PV(4.5/100/12,($B$1-$E$1)*12,E6,,1)*(-1)</f>
        <v>0</v>
      </c>
      <c r="G44" s="648">
        <f t="shared" ref="G44:G49" si="7">PV(5.5/100/12,($B$1-$E$1)*12,E6,,1)*(-1)</f>
        <v>0</v>
      </c>
      <c r="H44" s="648">
        <f t="shared" ref="H44:H49" si="8">PV(6.5/100/12,($B$1-$E$1)*12,E6,,1)*(-1)</f>
        <v>0</v>
      </c>
    </row>
    <row r="45" spans="1:8" s="651" customFormat="1" ht="12.75" customHeight="1" x14ac:dyDescent="0.2">
      <c r="A45" s="650">
        <f t="shared" si="1"/>
        <v>0</v>
      </c>
      <c r="B45" s="650">
        <f t="shared" si="2"/>
        <v>0</v>
      </c>
      <c r="C45" s="650">
        <f t="shared" si="3"/>
        <v>0</v>
      </c>
      <c r="D45" s="650">
        <f t="shared" si="4"/>
        <v>0</v>
      </c>
      <c r="E45" s="650">
        <f t="shared" si="5"/>
        <v>0</v>
      </c>
      <c r="F45" s="650">
        <f t="shared" si="6"/>
        <v>0</v>
      </c>
      <c r="G45" s="650">
        <f t="shared" si="7"/>
        <v>0</v>
      </c>
      <c r="H45" s="650">
        <f t="shared" si="8"/>
        <v>0</v>
      </c>
    </row>
    <row r="46" spans="1:8" s="653" customFormat="1" ht="12.75" customHeight="1" x14ac:dyDescent="0.2">
      <c r="A46" s="652">
        <f t="shared" si="1"/>
        <v>0</v>
      </c>
      <c r="B46" s="652">
        <f t="shared" si="2"/>
        <v>0</v>
      </c>
      <c r="C46" s="652">
        <f t="shared" si="3"/>
        <v>0</v>
      </c>
      <c r="D46" s="652">
        <f t="shared" si="4"/>
        <v>0</v>
      </c>
      <c r="E46" s="652">
        <f t="shared" si="5"/>
        <v>0</v>
      </c>
      <c r="F46" s="652">
        <f t="shared" si="6"/>
        <v>0</v>
      </c>
      <c r="G46" s="652">
        <f t="shared" si="7"/>
        <v>0</v>
      </c>
      <c r="H46" s="652">
        <f t="shared" si="8"/>
        <v>0</v>
      </c>
    </row>
    <row r="47" spans="1:8" s="655" customFormat="1" ht="12.75" customHeight="1" x14ac:dyDescent="0.2">
      <c r="A47" s="654">
        <f t="shared" si="1"/>
        <v>0</v>
      </c>
      <c r="B47" s="654">
        <f t="shared" si="2"/>
        <v>0</v>
      </c>
      <c r="C47" s="654">
        <f t="shared" si="3"/>
        <v>0</v>
      </c>
      <c r="D47" s="654">
        <f t="shared" si="4"/>
        <v>0</v>
      </c>
      <c r="E47" s="654">
        <f t="shared" si="5"/>
        <v>0</v>
      </c>
      <c r="F47" s="654">
        <f t="shared" si="6"/>
        <v>0</v>
      </c>
      <c r="G47" s="654">
        <f t="shared" si="7"/>
        <v>0</v>
      </c>
      <c r="H47" s="654">
        <f t="shared" si="8"/>
        <v>0</v>
      </c>
    </row>
    <row r="48" spans="1:8" s="657" customFormat="1" ht="12.75" customHeight="1" x14ac:dyDescent="0.2">
      <c r="A48" s="656">
        <f t="shared" si="1"/>
        <v>0</v>
      </c>
      <c r="B48" s="656">
        <f t="shared" si="2"/>
        <v>0</v>
      </c>
      <c r="C48" s="656">
        <f t="shared" si="3"/>
        <v>0</v>
      </c>
      <c r="D48" s="656">
        <f t="shared" si="4"/>
        <v>0</v>
      </c>
      <c r="E48" s="656">
        <f t="shared" si="5"/>
        <v>0</v>
      </c>
      <c r="F48" s="656">
        <f t="shared" si="6"/>
        <v>0</v>
      </c>
      <c r="G48" s="656">
        <f t="shared" si="7"/>
        <v>0</v>
      </c>
      <c r="H48" s="656">
        <f t="shared" si="8"/>
        <v>0</v>
      </c>
    </row>
    <row r="49" spans="1:37" s="694" customFormat="1" ht="12.75" customHeight="1" x14ac:dyDescent="0.2">
      <c r="A49" s="693">
        <f t="shared" si="1"/>
        <v>0</v>
      </c>
      <c r="B49" s="693">
        <f t="shared" si="2"/>
        <v>0</v>
      </c>
      <c r="C49" s="693">
        <f t="shared" si="3"/>
        <v>0</v>
      </c>
      <c r="D49" s="693">
        <f t="shared" si="4"/>
        <v>0</v>
      </c>
      <c r="E49" s="693">
        <f t="shared" si="5"/>
        <v>0</v>
      </c>
      <c r="F49" s="693">
        <f t="shared" si="6"/>
        <v>0</v>
      </c>
      <c r="G49" s="693">
        <f t="shared" si="7"/>
        <v>0</v>
      </c>
      <c r="H49" s="693">
        <f t="shared" si="8"/>
        <v>0</v>
      </c>
    </row>
    <row r="50" spans="1:37" ht="24" customHeight="1" x14ac:dyDescent="0.2">
      <c r="A50" s="695">
        <f>PV(1.5/100/12,($B$1-$E$1)*12,E12,,1)*(-1)</f>
        <v>0</v>
      </c>
      <c r="B50" s="695">
        <f>PV(2.5/100/12,($B$1-$E$1)*12,E12,,1)*(-1)</f>
        <v>0</v>
      </c>
      <c r="C50" s="695">
        <f>PV(3/100/12,($B$1-$E$1)*12,E12,,1)*(-1)</f>
        <v>0</v>
      </c>
      <c r="D50" s="695">
        <f t="shared" si="4"/>
        <v>0</v>
      </c>
      <c r="E50" s="695">
        <f t="shared" si="5"/>
        <v>0</v>
      </c>
      <c r="F50" s="695">
        <f>PV(4.5/100/12,($B$1-$E$1)*12,E12,,1)*(-1)</f>
        <v>0</v>
      </c>
      <c r="G50" s="695">
        <f>PV(5.5/100/12,($B$1-$E$1)*12,E12,,1)*(-1)</f>
        <v>0</v>
      </c>
      <c r="H50" s="695">
        <f>PV(6.5/100/12,($B$1-$E$1)*12,E12,,1)*(-1)</f>
        <v>0</v>
      </c>
    </row>
    <row r="51" spans="1:37" ht="24" customHeight="1" x14ac:dyDescent="0.2">
      <c r="A51" s="658"/>
      <c r="B51" s="658"/>
      <c r="C51" s="658"/>
      <c r="D51" s="658"/>
      <c r="E51" s="658"/>
      <c r="F51" s="658"/>
      <c r="G51" s="658"/>
      <c r="H51" s="658"/>
    </row>
    <row r="52" spans="1:37" x14ac:dyDescent="0.2">
      <c r="A52" s="659" t="s">
        <v>803</v>
      </c>
      <c r="B52" s="660" t="s">
        <v>592</v>
      </c>
      <c r="C52" s="661" t="s">
        <v>788</v>
      </c>
      <c r="D52" s="662" t="s">
        <v>596</v>
      </c>
      <c r="E52" s="663" t="s">
        <v>595</v>
      </c>
      <c r="F52" s="664" t="s">
        <v>594</v>
      </c>
      <c r="G52" s="665" t="s">
        <v>593</v>
      </c>
      <c r="H52" s="626"/>
      <c r="I52" s="626"/>
    </row>
    <row r="53" spans="1:37" ht="12.75" customHeight="1" x14ac:dyDescent="0.2">
      <c r="A53" s="666"/>
      <c r="B53" s="666"/>
      <c r="C53" s="666"/>
      <c r="D53" s="658"/>
      <c r="E53" s="658"/>
      <c r="F53" s="658"/>
      <c r="G53" s="658"/>
      <c r="H53" s="658"/>
      <c r="I53" s="626"/>
    </row>
    <row r="54" spans="1:37" ht="12.75" customHeight="1" x14ac:dyDescent="0.2">
      <c r="A54" s="667" t="s">
        <v>804</v>
      </c>
      <c r="B54" s="696">
        <f>B1</f>
        <v>90</v>
      </c>
      <c r="C54" s="666"/>
      <c r="D54" s="658"/>
      <c r="E54" s="658"/>
      <c r="F54" s="658"/>
      <c r="G54" s="658"/>
      <c r="H54" s="658"/>
      <c r="I54" s="626"/>
    </row>
    <row r="55" spans="1:37" ht="12.75" customHeight="1" x14ac:dyDescent="0.2">
      <c r="A55" s="669"/>
      <c r="B55" s="669"/>
      <c r="C55" s="669"/>
      <c r="D55" s="626"/>
      <c r="E55" s="626"/>
      <c r="F55" s="626"/>
      <c r="G55" s="626"/>
      <c r="H55" s="626"/>
      <c r="I55" s="626"/>
    </row>
    <row r="56" spans="1:37" x14ac:dyDescent="0.2">
      <c r="A56" s="626" t="s">
        <v>805</v>
      </c>
      <c r="B56" s="670" t="s">
        <v>806</v>
      </c>
      <c r="C56" s="626" t="s">
        <v>807</v>
      </c>
      <c r="D56" s="626" t="s">
        <v>809</v>
      </c>
      <c r="E56" s="626" t="s">
        <v>809</v>
      </c>
      <c r="F56" s="626" t="s">
        <v>810</v>
      </c>
      <c r="G56" s="626" t="s">
        <v>811</v>
      </c>
      <c r="H56" s="626" t="s">
        <v>812</v>
      </c>
      <c r="I56" s="626"/>
    </row>
    <row r="57" spans="1:37" x14ac:dyDescent="0.2">
      <c r="A57" s="671">
        <f t="shared" ref="A57:H57" si="9">A43+$D$5</f>
        <v>0</v>
      </c>
      <c r="B57" s="671">
        <f t="shared" si="9"/>
        <v>0</v>
      </c>
      <c r="C57" s="671">
        <f t="shared" si="9"/>
        <v>0</v>
      </c>
      <c r="D57" s="671">
        <f t="shared" si="9"/>
        <v>0</v>
      </c>
      <c r="E57" s="671">
        <f t="shared" si="9"/>
        <v>0</v>
      </c>
      <c r="F57" s="671">
        <f t="shared" si="9"/>
        <v>0</v>
      </c>
      <c r="G57" s="671">
        <f t="shared" si="9"/>
        <v>0</v>
      </c>
      <c r="H57" s="671">
        <f t="shared" si="9"/>
        <v>0</v>
      </c>
      <c r="I57" s="626"/>
    </row>
    <row r="58" spans="1:37" x14ac:dyDescent="0.2">
      <c r="A58" s="672">
        <f t="shared" ref="A58:H58" si="10">A44+$D$6</f>
        <v>0</v>
      </c>
      <c r="B58" s="672">
        <f t="shared" si="10"/>
        <v>0</v>
      </c>
      <c r="C58" s="672">
        <f t="shared" si="10"/>
        <v>0</v>
      </c>
      <c r="D58" s="672">
        <f t="shared" si="10"/>
        <v>0</v>
      </c>
      <c r="E58" s="672">
        <f t="shared" si="10"/>
        <v>0</v>
      </c>
      <c r="F58" s="672">
        <f t="shared" si="10"/>
        <v>0</v>
      </c>
      <c r="G58" s="672">
        <f t="shared" si="10"/>
        <v>0</v>
      </c>
      <c r="H58" s="672">
        <f t="shared" si="10"/>
        <v>0</v>
      </c>
      <c r="I58" s="626"/>
    </row>
    <row r="59" spans="1:37" x14ac:dyDescent="0.2">
      <c r="A59" s="673">
        <f t="shared" ref="A59:H59" si="11">A45+$D$7</f>
        <v>0</v>
      </c>
      <c r="B59" s="673">
        <f t="shared" si="11"/>
        <v>0</v>
      </c>
      <c r="C59" s="673">
        <f t="shared" si="11"/>
        <v>0</v>
      </c>
      <c r="D59" s="673">
        <f t="shared" si="11"/>
        <v>0</v>
      </c>
      <c r="E59" s="673">
        <f t="shared" si="11"/>
        <v>0</v>
      </c>
      <c r="F59" s="673">
        <f t="shared" si="11"/>
        <v>0</v>
      </c>
      <c r="G59" s="673">
        <f t="shared" si="11"/>
        <v>0</v>
      </c>
      <c r="H59" s="673">
        <f t="shared" si="11"/>
        <v>0</v>
      </c>
      <c r="I59" s="678"/>
      <c r="J59" s="678"/>
    </row>
    <row r="60" spans="1:37" s="628" customFormat="1" x14ac:dyDescent="0.2">
      <c r="A60" s="674">
        <f t="shared" ref="A60:H60" si="12">A46+$D$8</f>
        <v>0</v>
      </c>
      <c r="B60" s="674">
        <f t="shared" si="12"/>
        <v>0</v>
      </c>
      <c r="C60" s="674">
        <f t="shared" si="12"/>
        <v>0</v>
      </c>
      <c r="D60" s="674">
        <f t="shared" si="12"/>
        <v>0</v>
      </c>
      <c r="E60" s="674">
        <f t="shared" si="12"/>
        <v>0</v>
      </c>
      <c r="F60" s="674">
        <f t="shared" si="12"/>
        <v>0</v>
      </c>
      <c r="G60" s="674">
        <f t="shared" si="12"/>
        <v>0</v>
      </c>
      <c r="H60" s="674">
        <f t="shared" si="12"/>
        <v>0</v>
      </c>
      <c r="I60" s="678"/>
      <c r="J60" s="678"/>
      <c r="K60" s="675"/>
    </row>
    <row r="61" spans="1:37" s="679" customFormat="1" x14ac:dyDescent="0.2">
      <c r="A61" s="676">
        <f>A47+$D$9</f>
        <v>0</v>
      </c>
      <c r="B61" s="676">
        <f t="shared" ref="B61:H61" si="13">B47+$D$9</f>
        <v>0</v>
      </c>
      <c r="C61" s="676">
        <f t="shared" si="13"/>
        <v>0</v>
      </c>
      <c r="D61" s="676">
        <f t="shared" si="13"/>
        <v>0</v>
      </c>
      <c r="E61" s="676">
        <f t="shared" si="13"/>
        <v>0</v>
      </c>
      <c r="F61" s="676">
        <f t="shared" si="13"/>
        <v>0</v>
      </c>
      <c r="G61" s="676">
        <f t="shared" si="13"/>
        <v>0</v>
      </c>
      <c r="H61" s="676">
        <f t="shared" si="13"/>
        <v>0</v>
      </c>
      <c r="I61" s="678"/>
      <c r="J61" s="678"/>
      <c r="K61" s="677"/>
      <c r="L61" s="678"/>
      <c r="M61" s="678"/>
      <c r="N61" s="678"/>
      <c r="O61" s="678"/>
      <c r="P61" s="678"/>
      <c r="Q61" s="678"/>
      <c r="R61" s="678"/>
      <c r="S61" s="678"/>
      <c r="T61" s="678"/>
      <c r="U61" s="678"/>
      <c r="V61" s="678"/>
      <c r="W61" s="678"/>
      <c r="X61" s="678"/>
      <c r="Y61" s="678"/>
      <c r="Z61" s="678"/>
      <c r="AA61" s="678"/>
      <c r="AB61" s="678"/>
      <c r="AC61" s="678"/>
      <c r="AD61" s="678"/>
      <c r="AE61" s="678"/>
      <c r="AF61" s="678"/>
      <c r="AG61" s="678"/>
      <c r="AH61" s="678"/>
      <c r="AI61" s="678"/>
      <c r="AJ61" s="678"/>
      <c r="AK61" s="678"/>
    </row>
    <row r="62" spans="1:37" s="681" customFormat="1" x14ac:dyDescent="0.2">
      <c r="A62" s="680">
        <f t="shared" ref="A62:H62" si="14">A48+$D$10</f>
        <v>0</v>
      </c>
      <c r="B62" s="680">
        <f t="shared" si="14"/>
        <v>0</v>
      </c>
      <c r="C62" s="680">
        <f t="shared" si="14"/>
        <v>0</v>
      </c>
      <c r="D62" s="680">
        <f t="shared" si="14"/>
        <v>0</v>
      </c>
      <c r="E62" s="680">
        <f t="shared" si="14"/>
        <v>0</v>
      </c>
      <c r="F62" s="680">
        <f t="shared" si="14"/>
        <v>0</v>
      </c>
      <c r="G62" s="680">
        <f t="shared" si="14"/>
        <v>0</v>
      </c>
      <c r="H62" s="680">
        <f t="shared" si="14"/>
        <v>0</v>
      </c>
      <c r="I62" s="678"/>
      <c r="J62" s="678"/>
      <c r="K62" s="677"/>
      <c r="L62" s="678"/>
      <c r="M62" s="678"/>
      <c r="N62" s="678"/>
      <c r="O62" s="678"/>
      <c r="P62" s="678"/>
      <c r="Q62" s="678"/>
      <c r="R62" s="678"/>
      <c r="S62" s="678"/>
      <c r="T62" s="678"/>
      <c r="U62" s="678"/>
      <c r="V62" s="678"/>
      <c r="W62" s="678"/>
      <c r="X62" s="678"/>
      <c r="Y62" s="678"/>
      <c r="Z62" s="678"/>
      <c r="AA62" s="678"/>
      <c r="AB62" s="678"/>
      <c r="AC62" s="678"/>
      <c r="AD62" s="678"/>
      <c r="AE62" s="678"/>
      <c r="AF62" s="678"/>
      <c r="AG62" s="678"/>
      <c r="AH62" s="678"/>
      <c r="AI62" s="678"/>
      <c r="AJ62" s="678"/>
      <c r="AK62" s="678"/>
    </row>
    <row r="63" spans="1:37" s="699" customFormat="1" x14ac:dyDescent="0.2">
      <c r="A63" s="697">
        <f t="shared" ref="A63:H64" si="15">A49+$D$11</f>
        <v>0</v>
      </c>
      <c r="B63" s="697">
        <f t="shared" si="15"/>
        <v>0</v>
      </c>
      <c r="C63" s="697">
        <f t="shared" si="15"/>
        <v>0</v>
      </c>
      <c r="D63" s="697">
        <f t="shared" si="15"/>
        <v>0</v>
      </c>
      <c r="E63" s="697">
        <f t="shared" si="15"/>
        <v>0</v>
      </c>
      <c r="F63" s="697">
        <f t="shared" si="15"/>
        <v>0</v>
      </c>
      <c r="G63" s="697">
        <f t="shared" si="15"/>
        <v>0</v>
      </c>
      <c r="H63" s="697">
        <f t="shared" si="15"/>
        <v>0</v>
      </c>
      <c r="I63" s="678"/>
      <c r="J63" s="678"/>
      <c r="K63" s="698"/>
    </row>
    <row r="64" spans="1:37" s="701" customFormat="1" x14ac:dyDescent="0.2">
      <c r="A64" s="700">
        <f t="shared" si="15"/>
        <v>0</v>
      </c>
      <c r="B64" s="700">
        <f t="shared" si="15"/>
        <v>0</v>
      </c>
      <c r="C64" s="700">
        <f t="shared" si="15"/>
        <v>0</v>
      </c>
      <c r="D64" s="700">
        <f t="shared" si="15"/>
        <v>0</v>
      </c>
      <c r="E64" s="700">
        <f t="shared" si="15"/>
        <v>0</v>
      </c>
      <c r="F64" s="700">
        <f t="shared" si="15"/>
        <v>0</v>
      </c>
      <c r="G64" s="700">
        <f t="shared" si="15"/>
        <v>0</v>
      </c>
      <c r="H64" s="700">
        <f t="shared" si="15"/>
        <v>0</v>
      </c>
      <c r="I64" s="678"/>
      <c r="J64" s="678"/>
    </row>
    <row r="65" spans="1:10" x14ac:dyDescent="0.2">
      <c r="A65" s="626"/>
      <c r="B65" s="626"/>
      <c r="C65" s="626"/>
      <c r="D65" s="626"/>
      <c r="E65" s="626"/>
      <c r="F65" s="626"/>
      <c r="G65" s="626"/>
      <c r="H65" s="626"/>
      <c r="I65" s="678"/>
      <c r="J65" s="678"/>
    </row>
    <row r="66" spans="1:10" x14ac:dyDescent="0.2">
      <c r="A66" s="626"/>
      <c r="B66" s="626"/>
      <c r="C66" s="626"/>
      <c r="D66" s="626"/>
      <c r="E66" s="626"/>
      <c r="F66" s="626"/>
      <c r="G66" s="626"/>
      <c r="H66" s="626"/>
      <c r="I66" s="626"/>
    </row>
    <row r="67" spans="1:10" x14ac:dyDescent="0.2">
      <c r="A67" s="626"/>
      <c r="B67" s="626"/>
      <c r="C67" s="626"/>
      <c r="D67" s="626"/>
      <c r="E67" s="626"/>
      <c r="F67" s="626"/>
      <c r="G67" s="626"/>
      <c r="H67" s="626"/>
      <c r="I67" s="626"/>
    </row>
    <row r="68" spans="1:10" x14ac:dyDescent="0.2">
      <c r="A68" s="626"/>
      <c r="B68" s="626"/>
      <c r="C68" s="626"/>
      <c r="D68" s="626"/>
      <c r="E68" s="626"/>
      <c r="F68" s="626"/>
      <c r="G68" s="626"/>
      <c r="H68" s="626"/>
      <c r="I68" s="626"/>
    </row>
    <row r="69" spans="1:10" x14ac:dyDescent="0.2">
      <c r="A69" s="626"/>
      <c r="B69" s="626"/>
      <c r="C69" s="626"/>
      <c r="D69" s="626"/>
      <c r="E69" s="626"/>
      <c r="F69" s="626"/>
      <c r="G69" s="626"/>
      <c r="H69" s="626"/>
      <c r="I69" s="626"/>
    </row>
    <row r="70" spans="1:10" x14ac:dyDescent="0.2">
      <c r="A70" s="626"/>
      <c r="B70" s="626"/>
      <c r="C70" s="626"/>
      <c r="D70" s="626"/>
      <c r="E70" s="626"/>
      <c r="F70" s="626"/>
      <c r="G70" s="626"/>
      <c r="H70" s="626"/>
      <c r="I70" s="626"/>
    </row>
    <row r="71" spans="1:10" x14ac:dyDescent="0.2">
      <c r="A71" s="626"/>
      <c r="B71" s="626"/>
      <c r="C71" s="626"/>
      <c r="D71" s="626"/>
      <c r="E71" s="626"/>
      <c r="F71" s="626"/>
      <c r="G71" s="626"/>
      <c r="H71" s="626"/>
      <c r="I71" s="626"/>
    </row>
    <row r="72" spans="1:10" x14ac:dyDescent="0.2">
      <c r="A72" s="626"/>
      <c r="B72" s="626"/>
      <c r="C72" s="626"/>
      <c r="D72" s="626"/>
      <c r="E72" s="626"/>
      <c r="F72" s="626"/>
      <c r="G72" s="626"/>
      <c r="H72" s="626"/>
      <c r="I72" s="626"/>
    </row>
    <row r="73" spans="1:10" x14ac:dyDescent="0.2">
      <c r="A73" s="626"/>
      <c r="B73" s="626"/>
      <c r="C73" s="626"/>
      <c r="D73" s="626"/>
      <c r="E73" s="626"/>
      <c r="F73" s="626"/>
      <c r="G73" s="626"/>
      <c r="H73" s="626"/>
      <c r="I73" s="626"/>
    </row>
    <row r="74" spans="1:10" x14ac:dyDescent="0.2">
      <c r="A74" s="626"/>
      <c r="B74" s="626"/>
      <c r="C74" s="626"/>
      <c r="D74" s="626"/>
      <c r="E74" s="626"/>
      <c r="F74" s="626"/>
      <c r="G74" s="626"/>
      <c r="H74" s="626"/>
      <c r="I74" s="626"/>
    </row>
    <row r="75" spans="1:10" x14ac:dyDescent="0.2">
      <c r="A75" s="626"/>
      <c r="B75" s="626"/>
      <c r="C75" s="626"/>
      <c r="D75" s="626"/>
      <c r="E75" s="626"/>
      <c r="F75" s="626"/>
      <c r="G75" s="626"/>
      <c r="H75" s="626"/>
      <c r="I75" s="626"/>
    </row>
    <row r="76" spans="1:10" x14ac:dyDescent="0.2">
      <c r="A76" s="626"/>
      <c r="B76" s="626"/>
      <c r="C76" s="626"/>
      <c r="D76" s="626"/>
      <c r="E76" s="626"/>
      <c r="F76" s="626"/>
      <c r="G76" s="626"/>
      <c r="H76" s="626"/>
      <c r="I76" s="626"/>
    </row>
    <row r="77" spans="1:10" x14ac:dyDescent="0.2">
      <c r="A77" s="626"/>
      <c r="B77" s="626"/>
      <c r="C77" s="626"/>
      <c r="D77" s="626"/>
      <c r="E77" s="626"/>
      <c r="F77" s="626"/>
      <c r="G77" s="626"/>
      <c r="H77" s="626"/>
      <c r="I77" s="626"/>
    </row>
    <row r="78" spans="1:10" x14ac:dyDescent="0.2">
      <c r="A78" s="626"/>
      <c r="B78" s="626"/>
      <c r="C78" s="626"/>
      <c r="D78" s="626"/>
      <c r="E78" s="626"/>
      <c r="F78" s="626"/>
      <c r="G78" s="626"/>
      <c r="H78" s="626"/>
      <c r="I78" s="626"/>
    </row>
    <row r="79" spans="1:10" x14ac:dyDescent="0.2">
      <c r="A79" s="626"/>
      <c r="B79" s="626"/>
      <c r="C79" s="626"/>
      <c r="D79" s="626"/>
      <c r="E79" s="626"/>
      <c r="F79" s="626"/>
      <c r="G79" s="626"/>
      <c r="H79" s="626"/>
      <c r="I79" s="626"/>
    </row>
    <row r="80" spans="1:10" x14ac:dyDescent="0.2">
      <c r="A80" s="626"/>
      <c r="B80" s="626"/>
      <c r="C80" s="626"/>
      <c r="D80" s="626"/>
      <c r="E80" s="626"/>
      <c r="F80" s="626"/>
      <c r="G80" s="626"/>
      <c r="H80" s="626"/>
      <c r="I80" s="626"/>
    </row>
    <row r="81" spans="1:9" x14ac:dyDescent="0.2">
      <c r="A81" s="626"/>
      <c r="B81" s="626"/>
      <c r="C81" s="626"/>
      <c r="D81" s="626"/>
      <c r="E81" s="626"/>
      <c r="F81" s="626"/>
      <c r="G81" s="626"/>
      <c r="H81" s="626"/>
      <c r="I81" s="626"/>
    </row>
    <row r="82" spans="1:9" x14ac:dyDescent="0.2">
      <c r="A82" s="626"/>
      <c r="B82" s="626"/>
      <c r="C82" s="626"/>
      <c r="D82" s="626"/>
      <c r="E82" s="626"/>
      <c r="F82" s="626"/>
      <c r="G82" s="626"/>
      <c r="H82" s="626"/>
      <c r="I82" s="626"/>
    </row>
    <row r="83" spans="1:9" x14ac:dyDescent="0.2">
      <c r="A83" s="626"/>
      <c r="B83" s="626"/>
      <c r="C83" s="626"/>
      <c r="D83" s="626"/>
      <c r="E83" s="626"/>
      <c r="F83" s="626"/>
      <c r="G83" s="626"/>
      <c r="H83" s="626"/>
      <c r="I83" s="626"/>
    </row>
    <row r="84" spans="1:9" x14ac:dyDescent="0.2">
      <c r="A84" s="626"/>
      <c r="B84" s="626"/>
      <c r="C84" s="626"/>
      <c r="D84" s="626"/>
      <c r="E84" s="626"/>
      <c r="F84" s="626"/>
      <c r="G84" s="626"/>
      <c r="H84" s="626"/>
      <c r="I84" s="626"/>
    </row>
    <row r="85" spans="1:9" x14ac:dyDescent="0.2">
      <c r="A85" s="626"/>
      <c r="B85" s="626"/>
      <c r="C85" s="626"/>
      <c r="D85" s="626"/>
      <c r="E85" s="626"/>
      <c r="F85" s="626"/>
      <c r="G85" s="626"/>
      <c r="H85" s="626"/>
      <c r="I85" s="626"/>
    </row>
    <row r="86" spans="1:9" x14ac:dyDescent="0.2">
      <c r="A86" s="626"/>
      <c r="B86" s="626"/>
      <c r="C86" s="626"/>
      <c r="D86" s="626"/>
      <c r="E86" s="626"/>
      <c r="F86" s="626"/>
      <c r="G86" s="626"/>
      <c r="H86" s="626"/>
      <c r="I86" s="626"/>
    </row>
    <row r="87" spans="1:9" x14ac:dyDescent="0.2">
      <c r="A87" s="626"/>
      <c r="B87" s="626"/>
      <c r="C87" s="626"/>
      <c r="D87" s="626"/>
      <c r="E87" s="626"/>
      <c r="F87" s="626"/>
      <c r="G87" s="626"/>
      <c r="H87" s="626"/>
      <c r="I87" s="626"/>
    </row>
    <row r="88" spans="1:9" x14ac:dyDescent="0.2">
      <c r="A88" s="626"/>
      <c r="B88" s="626"/>
      <c r="C88" s="626"/>
      <c r="D88" s="626"/>
      <c r="E88" s="626"/>
      <c r="F88" s="626"/>
      <c r="G88" s="626"/>
      <c r="H88" s="626"/>
      <c r="I88" s="626"/>
    </row>
    <row r="89" spans="1:9" x14ac:dyDescent="0.2">
      <c r="A89" s="626"/>
      <c r="B89" s="626"/>
      <c r="C89" s="626"/>
      <c r="D89" s="626"/>
      <c r="E89" s="626"/>
      <c r="F89" s="626"/>
      <c r="G89" s="626"/>
      <c r="H89" s="626"/>
      <c r="I89" s="626"/>
    </row>
    <row r="90" spans="1:9" x14ac:dyDescent="0.2">
      <c r="A90" s="626"/>
      <c r="B90" s="626"/>
      <c r="C90" s="626"/>
      <c r="D90" s="626"/>
      <c r="E90" s="626"/>
      <c r="F90" s="626"/>
      <c r="G90" s="626"/>
      <c r="H90" s="626"/>
      <c r="I90" s="626"/>
    </row>
    <row r="91" spans="1:9" x14ac:dyDescent="0.2">
      <c r="A91" s="626"/>
      <c r="B91" s="682"/>
      <c r="C91" s="682"/>
      <c r="D91" s="626"/>
      <c r="E91" s="626"/>
      <c r="F91" s="626"/>
      <c r="G91" s="626"/>
      <c r="H91" s="626"/>
      <c r="I91" s="626"/>
    </row>
    <row r="92" spans="1:9" x14ac:dyDescent="0.2">
      <c r="A92" s="659" t="s">
        <v>803</v>
      </c>
      <c r="B92" s="660" t="s">
        <v>592</v>
      </c>
      <c r="C92" s="661" t="s">
        <v>788</v>
      </c>
      <c r="D92" s="662" t="s">
        <v>596</v>
      </c>
      <c r="E92" s="663" t="s">
        <v>595</v>
      </c>
      <c r="F92" s="664" t="s">
        <v>594</v>
      </c>
      <c r="G92" s="665" t="s">
        <v>593</v>
      </c>
      <c r="H92" s="626"/>
      <c r="I92" s="626"/>
    </row>
    <row r="93" spans="1:9" x14ac:dyDescent="0.2">
      <c r="A93" s="626"/>
      <c r="B93" s="626"/>
      <c r="C93" s="626"/>
      <c r="D93" s="626"/>
      <c r="E93" s="626"/>
      <c r="F93" s="626"/>
      <c r="G93" s="626"/>
      <c r="H93" s="626"/>
      <c r="I93" s="626"/>
    </row>
    <row r="94" spans="1:9" x14ac:dyDescent="0.2">
      <c r="A94" s="626"/>
      <c r="B94" s="626"/>
      <c r="C94" s="626"/>
      <c r="D94" s="626"/>
      <c r="E94" s="626"/>
      <c r="F94" s="626"/>
      <c r="G94" s="626"/>
      <c r="H94" s="626"/>
      <c r="I94" s="626"/>
    </row>
    <row r="95" spans="1:9" x14ac:dyDescent="0.2">
      <c r="A95" s="626"/>
      <c r="B95" s="626"/>
      <c r="C95" s="626"/>
      <c r="D95" s="626"/>
      <c r="E95" s="626"/>
      <c r="F95" s="626"/>
      <c r="G95" s="626"/>
      <c r="H95" s="626"/>
      <c r="I95" s="626"/>
    </row>
    <row r="96" spans="1:9" x14ac:dyDescent="0.2">
      <c r="A96" s="626"/>
      <c r="B96" s="626"/>
      <c r="C96" s="1117">
        <v>0</v>
      </c>
      <c r="D96" s="1117"/>
      <c r="E96" s="1117"/>
      <c r="F96" s="626"/>
      <c r="G96" s="626"/>
      <c r="H96" s="626"/>
      <c r="I96" s="626"/>
    </row>
    <row r="97" spans="1:9" x14ac:dyDescent="0.2">
      <c r="A97" s="626"/>
      <c r="B97" s="626"/>
      <c r="C97" s="1117"/>
      <c r="D97" s="1117"/>
      <c r="E97" s="1117"/>
      <c r="F97" s="626"/>
      <c r="G97" s="626"/>
      <c r="H97" s="626"/>
      <c r="I97" s="626"/>
    </row>
    <row r="98" spans="1:9" x14ac:dyDescent="0.2">
      <c r="A98" s="626"/>
      <c r="B98" s="626"/>
      <c r="C98" s="626"/>
      <c r="D98" s="626"/>
      <c r="E98" s="626"/>
      <c r="F98" s="626"/>
      <c r="G98" s="626"/>
      <c r="H98" s="626"/>
      <c r="I98" s="626"/>
    </row>
    <row r="99" spans="1:9" x14ac:dyDescent="0.2">
      <c r="A99" s="626"/>
      <c r="B99" s="626"/>
      <c r="C99" s="626"/>
      <c r="D99" s="626"/>
      <c r="E99" s="626"/>
      <c r="F99" s="626"/>
      <c r="G99" s="626"/>
      <c r="H99" s="626"/>
      <c r="I99" s="626"/>
    </row>
    <row r="100" spans="1:9" x14ac:dyDescent="0.2">
      <c r="A100" s="626"/>
      <c r="B100" s="626"/>
      <c r="C100" s="626"/>
      <c r="D100" s="626"/>
      <c r="E100" s="626"/>
      <c r="F100" s="626"/>
      <c r="G100" s="626"/>
      <c r="H100" s="626"/>
      <c r="I100" s="626"/>
    </row>
    <row r="101" spans="1:9" x14ac:dyDescent="0.2">
      <c r="A101" s="626"/>
      <c r="B101" s="626"/>
      <c r="C101" s="626"/>
      <c r="D101" s="626"/>
      <c r="E101" s="626"/>
      <c r="F101" s="626"/>
      <c r="G101" s="626"/>
      <c r="H101" s="626"/>
      <c r="I101" s="626"/>
    </row>
    <row r="102" spans="1:9" x14ac:dyDescent="0.2">
      <c r="A102" s="626"/>
      <c r="B102" s="626"/>
      <c r="C102" s="626"/>
      <c r="D102" s="626"/>
      <c r="E102" s="626"/>
      <c r="F102" s="626"/>
      <c r="G102" s="626"/>
      <c r="H102" s="626"/>
      <c r="I102" s="626"/>
    </row>
    <row r="103" spans="1:9" x14ac:dyDescent="0.2">
      <c r="A103" s="626"/>
      <c r="B103" s="626"/>
      <c r="C103" s="626"/>
      <c r="D103" s="626"/>
      <c r="E103" s="626"/>
      <c r="F103" s="626"/>
      <c r="G103" s="626"/>
      <c r="H103" s="626"/>
      <c r="I103" s="626"/>
    </row>
  </sheetData>
  <mergeCells count="2">
    <mergeCell ref="A3:B3"/>
    <mergeCell ref="C96:E97"/>
  </mergeCells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114"/>
  <dimension ref="A1:O54"/>
  <sheetViews>
    <sheetView rightToLeft="1" topLeftCell="C1" workbookViewId="0">
      <selection activeCell="AL8" sqref="AL8"/>
    </sheetView>
  </sheetViews>
  <sheetFormatPr defaultRowHeight="12.75" x14ac:dyDescent="0.2"/>
  <cols>
    <col min="1" max="1" width="6.7109375" customWidth="1"/>
    <col min="2" max="2" width="14.7109375" customWidth="1"/>
    <col min="3" max="3" width="15.42578125" customWidth="1"/>
    <col min="4" max="4" width="16.85546875" customWidth="1"/>
    <col min="5" max="5" width="21.28515625" customWidth="1"/>
    <col min="6" max="7" width="12.7109375" customWidth="1"/>
    <col min="8" max="9" width="14.7109375" hidden="1" customWidth="1"/>
    <col min="10" max="12" width="14.7109375" customWidth="1"/>
    <col min="13" max="13" width="14" customWidth="1"/>
    <col min="14" max="14" width="12.85546875" customWidth="1"/>
  </cols>
  <sheetData>
    <row r="1" spans="1:15" ht="18.75" x14ac:dyDescent="0.3">
      <c r="A1" s="149"/>
      <c r="B1" s="154"/>
      <c r="C1" s="154"/>
      <c r="D1" s="153"/>
      <c r="E1" s="154"/>
      <c r="F1" s="154"/>
      <c r="G1" s="154"/>
      <c r="H1" s="153"/>
      <c r="I1" s="153"/>
      <c r="J1" s="153"/>
      <c r="K1" s="153"/>
      <c r="L1" s="153"/>
      <c r="M1" s="153"/>
    </row>
    <row r="2" spans="1:15" ht="18.75" x14ac:dyDescent="0.3">
      <c r="A2" s="149"/>
      <c r="B2" s="154"/>
      <c r="C2" s="1010" t="s">
        <v>362</v>
      </c>
      <c r="D2" s="35"/>
      <c r="H2" s="153"/>
      <c r="I2" s="153"/>
      <c r="J2" s="153"/>
      <c r="K2" s="153"/>
      <c r="L2" s="153"/>
      <c r="M2" s="153"/>
    </row>
    <row r="3" spans="1:15" ht="18.75" x14ac:dyDescent="0.3">
      <c r="A3" s="149"/>
      <c r="B3" s="154"/>
      <c r="C3" s="40" t="s">
        <v>369</v>
      </c>
      <c r="D3" s="41"/>
      <c r="G3" s="154"/>
      <c r="H3" s="153"/>
      <c r="I3" s="153"/>
      <c r="J3" s="153"/>
      <c r="K3" s="153"/>
      <c r="L3" s="153"/>
      <c r="M3" s="153"/>
    </row>
    <row r="4" spans="1:15" ht="25.5" x14ac:dyDescent="0.3">
      <c r="A4" s="149"/>
      <c r="B4" s="154"/>
      <c r="C4" s="1002" t="s">
        <v>411</v>
      </c>
      <c r="D4" s="69">
        <v>45873</v>
      </c>
      <c r="E4" s="154"/>
      <c r="F4" s="154"/>
      <c r="G4" s="154"/>
      <c r="H4" s="153"/>
      <c r="I4" s="153"/>
      <c r="J4" s="153"/>
      <c r="K4" s="153"/>
      <c r="L4" s="153"/>
      <c r="M4" s="153"/>
    </row>
    <row r="5" spans="1:15" ht="18.75" x14ac:dyDescent="0.3">
      <c r="A5" s="149"/>
      <c r="B5" s="154"/>
      <c r="C5" s="40" t="s">
        <v>163</v>
      </c>
      <c r="D5" s="1005">
        <f>'נתוני יסוד'!B14</f>
        <v>65.584511749942962</v>
      </c>
      <c r="E5" s="154"/>
      <c r="F5" s="154"/>
      <c r="G5" s="154"/>
      <c r="H5" s="153"/>
      <c r="I5" s="153"/>
      <c r="J5" s="153"/>
      <c r="K5" s="153"/>
      <c r="L5" s="153"/>
      <c r="M5" s="153"/>
    </row>
    <row r="6" spans="1:15" ht="18.75" x14ac:dyDescent="0.3">
      <c r="A6" s="149"/>
      <c r="B6" s="154"/>
      <c r="C6" s="1038" t="s">
        <v>48</v>
      </c>
      <c r="D6" s="1039">
        <f>'נתוני יסוד'!B3</f>
        <v>21920.083333333332</v>
      </c>
      <c r="E6" s="154"/>
      <c r="F6" s="154"/>
      <c r="G6" s="154"/>
      <c r="H6" s="153"/>
      <c r="I6" s="153"/>
      <c r="J6" s="153"/>
      <c r="K6" s="153"/>
      <c r="L6" s="153"/>
      <c r="M6" s="153"/>
    </row>
    <row r="7" spans="1:15" ht="30.75" x14ac:dyDescent="0.3">
      <c r="A7" s="149"/>
      <c r="B7" s="154"/>
      <c r="C7" s="1013" t="s">
        <v>1146</v>
      </c>
      <c r="D7" s="1014">
        <f>'נתוני יסוד'!B16</f>
        <v>125.59842915811089</v>
      </c>
      <c r="E7" s="154"/>
      <c r="F7" s="154"/>
      <c r="G7" s="154"/>
      <c r="H7" s="153"/>
      <c r="I7" s="153"/>
      <c r="J7" s="153"/>
      <c r="K7" s="153"/>
      <c r="L7" s="153"/>
      <c r="M7" s="153"/>
    </row>
    <row r="8" spans="1:15" ht="13.5" thickBot="1" x14ac:dyDescent="0.25">
      <c r="A8" s="155"/>
      <c r="B8" s="155"/>
      <c r="C8" s="155"/>
      <c r="D8" s="156"/>
      <c r="E8" s="157"/>
      <c r="F8" s="157"/>
      <c r="G8" s="157"/>
      <c r="H8" s="156"/>
      <c r="I8" s="156"/>
      <c r="J8" s="156"/>
      <c r="K8" s="156"/>
      <c r="L8" s="156"/>
      <c r="M8" s="156"/>
    </row>
    <row r="9" spans="1:15" ht="57" thickBot="1" x14ac:dyDescent="0.25">
      <c r="A9" s="158" t="s">
        <v>493</v>
      </c>
      <c r="B9" s="158" t="s">
        <v>494</v>
      </c>
      <c r="C9" s="158" t="s">
        <v>513</v>
      </c>
      <c r="D9" s="158" t="s">
        <v>228</v>
      </c>
      <c r="E9" s="159" t="s">
        <v>495</v>
      </c>
      <c r="F9" s="159" t="s">
        <v>230</v>
      </c>
      <c r="G9" s="159" t="s">
        <v>231</v>
      </c>
      <c r="H9" s="158" t="s">
        <v>1127</v>
      </c>
      <c r="I9" s="158" t="s">
        <v>1128</v>
      </c>
      <c r="J9" s="158" t="s">
        <v>1129</v>
      </c>
      <c r="K9" s="158" t="s">
        <v>1143</v>
      </c>
      <c r="L9" s="158" t="s">
        <v>1144</v>
      </c>
      <c r="M9" s="158" t="s">
        <v>1145</v>
      </c>
      <c r="N9" s="1042" t="s">
        <v>1156</v>
      </c>
      <c r="O9" s="1042" t="s">
        <v>521</v>
      </c>
    </row>
    <row r="10" spans="1:15" ht="50.1" customHeight="1" x14ac:dyDescent="0.2">
      <c r="A10" s="164">
        <f>IF(main!A9&gt;0,main!A9,"")</f>
        <v>1</v>
      </c>
      <c r="B10" s="165" t="str">
        <f>IF(main!B9&gt;0,main!B9,"")</f>
        <v>1595222</v>
      </c>
      <c r="C10" s="165" t="str">
        <f>IF(main!C9&gt;0,main!C9,"")</f>
        <v/>
      </c>
      <c r="D10" s="165" t="str">
        <f>IF(main!D9&gt;0,main!D9,"")</f>
        <v>כלל</v>
      </c>
      <c r="E10" s="165" t="str">
        <f>IF(main!E9&gt;0,main!E9,"")</f>
        <v/>
      </c>
      <c r="F10" s="1012" t="str">
        <f>IF(main!E9&gt;0,RicusPolice!P6," ")</f>
        <v xml:space="preserve"> </v>
      </c>
      <c r="G10" s="1007" t="str">
        <f>IF(F10=" "," ",IF(YEAR(F10)&lt;1990,4,IF(YEAR(F10)&lt;1991,3.5,2.5)))</f>
        <v xml:space="preserve"> </v>
      </c>
      <c r="H10" s="1007">
        <f>IFERROR(VLOOKUP($B10,HotzaotBafoalLehodeshDivoach!$D$6:$U$100,4,FALSE),0)</f>
        <v>0</v>
      </c>
      <c r="I10" s="1007">
        <f>IFERROR(VLOOKUP($B10,HotzaotBafoalLehodeshDivoach!$D$6:$U$100,6,FALSE),0)</f>
        <v>4.070000171661377</v>
      </c>
      <c r="J10" s="1007"/>
      <c r="K10" s="1007"/>
      <c r="L10" s="164">
        <f>IFERROR(VLOOKUP($B10,PirteiKisuiBeMutzarPrmia!$C$6:$N$100,9,FALSE),0)</f>
        <v>0</v>
      </c>
      <c r="M10" s="164">
        <f>IFERROR(VLOOKUP($B10,PirteiKisuiBeMutzarPrmia!$C$6:$N$100,12,FALSE),0)</f>
        <v>0</v>
      </c>
      <c r="N10" s="1001">
        <f>main!Z9</f>
        <v>0</v>
      </c>
      <c r="O10" s="1043"/>
    </row>
    <row r="11" spans="1:15" ht="50.1" customHeight="1" x14ac:dyDescent="0.2">
      <c r="A11" s="164">
        <f>IF(main!A10&gt;0,main!A10,"")</f>
        <v>2</v>
      </c>
      <c r="B11" s="165" t="str">
        <f>IF(main!B10&gt;0,main!B10,"")</f>
        <v>1394362</v>
      </c>
      <c r="C11" s="165" t="str">
        <f>IF(main!C10&gt;0,main!C10,"")</f>
        <v>קופת גמל</v>
      </c>
      <c r="D11" s="165" t="str">
        <f>IF(main!D10&gt;0,main!D10,"")</f>
        <v>ארם גמולים - חברה לניהול קופות גמל בע"מ</v>
      </c>
      <c r="E11" s="165" t="str">
        <f>IF(main!E10&gt;0,main!E10,"")</f>
        <v>ארם-קופת גמל לתגמולים של ארגון הרופאים עובדי מדינה</v>
      </c>
      <c r="F11" s="1012" t="str">
        <f>IF(main!E10&gt;0,RicusPolice!P7," ")</f>
        <v>01/01/1900</v>
      </c>
      <c r="G11" s="1007">
        <f t="shared" ref="G11:G52" si="0">IF(F11=" "," ",IF(YEAR(F11)&lt;1990,4,IF(YEAR(F11)&lt;1991,3.5,2.5)))</f>
        <v>4</v>
      </c>
      <c r="H11" s="1007">
        <f>IFERROR(VLOOKUP($B11,HotzaotBafoalLehodeshDivoach!$D$6:$U$100,4,FALSE),0)</f>
        <v>0</v>
      </c>
      <c r="I11" s="1007">
        <f>IFERROR(VLOOKUP($B11,HotzaotBafoalLehodeshDivoach!$D$6:$U$100,6,FALSE),0)</f>
        <v>0.02</v>
      </c>
      <c r="J11" s="1007"/>
      <c r="K11" s="1007"/>
      <c r="L11" s="164">
        <f>IFERROR(VLOOKUP($B11,PirteiKisuiBeMutzarPrmia!$C$6:$N$100,9,FALSE),0)</f>
        <v>0</v>
      </c>
      <c r="M11" s="164">
        <f>IFERROR(VLOOKUP($B11,PirteiKisuiBeMutzarPrmia!$C$6:$N$100,12,FALSE),0)</f>
        <v>0</v>
      </c>
      <c r="N11" s="1001">
        <f>main!Z10</f>
        <v>0</v>
      </c>
      <c r="O11" s="1043"/>
    </row>
    <row r="12" spans="1:15" ht="50.1" customHeight="1" x14ac:dyDescent="0.2">
      <c r="A12" s="164">
        <f>IF(main!A11&gt;0,main!A11,"")</f>
        <v>3</v>
      </c>
      <c r="B12" s="165" t="str">
        <f>IF(main!B11&gt;0,main!B11,"")</f>
        <v>1394370</v>
      </c>
      <c r="C12" s="165" t="str">
        <f>IF(main!C11&gt;0,main!C11,"")</f>
        <v>קופת גמל</v>
      </c>
      <c r="D12" s="165" t="str">
        <f>IF(main!D11&gt;0,main!D11,"")</f>
        <v>ארם גמולים - חברה לניהול קופות גמל בע"מ</v>
      </c>
      <c r="E12" s="165" t="str">
        <f>IF(main!E11&gt;0,main!E11,"")</f>
        <v>ארם-קופת גמל לתגמולים של ארגון הרופאים עובדי מדינה</v>
      </c>
      <c r="F12" s="1012" t="str">
        <f>IF(main!E11&gt;0,RicusPolice!P8," ")</f>
        <v>01/01/1900</v>
      </c>
      <c r="G12" s="1007">
        <f t="shared" si="0"/>
        <v>4</v>
      </c>
      <c r="H12" s="1007">
        <f>IFERROR(VLOOKUP($B12,HotzaotBafoalLehodeshDivoach!$D$6:$U$100,4,FALSE),0)</f>
        <v>0</v>
      </c>
      <c r="I12" s="1007">
        <f>IFERROR(VLOOKUP($B12,HotzaotBafoalLehodeshDivoach!$D$6:$U$100,6,FALSE),0)</f>
        <v>0.02</v>
      </c>
      <c r="J12" s="1007"/>
      <c r="K12" s="1007"/>
      <c r="L12" s="164">
        <f>IFERROR(VLOOKUP($B12,PirteiKisuiBeMutzarPrmia!$C$6:$N$100,9,FALSE),0)</f>
        <v>0</v>
      </c>
      <c r="M12" s="164">
        <f>IFERROR(VLOOKUP($B12,PirteiKisuiBeMutzarPrmia!$C$6:$N$100,12,FALSE),0)</f>
        <v>0</v>
      </c>
      <c r="N12" s="1001">
        <f>main!Z11</f>
        <v>0</v>
      </c>
      <c r="O12" s="1043"/>
    </row>
    <row r="13" spans="1:15" ht="50.1" customHeight="1" x14ac:dyDescent="0.2">
      <c r="A13" s="164">
        <f>IF(main!A12&gt;0,main!A12,"")</f>
        <v>4</v>
      </c>
      <c r="B13" s="165" t="str">
        <f>IF(main!B12&gt;0,main!B12,"")</f>
        <v>630251455</v>
      </c>
      <c r="C13" s="165" t="str">
        <f>IF(main!C12&gt;0,main!C12,"")</f>
        <v>קרן פנסיה</v>
      </c>
      <c r="D13" s="165" t="str">
        <f>IF(main!D12&gt;0,main!D12,"")</f>
        <v>מגדל מקפת פנסיה וגמל</v>
      </c>
      <c r="E13" s="165" t="str">
        <f>IF(main!E12&gt;0,main!E12,"")</f>
        <v>מקפת אישית</v>
      </c>
      <c r="F13" s="1012" t="str">
        <f>IF(main!E12&gt;0,RicusPolice!P9," ")</f>
        <v>01/11/2011</v>
      </c>
      <c r="G13" s="1007">
        <f t="shared" si="0"/>
        <v>2.5</v>
      </c>
      <c r="H13" s="1007">
        <f>IFERROR(VLOOKUP($B13,HotzaotBafoalLehodeshDivoach!$D$6:$U$100,4,FALSE),0)</f>
        <v>0.9</v>
      </c>
      <c r="I13" s="1007">
        <f>IFERROR(VLOOKUP($B13,HotzaotBafoalLehodeshDivoach!$D$6:$U$100,6,FALSE),0)</f>
        <v>1.4999999999999999E-2</v>
      </c>
      <c r="J13" s="1007"/>
      <c r="K13" s="1007"/>
      <c r="L13" s="164">
        <f>IFERROR(VLOOKUP($B13,PirteiKisuiBeMutzarPrmia!$C$6:$N$100,9,FALSE),0)</f>
        <v>0</v>
      </c>
      <c r="M13" s="164">
        <f>IFERROR(VLOOKUP($B13,PirteiKisuiBeMutzarPrmia!$C$6:$N$100,12,FALSE),0)</f>
        <v>0</v>
      </c>
      <c r="N13" s="1001">
        <f>main!Z12</f>
        <v>129.94999999999999</v>
      </c>
      <c r="O13" s="1043"/>
    </row>
    <row r="14" spans="1:15" ht="50.1" customHeight="1" x14ac:dyDescent="0.2">
      <c r="A14" s="164">
        <f>IF(main!A13&gt;0,main!A13,"")</f>
        <v>5</v>
      </c>
      <c r="B14" s="165" t="str">
        <f>IF(main!B13&gt;0,main!B13,"")</f>
        <v>20047373</v>
      </c>
      <c r="C14" s="165" t="str">
        <f>IF(main!C13&gt;0,main!C13,"")</f>
        <v>קופת גמל</v>
      </c>
      <c r="D14" s="165" t="str">
        <f>IF(main!D13&gt;0,main!D13,"")</f>
        <v>מנורה מבטחים פנסיה וגמל בעמ</v>
      </c>
      <c r="E14" s="165" t="str">
        <f>IF(main!E13&gt;0,main!E13,"")</f>
        <v>מנורה מבטחים אמיר כללי</v>
      </c>
      <c r="F14" s="1012" t="str">
        <f>IF(main!E13&gt;0,RicusPolice!P10," ")</f>
        <v>02/03/2008</v>
      </c>
      <c r="G14" s="1007">
        <f t="shared" si="0"/>
        <v>2.5</v>
      </c>
      <c r="H14" s="1007">
        <f>IFERROR(VLOOKUP($B14,HotzaotBafoalLehodeshDivoach!$D$6:$U$100,4,FALSE),0)</f>
        <v>0</v>
      </c>
      <c r="I14" s="1007">
        <f>IFERROR(VLOOKUP($B14,HotzaotBafoalLehodeshDivoach!$D$6:$U$100,6,FALSE),0)</f>
        <v>8.7499999999999994E-2</v>
      </c>
      <c r="J14" s="1007"/>
      <c r="K14" s="1007"/>
      <c r="L14" s="164">
        <f>IFERROR(VLOOKUP($B14,PirteiKisuiBeMutzarPrmia!$C$6:$N$100,9,FALSE),0)</f>
        <v>0</v>
      </c>
      <c r="M14" s="164">
        <f>IFERROR(VLOOKUP($B14,PirteiKisuiBeMutzarPrmia!$C$6:$N$100,12,FALSE),0)</f>
        <v>0</v>
      </c>
      <c r="N14" s="1001">
        <f>main!Z13</f>
        <v>0</v>
      </c>
      <c r="O14" s="1043"/>
    </row>
    <row r="15" spans="1:15" ht="50.1" customHeight="1" x14ac:dyDescent="0.2">
      <c r="A15" s="164">
        <f>IF(main!A14&gt;0,main!A14,"")</f>
        <v>6</v>
      </c>
      <c r="B15" s="165" t="str">
        <f>IF(main!B14&gt;0,main!B14,"")</f>
        <v>2296587</v>
      </c>
      <c r="C15" s="165" t="str">
        <f>IF(main!C14&gt;0,main!C14,"")</f>
        <v>קופת גמל</v>
      </c>
      <c r="D15" s="165" t="str">
        <f>IF(main!D14&gt;0,main!D14,"")</f>
        <v>מנורה מבטחים פנסיה וגמל בעמ</v>
      </c>
      <c r="E15" s="165" t="str">
        <f>IF(main!E14&gt;0,main!E14,"")</f>
        <v>מנורה מבטחים תגמולים</v>
      </c>
      <c r="F15" s="1012" t="str">
        <f>IF(main!E14&gt;0,RicusPolice!P11," ")</f>
        <v>02/03/2008</v>
      </c>
      <c r="G15" s="1007">
        <f t="shared" si="0"/>
        <v>2.5</v>
      </c>
      <c r="H15" s="1007">
        <f>IFERROR(VLOOKUP($B15,HotzaotBafoalLehodeshDivoach!$D$6:$U$100,4,FALSE),0)</f>
        <v>0</v>
      </c>
      <c r="I15" s="1007">
        <f>IFERROR(VLOOKUP($B15,HotzaotBafoalLehodeshDivoach!$D$6:$U$100,6,FALSE),0)</f>
        <v>8.3299999999999999E-2</v>
      </c>
      <c r="J15" s="1007"/>
      <c r="K15" s="1007"/>
      <c r="L15" s="164">
        <f>IFERROR(VLOOKUP($B15,PirteiKisuiBeMutzarPrmia!$C$6:$N$100,9,FALSE),0)</f>
        <v>0</v>
      </c>
      <c r="M15" s="164">
        <f>IFERROR(VLOOKUP($B15,PirteiKisuiBeMutzarPrmia!$C$6:$N$100,12,FALSE),0)</f>
        <v>0</v>
      </c>
      <c r="N15" s="1001">
        <f>main!Z14</f>
        <v>0</v>
      </c>
      <c r="O15" s="1043"/>
    </row>
    <row r="16" spans="1:15" ht="50.1" customHeight="1" x14ac:dyDescent="0.2">
      <c r="A16" s="164">
        <f>IF(main!A15&gt;0,main!A15,"")</f>
        <v>7</v>
      </c>
      <c r="B16" s="165" t="str">
        <f>IF(main!B15&gt;0,main!B15,"")</f>
        <v>56078603</v>
      </c>
      <c r="C16" s="165" t="str">
        <f>IF(main!C15&gt;0,main!C15,"")</f>
        <v>קרן פנסיה</v>
      </c>
      <c r="D16" s="165" t="str">
        <f>IF(main!D15&gt;0,main!D15,"")</f>
        <v>מנורה מבטחים פנסיה וגמל בעמ</v>
      </c>
      <c r="E16" s="165" t="str">
        <f>IF(main!E15&gt;0,main!E15,"")</f>
        <v>מבטחים החדשה פלוס</v>
      </c>
      <c r="F16" s="1012" t="str">
        <f>IF(main!E15&gt;0,RicusPolice!P12," ")</f>
        <v>01/02/2005</v>
      </c>
      <c r="G16" s="1007">
        <f t="shared" si="0"/>
        <v>2.5</v>
      </c>
      <c r="H16" s="1007">
        <f>IFERROR(VLOOKUP($B16,HotzaotBafoalLehodeshDivoach!$D$6:$U$100,4,FALSE),0)</f>
        <v>0</v>
      </c>
      <c r="I16" s="1007">
        <f>IFERROR(VLOOKUP($B16,HotzaotBafoalLehodeshDivoach!$D$6:$U$100,6,FALSE),0)</f>
        <v>4.1599999999999998E-2</v>
      </c>
      <c r="J16" s="1007"/>
      <c r="K16" s="1007"/>
      <c r="L16" s="164">
        <f>IFERROR(VLOOKUP($B16,PirteiKisuiBeMutzarPrmia!$C$6:$N$100,9,FALSE),0)</f>
        <v>0</v>
      </c>
      <c r="M16" s="164">
        <f>IFERROR(VLOOKUP($B16,PirteiKisuiBeMutzarPrmia!$C$6:$N$100,12,FALSE),0)</f>
        <v>0</v>
      </c>
      <c r="N16" s="1001">
        <f>main!Z15</f>
        <v>0</v>
      </c>
      <c r="O16" s="1043"/>
    </row>
    <row r="17" spans="1:15" ht="50.1" customHeight="1" x14ac:dyDescent="0.2">
      <c r="A17" s="164">
        <f>IF(main!A16&gt;0,main!A16,"")</f>
        <v>8</v>
      </c>
      <c r="B17" s="165" t="str">
        <f>IF(main!B16&gt;0,main!B16,"")</f>
        <v>4355788</v>
      </c>
      <c r="C17" s="165" t="str">
        <f>IF(main!C16&gt;0,main!C16,"")</f>
        <v>קופת גמל</v>
      </c>
      <c r="D17" s="165" t="str">
        <f>IF(main!D16&gt;0,main!D16,"")</f>
        <v xml:space="preserve">אלטשולר שחם  גמל ופנסיה </v>
      </c>
      <c r="E17" s="165" t="str">
        <f>IF(main!E16&gt;0,main!E16,"")</f>
        <v>אלטשולר שחם גמל</v>
      </c>
      <c r="F17" s="1012" t="str">
        <f>IF(main!E16&gt;0,RicusPolice!P13," ")</f>
        <v>02/01/2005</v>
      </c>
      <c r="G17" s="1007">
        <f t="shared" si="0"/>
        <v>2.5</v>
      </c>
      <c r="H17" s="1007">
        <f>IFERROR(VLOOKUP($B17,HotzaotBafoalLehodeshDivoach!$D$6:$U$100,4,FALSE),0)</f>
        <v>4</v>
      </c>
      <c r="I17" s="1007">
        <f>IFERROR(VLOOKUP($B17,HotzaotBafoalLehodeshDivoach!$D$6:$U$100,6,FALSE),0)</f>
        <v>0.08</v>
      </c>
      <c r="J17" s="1007"/>
      <c r="K17" s="1007"/>
      <c r="L17" s="164">
        <f>IFERROR(VLOOKUP($B17,PirteiKisuiBeMutzarPrmia!$C$6:$N$100,9,FALSE),0)</f>
        <v>0</v>
      </c>
      <c r="M17" s="164">
        <f>IFERROR(VLOOKUP($B17,PirteiKisuiBeMutzarPrmia!$C$6:$N$100,12,FALSE),0)</f>
        <v>0</v>
      </c>
      <c r="N17" s="1001">
        <f>main!Z16</f>
        <v>0</v>
      </c>
      <c r="O17" s="1043"/>
    </row>
    <row r="18" spans="1:15" ht="50.1" customHeight="1" x14ac:dyDescent="0.2">
      <c r="A18" s="164">
        <f>IF(main!A17&gt;0,main!A17,"")</f>
        <v>9</v>
      </c>
      <c r="B18" s="165" t="str">
        <f>IF(main!B17&gt;0,main!B17,"")</f>
        <v>69002</v>
      </c>
      <c r="C18" s="165" t="str">
        <f>IF(main!C17&gt;0,main!C17,"")</f>
        <v>קרן פנסיה</v>
      </c>
      <c r="D18" s="165" t="str">
        <f>IF(main!D17&gt;0,main!D17,"")</f>
        <v>פסגות קופות גמל ופנסיה בע"מ</v>
      </c>
      <c r="E18" s="165" t="str">
        <f>IF(main!E17&gt;0,main!E17,"")</f>
        <v>תשורה מקיפה</v>
      </c>
      <c r="F18" s="1012" t="str">
        <f>IF(main!E17&gt;0,RicusPolice!P14," ")</f>
        <v>16/08/1994</v>
      </c>
      <c r="G18" s="1007" t="e">
        <f t="shared" si="0"/>
        <v>#VALUE!</v>
      </c>
      <c r="H18" s="1007">
        <f>IFERROR(VLOOKUP($B18,HotzaotBafoalLehodeshDivoach!$D$6:$U$100,4,FALSE),0)</f>
        <v>0</v>
      </c>
      <c r="I18" s="1007">
        <f>IFERROR(VLOOKUP($B18,HotzaotBafoalLehodeshDivoach!$D$6:$U$100,6,FALSE),0)</f>
        <v>0</v>
      </c>
      <c r="J18" s="1007"/>
      <c r="K18" s="1007"/>
      <c r="L18" s="164">
        <f>IFERROR(VLOOKUP($B18,PirteiKisuiBeMutzarPrmia!$C$6:$N$100,9,FALSE),0)</f>
        <v>0</v>
      </c>
      <c r="M18" s="164">
        <f>IFERROR(VLOOKUP($B18,PirteiKisuiBeMutzarPrmia!$C$6:$N$100,12,FALSE),0)</f>
        <v>0</v>
      </c>
      <c r="N18" s="1001">
        <f>main!Z17</f>
        <v>0</v>
      </c>
      <c r="O18" s="1043"/>
    </row>
    <row r="19" spans="1:15" ht="50.1" customHeight="1" x14ac:dyDescent="0.2">
      <c r="A19" s="164">
        <f>IF(main!A18&gt;0,main!A18,"")</f>
        <v>10</v>
      </c>
      <c r="B19" s="165" t="str">
        <f>IF(main!B18&gt;0,main!B18,"")</f>
        <v>911245475</v>
      </c>
      <c r="C19" s="165" t="str">
        <f>IF(main!C18&gt;0,main!C18,"")</f>
        <v>פוליסת ביטוח חיים משולב חיסכון</v>
      </c>
      <c r="D19" s="165" t="str">
        <f>IF(main!D18&gt;0,main!D18,"")</f>
        <v>הראל חברה לביטוח בע"מ</v>
      </c>
      <c r="E19" s="165" t="str">
        <f>IF(main!E18&gt;0,main!E18,"")</f>
        <v xml:space="preserve">הראל מגוון עסקי למנהלים                           </v>
      </c>
      <c r="F19" s="1012" t="str">
        <f>IF(main!E18&gt;0,RicusPolice!P15," ")</f>
        <v>01/01/2007</v>
      </c>
      <c r="G19" s="1007">
        <f t="shared" si="0"/>
        <v>2.5</v>
      </c>
      <c r="H19" s="1007">
        <f>IFERROR(VLOOKUP($B19,HotzaotBafoalLehodeshDivoach!$D$6:$U$100,4,FALSE),0)</f>
        <v>0.8</v>
      </c>
      <c r="I19" s="1007">
        <f>IFERROR(VLOOKUP($B19,HotzaotBafoalLehodeshDivoach!$D$6:$U$100,6,FALSE),0)</f>
        <v>0.02</v>
      </c>
      <c r="J19" s="1007"/>
      <c r="K19" s="1007"/>
      <c r="L19" s="164">
        <f>IFERROR(VLOOKUP($B19,PirteiKisuiBeMutzarPrmia!$C$6:$N$100,9,FALSE),0)</f>
        <v>0</v>
      </c>
      <c r="M19" s="164">
        <f>IFERROR(VLOOKUP($B19,PirteiKisuiBeMutzarPrmia!$C$6:$N$100,12,FALSE),0)</f>
        <v>0</v>
      </c>
      <c r="N19" s="1001">
        <f>main!Z18</f>
        <v>180.72</v>
      </c>
      <c r="O19" s="1043"/>
    </row>
    <row r="20" spans="1:15" ht="50.1" customHeight="1" x14ac:dyDescent="0.2">
      <c r="A20" s="164">
        <f>IF(main!A19&gt;0,main!A19,"")</f>
        <v>11</v>
      </c>
      <c r="B20" s="165" t="str">
        <f>IF(main!B19&gt;0,main!B19,"")</f>
        <v>922972106</v>
      </c>
      <c r="C20" s="165" t="str">
        <f>IF(main!C19&gt;0,main!C19,"")</f>
        <v>פוליסת ביטוח חיים משולב חיסכון</v>
      </c>
      <c r="D20" s="165" t="str">
        <f>IF(main!D19&gt;0,main!D19,"")</f>
        <v>הראל חברה לביטוח בע"מ</v>
      </c>
      <c r="E20" s="165" t="str">
        <f>IF(main!E19&gt;0,main!E19,"")</f>
        <v xml:space="preserve">מגוון לשכירים קצבה לא משלמת                       </v>
      </c>
      <c r="F20" s="1012" t="str">
        <f>IF(main!E19&gt;0,RicusPolice!P16," ")</f>
        <v>01/02/2015</v>
      </c>
      <c r="G20" s="1007">
        <f t="shared" si="0"/>
        <v>2.5</v>
      </c>
      <c r="H20" s="1007">
        <f>IFERROR(VLOOKUP($B20,HotzaotBafoalLehodeshDivoach!$D$6:$U$100,4,FALSE),0)</f>
        <v>0</v>
      </c>
      <c r="I20" s="1007">
        <f>IFERROR(VLOOKUP($B20,HotzaotBafoalLehodeshDivoach!$D$6:$U$100,6,FALSE),0)</f>
        <v>7.0000000000000007E-2</v>
      </c>
      <c r="J20" s="1007"/>
      <c r="K20" s="1007"/>
      <c r="L20" s="164">
        <f>IFERROR(VLOOKUP($B20,PirteiKisuiBeMutzarPrmia!$C$6:$N$100,9,FALSE),0)</f>
        <v>0</v>
      </c>
      <c r="M20" s="164">
        <f>IFERROR(VLOOKUP($B20,PirteiKisuiBeMutzarPrmia!$C$6:$N$100,12,FALSE),0)</f>
        <v>0</v>
      </c>
      <c r="N20" s="1001">
        <f>main!Z19</f>
        <v>0</v>
      </c>
      <c r="O20" s="1043"/>
    </row>
    <row r="21" spans="1:15" ht="50.1" customHeight="1" x14ac:dyDescent="0.2">
      <c r="A21" s="164">
        <f>IF(main!A20&gt;0,main!A20,"")</f>
        <v>12</v>
      </c>
      <c r="B21" s="165" t="str">
        <f>IF(main!B20&gt;0,main!B20,"")</f>
        <v>411113798</v>
      </c>
      <c r="C21" s="165" t="str">
        <f>IF(main!C20&gt;0,main!C20,"")</f>
        <v>פוליסת ביטוח חיים משולב חיסכון</v>
      </c>
      <c r="D21" s="165" t="str">
        <f>IF(main!D20&gt;0,main!D20,"")</f>
        <v>מגדל</v>
      </c>
      <c r="E21" s="165" t="str">
        <f>IF(main!E20&gt;0,main!E20,"")</f>
        <v>יותר</v>
      </c>
      <c r="F21" s="1012" t="str">
        <f>IF(main!E20&gt;0,RicusPolice!P17," ")</f>
        <v>01/02/1999</v>
      </c>
      <c r="G21" s="1007">
        <f t="shared" si="0"/>
        <v>2.5</v>
      </c>
      <c r="H21" s="1007">
        <f>IFERROR(VLOOKUP($B21,HotzaotBafoalLehodeshDivoach!$D$6:$U$100,4,FALSE),0)</f>
        <v>0</v>
      </c>
      <c r="I21" s="1007">
        <f>IFERROR(VLOOKUP($B21,HotzaotBafoalLehodeshDivoach!$D$6:$U$100,6,FALSE),0)</f>
        <v>0</v>
      </c>
      <c r="J21" s="1007"/>
      <c r="K21" s="1007"/>
      <c r="L21" s="164">
        <f>IFERROR(VLOOKUP($B21,PirteiKisuiBeMutzarPrmia!$C$6:$N$100,9,FALSE),0)</f>
        <v>106.34</v>
      </c>
      <c r="M21" s="164">
        <f>IFERROR(VLOOKUP($B21,PirteiKisuiBeMutzarPrmia!$C$6:$N$100,12,FALSE),0)</f>
        <v>2.78</v>
      </c>
      <c r="N21" s="1001">
        <f>main!Z20</f>
        <v>105</v>
      </c>
      <c r="O21" s="1043"/>
    </row>
    <row r="22" spans="1:15" ht="50.1" customHeight="1" x14ac:dyDescent="0.2">
      <c r="A22" s="164">
        <f>IF(main!A21&gt;0,main!A21,"")</f>
        <v>13</v>
      </c>
      <c r="B22" s="165" t="str">
        <f>IF(main!B21&gt;0,main!B21,"")</f>
        <v>411138484</v>
      </c>
      <c r="C22" s="165" t="str">
        <f>IF(main!C21&gt;0,main!C21,"")</f>
        <v>פוליסת ביטוח חיים משולב חיסכון</v>
      </c>
      <c r="D22" s="165" t="str">
        <f>IF(main!D21&gt;0,main!D21,"")</f>
        <v>מגדל</v>
      </c>
      <c r="E22" s="165" t="str">
        <f>IF(main!E21&gt;0,main!E21,"")</f>
        <v>יותר הון</v>
      </c>
      <c r="F22" s="1012" t="str">
        <f>IF(main!E21&gt;0,RicusPolice!P18," ")</f>
        <v>01/02/2000</v>
      </c>
      <c r="G22" s="1007">
        <f t="shared" si="0"/>
        <v>2.5</v>
      </c>
      <c r="H22" s="1007">
        <f>IFERROR(VLOOKUP($B22,HotzaotBafoalLehodeshDivoach!$D$6:$U$100,4,FALSE),0)</f>
        <v>0</v>
      </c>
      <c r="I22" s="1007">
        <f>IFERROR(VLOOKUP($B22,HotzaotBafoalLehodeshDivoach!$D$6:$U$100,6,FALSE),0)</f>
        <v>0.05</v>
      </c>
      <c r="J22" s="1007"/>
      <c r="K22" s="1007"/>
      <c r="L22" s="164">
        <f>IFERROR(VLOOKUP($B22,PirteiKisuiBeMutzarPrmia!$C$6:$N$100,9,FALSE),0)</f>
        <v>0</v>
      </c>
      <c r="M22" s="164">
        <f>IFERROR(VLOOKUP($B22,PirteiKisuiBeMutzarPrmia!$C$6:$N$100,12,FALSE),0)</f>
        <v>0</v>
      </c>
      <c r="N22" s="1001">
        <f>main!Z21</f>
        <v>0</v>
      </c>
      <c r="O22" s="1043"/>
    </row>
    <row r="23" spans="1:15" ht="50.1" customHeight="1" x14ac:dyDescent="0.2">
      <c r="A23" s="164">
        <f>IF(main!A22&gt;0,main!A22,"")</f>
        <v>14</v>
      </c>
      <c r="B23" s="165" t="str">
        <f>IF(main!B22&gt;0,main!B22,"")</f>
        <v>323406232</v>
      </c>
      <c r="C23" s="165" t="str">
        <f>IF(main!C22&gt;0,main!C22,"")</f>
        <v>פוליסת ביטוח חיים משולב חיסכון</v>
      </c>
      <c r="D23" s="165" t="str">
        <f>IF(main!D22&gt;0,main!D22,"")</f>
        <v>מגדל</v>
      </c>
      <c r="E23" s="165" t="str">
        <f>IF(main!E22&gt;0,main!E22,"")</f>
        <v>יותר</v>
      </c>
      <c r="F23" s="1012" t="str">
        <f>IF(main!E22&gt;0,RicusPolice!P19," ")</f>
        <v>01/01/1999</v>
      </c>
      <c r="G23" s="1007">
        <f t="shared" si="0"/>
        <v>2.5</v>
      </c>
      <c r="H23" s="1007">
        <f>IFERROR(VLOOKUP($B23,HotzaotBafoalLehodeshDivoach!$D$6:$U$100,4,FALSE),0)</f>
        <v>0</v>
      </c>
      <c r="I23" s="1007">
        <f>IFERROR(VLOOKUP($B23,HotzaotBafoalLehodeshDivoach!$D$6:$U$100,6,FALSE),0)</f>
        <v>0.05</v>
      </c>
      <c r="J23" s="1007"/>
      <c r="K23" s="1007"/>
      <c r="L23" s="164">
        <f>IFERROR(VLOOKUP($B23,PirteiKisuiBeMutzarPrmia!$C$6:$N$100,9,FALSE),0)</f>
        <v>166.41</v>
      </c>
      <c r="M23" s="164">
        <f>IFERROR(VLOOKUP($B23,PirteiKisuiBeMutzarPrmia!$C$6:$N$100,12,FALSE),0)</f>
        <v>0</v>
      </c>
      <c r="N23" s="1001">
        <f>main!Z22</f>
        <v>166</v>
      </c>
      <c r="O23" s="1043"/>
    </row>
    <row r="24" spans="1:15" ht="50.1" customHeight="1" x14ac:dyDescent="0.2">
      <c r="A24" s="164">
        <f>IF(main!A23&gt;0,main!A23,"")</f>
        <v>15</v>
      </c>
      <c r="B24" s="165" t="str">
        <f>IF(main!B23&gt;0,main!B23,"")</f>
        <v>730141236</v>
      </c>
      <c r="C24" s="165" t="str">
        <f>IF(main!C23&gt;0,main!C23,"")</f>
        <v>פוליסת ביטוח חיים משולב חיסכון</v>
      </c>
      <c r="D24" s="165" t="str">
        <f>IF(main!D23&gt;0,main!D23,"")</f>
        <v>מגדל</v>
      </c>
      <c r="E24" s="165" t="str">
        <f>IF(main!E23&gt;0,main!E23,"")</f>
        <v>יותר</v>
      </c>
      <c r="F24" s="1012" t="str">
        <f>IF(main!E23&gt;0,RicusPolice!P20," ")</f>
        <v>01/07/1988</v>
      </c>
      <c r="G24" s="1007">
        <f t="shared" si="0"/>
        <v>4</v>
      </c>
      <c r="H24" s="1007">
        <f>IFERROR(VLOOKUP($B24,HotzaotBafoalLehodeshDivoach!$D$6:$U$100,4,FALSE),0)</f>
        <v>0</v>
      </c>
      <c r="I24" s="1007">
        <f>IFERROR(VLOOKUP($B24,HotzaotBafoalLehodeshDivoach!$D$6:$U$100,6,FALSE),0)</f>
        <v>0.05</v>
      </c>
      <c r="J24" s="1007"/>
      <c r="K24" s="1007"/>
      <c r="L24" s="164">
        <f>IFERROR(VLOOKUP($B24,PirteiKisuiBeMutzarPrmia!$C$6:$N$100,9,FALSE),0)</f>
        <v>0</v>
      </c>
      <c r="M24" s="164">
        <f>IFERROR(VLOOKUP($B24,PirteiKisuiBeMutzarPrmia!$C$6:$N$100,12,FALSE),0)</f>
        <v>0</v>
      </c>
      <c r="N24" s="1001">
        <f>main!Z23</f>
        <v>0</v>
      </c>
      <c r="O24" s="1043"/>
    </row>
    <row r="25" spans="1:15" ht="50.1" customHeight="1" x14ac:dyDescent="0.2">
      <c r="A25" s="164">
        <f>IF(main!A24&gt;0,main!A24,"")</f>
        <v>16</v>
      </c>
      <c r="B25" s="165" t="str">
        <f>IF(main!B24&gt;0,main!B24,"")</f>
        <v>323158955</v>
      </c>
      <c r="C25" s="165" t="str">
        <f>IF(main!C24&gt;0,main!C24,"")</f>
        <v>פוליסת ביטוח חיים משולב חיסכון</v>
      </c>
      <c r="D25" s="165" t="str">
        <f>IF(main!D24&gt;0,main!D24,"")</f>
        <v>מגדל</v>
      </c>
      <c r="E25" s="165" t="str">
        <f>IF(main!E24&gt;0,main!E24,"")</f>
        <v>יותר</v>
      </c>
      <c r="F25" s="1012" t="str">
        <f>IF(main!E24&gt;0,RicusPolice!P21," ")</f>
        <v>01/07/1994</v>
      </c>
      <c r="G25" s="1007">
        <f t="shared" si="0"/>
        <v>2.5</v>
      </c>
      <c r="H25" s="1007">
        <f>IFERROR(VLOOKUP($B25,HotzaotBafoalLehodeshDivoach!$D$6:$U$100,4,FALSE),0)</f>
        <v>0</v>
      </c>
      <c r="I25" s="1007">
        <f>IFERROR(VLOOKUP($B25,HotzaotBafoalLehodeshDivoach!$D$6:$U$100,6,FALSE),0)</f>
        <v>0.05</v>
      </c>
      <c r="J25" s="1007"/>
      <c r="K25" s="1007"/>
      <c r="L25" s="164">
        <f>IFERROR(VLOOKUP($B25,PirteiKisuiBeMutzarPrmia!$C$6:$N$100,9,FALSE),0)</f>
        <v>2519.2199999999998</v>
      </c>
      <c r="M25" s="164">
        <f>IFERROR(VLOOKUP($B25,PirteiKisuiBeMutzarPrmia!$C$6:$N$100,12,FALSE),0)</f>
        <v>0</v>
      </c>
      <c r="N25" s="1001">
        <f>main!Z24</f>
        <v>0</v>
      </c>
      <c r="O25" s="1043"/>
    </row>
    <row r="26" spans="1:15" ht="50.1" customHeight="1" x14ac:dyDescent="0.2">
      <c r="A26" s="164">
        <f>IF(main!A25&gt;0,main!A25,"")</f>
        <v>17</v>
      </c>
      <c r="B26" s="165" t="str">
        <f>IF(main!B25&gt;0,main!B25,"")</f>
        <v>323405593</v>
      </c>
      <c r="C26" s="165" t="str">
        <f>IF(main!C25&gt;0,main!C25,"")</f>
        <v>פוליסת ביטוח חיים משולב חיסכון</v>
      </c>
      <c r="D26" s="165" t="str">
        <f>IF(main!D25&gt;0,main!D25,"")</f>
        <v>מגדל</v>
      </c>
      <c r="E26" s="165" t="str">
        <f>IF(main!E25&gt;0,main!E25,"")</f>
        <v>יותר</v>
      </c>
      <c r="F26" s="1012" t="str">
        <f>IF(main!E25&gt;0,RicusPolice!P22," ")</f>
        <v>01/12/1998</v>
      </c>
      <c r="G26" s="1007">
        <f t="shared" si="0"/>
        <v>2.5</v>
      </c>
      <c r="H26" s="1007">
        <f>IFERROR(VLOOKUP($B26,HotzaotBafoalLehodeshDivoach!$D$6:$U$100,4,FALSE),0)</f>
        <v>0</v>
      </c>
      <c r="I26" s="1007">
        <f>IFERROR(VLOOKUP($B26,HotzaotBafoalLehodeshDivoach!$D$6:$U$100,6,FALSE),0)</f>
        <v>0.05</v>
      </c>
      <c r="J26" s="1007"/>
      <c r="K26" s="1007"/>
      <c r="L26" s="164">
        <f>IFERROR(VLOOKUP($B26,PirteiKisuiBeMutzarPrmia!$C$6:$N$100,9,FALSE),0)</f>
        <v>0</v>
      </c>
      <c r="M26" s="164">
        <f>IFERROR(VLOOKUP($B26,PirteiKisuiBeMutzarPrmia!$C$6:$N$100,12,FALSE),0)</f>
        <v>0</v>
      </c>
      <c r="N26" s="1001">
        <f>main!Z25</f>
        <v>0</v>
      </c>
      <c r="O26" s="1043"/>
    </row>
    <row r="27" spans="1:15" ht="50.1" customHeight="1" x14ac:dyDescent="0.2">
      <c r="A27" s="164">
        <f>IF(main!A26&gt;0,main!A26,"")</f>
        <v>18</v>
      </c>
      <c r="B27" s="165" t="str">
        <f>IF(main!B26&gt;0,main!B26,"")</f>
        <v>056078603</v>
      </c>
      <c r="C27" s="165" t="str">
        <f>IF(main!C26&gt;0,main!C26,"")</f>
        <v>קרן פנסיה</v>
      </c>
      <c r="D27" s="165" t="str">
        <f>IF(main!D26&gt;0,main!D26,"")</f>
        <v>מבטחים מוסד לביטוח סוציאלי של העובדים</v>
      </c>
      <c r="E27" s="165" t="str">
        <f>IF(main!E26&gt;0,main!E26,"")</f>
        <v>מקיפה</v>
      </c>
      <c r="F27" s="1012" t="str">
        <f>IF(main!E26&gt;0,RicusPolice!P23," ")</f>
        <v>01/03/1984</v>
      </c>
      <c r="G27" s="1007">
        <f t="shared" si="0"/>
        <v>4</v>
      </c>
      <c r="H27" s="1007">
        <f>IFERROR(VLOOKUP($B27,HotzaotBafoalLehodeshDivoach!$D$6:$U$100,4,FALSE),0)</f>
        <v>0</v>
      </c>
      <c r="I27" s="1007">
        <f>IFERROR(VLOOKUP($B27,HotzaotBafoalLehodeshDivoach!$D$6:$U$100,6,FALSE),0)</f>
        <v>0</v>
      </c>
      <c r="J27" s="1007"/>
      <c r="K27" s="1007"/>
      <c r="L27" s="164">
        <f>IFERROR(VLOOKUP($B27,PirteiKisuiBeMutzarPrmia!$C$6:$N$100,9,FALSE),0)</f>
        <v>0</v>
      </c>
      <c r="M27" s="164">
        <f>IFERROR(VLOOKUP($B27,PirteiKisuiBeMutzarPrmia!$C$6:$N$100,12,FALSE),0)</f>
        <v>0</v>
      </c>
      <c r="N27" s="1001">
        <f>main!Z26</f>
        <v>4010.17</v>
      </c>
      <c r="O27" s="1043"/>
    </row>
    <row r="28" spans="1:15" ht="50.1" customHeight="1" x14ac:dyDescent="0.2">
      <c r="A28" s="164" t="str">
        <f>IF(main!A27&gt;0,main!A27,"")</f>
        <v/>
      </c>
      <c r="B28" s="165" t="str">
        <f>IF(main!B27&gt;0,main!B27,"")</f>
        <v/>
      </c>
      <c r="C28" s="165" t="str">
        <f>IF(main!C27&gt;0,main!C27,"")</f>
        <v/>
      </c>
      <c r="D28" s="165" t="str">
        <f>IF(main!D27&gt;0,main!D27,"")</f>
        <v/>
      </c>
      <c r="E28" s="165" t="str">
        <f>IF(main!E27&gt;0,main!E27,"")</f>
        <v/>
      </c>
      <c r="F28" s="1012" t="str">
        <f>IF(main!E27&gt;0,RicusPolice!P24," ")</f>
        <v xml:space="preserve"> </v>
      </c>
      <c r="G28" s="1007" t="str">
        <f t="shared" si="0"/>
        <v xml:space="preserve"> </v>
      </c>
      <c r="H28" s="1007">
        <f>IFERROR(VLOOKUP($B28,HotzaotBafoalLehodeshDivoach!$D$6:$U$100,4,FALSE),0)</f>
        <v>0</v>
      </c>
      <c r="I28" s="1007">
        <f>IFERROR(VLOOKUP($B28,HotzaotBafoalLehodeshDivoach!$D$6:$U$100,6,FALSE),0)</f>
        <v>0</v>
      </c>
      <c r="J28" s="1007"/>
      <c r="K28" s="1007"/>
      <c r="L28" s="164">
        <f>IFERROR(VLOOKUP($B28,PirteiKisuiBeMutzarPrmia!$C$6:$N$100,9,FALSE),0)</f>
        <v>0</v>
      </c>
      <c r="M28" s="164">
        <f>IFERROR(VLOOKUP($B28,PirteiKisuiBeMutzarPrmia!$C$6:$N$100,12,FALSE),0)</f>
        <v>0</v>
      </c>
      <c r="N28" s="1001">
        <f>main!Z27</f>
        <v>0</v>
      </c>
      <c r="O28" s="1043"/>
    </row>
    <row r="29" spans="1:15" ht="50.1" customHeight="1" x14ac:dyDescent="0.2">
      <c r="A29" s="164" t="str">
        <f>IF(main!A28&gt;0,main!A28,"")</f>
        <v/>
      </c>
      <c r="B29" s="165" t="str">
        <f>IF(main!B28&gt;0,main!B28,"")</f>
        <v/>
      </c>
      <c r="C29" s="165" t="str">
        <f>IF(main!C28&gt;0,main!C28,"")</f>
        <v/>
      </c>
      <c r="D29" s="165" t="str">
        <f>IF(main!D28&gt;0,main!D28,"")</f>
        <v/>
      </c>
      <c r="E29" s="165" t="str">
        <f>IF(main!E28&gt;0,main!E28,"")</f>
        <v/>
      </c>
      <c r="F29" s="1012" t="str">
        <f>IF(main!E28&gt;0,RicusPolice!P25," ")</f>
        <v xml:space="preserve"> </v>
      </c>
      <c r="G29" s="1007" t="str">
        <f t="shared" si="0"/>
        <v xml:space="preserve"> </v>
      </c>
      <c r="H29" s="1007">
        <f>IFERROR(VLOOKUP($B29,HotzaotBafoalLehodeshDivoach!$D$6:$U$100,4,FALSE),0)</f>
        <v>0</v>
      </c>
      <c r="I29" s="1007">
        <f>IFERROR(VLOOKUP($B29,HotzaotBafoalLehodeshDivoach!$D$6:$U$100,6,FALSE),0)</f>
        <v>0</v>
      </c>
      <c r="J29" s="1007"/>
      <c r="K29" s="1007"/>
      <c r="L29" s="164">
        <f>IFERROR(VLOOKUP($B29,PirteiKisuiBeMutzarPrmia!$C$6:$N$100,9,FALSE),0)</f>
        <v>0</v>
      </c>
      <c r="M29" s="164">
        <f>IFERROR(VLOOKUP($B29,PirteiKisuiBeMutzarPrmia!$C$6:$N$100,12,FALSE),0)</f>
        <v>0</v>
      </c>
      <c r="N29" s="1001">
        <f>main!Z28</f>
        <v>0</v>
      </c>
      <c r="O29" s="1043"/>
    </row>
    <row r="30" spans="1:15" ht="50.1" customHeight="1" x14ac:dyDescent="0.2">
      <c r="A30" s="164" t="str">
        <f>IF(main!A29&gt;0,main!A29,"")</f>
        <v/>
      </c>
      <c r="B30" s="165" t="str">
        <f>IF(main!B29&gt;0,main!B29,"")</f>
        <v/>
      </c>
      <c r="C30" s="165" t="str">
        <f>IF(main!C29&gt;0,main!C29,"")</f>
        <v/>
      </c>
      <c r="D30" s="165" t="str">
        <f>IF(main!D29&gt;0,main!D29,"")</f>
        <v/>
      </c>
      <c r="E30" s="165" t="str">
        <f>IF(main!E29&gt;0,main!E29,"")</f>
        <v/>
      </c>
      <c r="F30" s="1012" t="str">
        <f>IF(main!E29&gt;0,RicusPolice!P26," ")</f>
        <v xml:space="preserve"> </v>
      </c>
      <c r="G30" s="1007" t="str">
        <f t="shared" si="0"/>
        <v xml:space="preserve"> </v>
      </c>
      <c r="H30" s="1007">
        <f>IFERROR(VLOOKUP($B30,HotzaotBafoalLehodeshDivoach!$D$6:$U$100,4,FALSE),0)</f>
        <v>0</v>
      </c>
      <c r="I30" s="1007">
        <f>IFERROR(VLOOKUP($B30,HotzaotBafoalLehodeshDivoach!$D$6:$U$100,6,FALSE),0)</f>
        <v>0</v>
      </c>
      <c r="J30" s="1007"/>
      <c r="K30" s="1007"/>
      <c r="L30" s="164">
        <f>IFERROR(VLOOKUP($B30,PirteiKisuiBeMutzarPrmia!$C$6:$N$100,9,FALSE),0)</f>
        <v>0</v>
      </c>
      <c r="M30" s="164">
        <f>IFERROR(VLOOKUP($B30,PirteiKisuiBeMutzarPrmia!$C$6:$N$100,12,FALSE),0)</f>
        <v>0</v>
      </c>
      <c r="N30" s="1001">
        <f>main!Z29</f>
        <v>0</v>
      </c>
      <c r="O30" s="1043"/>
    </row>
    <row r="31" spans="1:15" ht="50.1" customHeight="1" x14ac:dyDescent="0.2">
      <c r="A31" s="164" t="str">
        <f>IF(main!A30&gt;0,main!A30,"")</f>
        <v/>
      </c>
      <c r="B31" s="165" t="str">
        <f>IF(main!B30&gt;0,main!B30,"")</f>
        <v/>
      </c>
      <c r="C31" s="165" t="str">
        <f>IF(main!C30&gt;0,main!C30,"")</f>
        <v/>
      </c>
      <c r="D31" s="165" t="str">
        <f>IF(main!D30&gt;0,main!D30,"")</f>
        <v/>
      </c>
      <c r="E31" s="165" t="str">
        <f>IF(main!E30&gt;0,main!E30,"")</f>
        <v/>
      </c>
      <c r="F31" s="1012" t="str">
        <f>IF(main!E30&gt;0,RicusPolice!P27," ")</f>
        <v xml:space="preserve"> </v>
      </c>
      <c r="G31" s="1007" t="str">
        <f t="shared" si="0"/>
        <v xml:space="preserve"> </v>
      </c>
      <c r="H31" s="1007">
        <f>IFERROR(VLOOKUP($B31,HotzaotBafoalLehodeshDivoach!$D$6:$U$100,4,FALSE),0)</f>
        <v>0</v>
      </c>
      <c r="I31" s="1007">
        <f>IFERROR(VLOOKUP($B31,HotzaotBafoalLehodeshDivoach!$D$6:$U$100,6,FALSE),0)</f>
        <v>0</v>
      </c>
      <c r="J31" s="1007"/>
      <c r="K31" s="1007"/>
      <c r="L31" s="164">
        <f>IFERROR(VLOOKUP($B31,PirteiKisuiBeMutzarPrmia!$C$6:$N$100,9,FALSE),0)</f>
        <v>0</v>
      </c>
      <c r="M31" s="164">
        <f>IFERROR(VLOOKUP($B31,PirteiKisuiBeMutzarPrmia!$C$6:$N$100,12,FALSE),0)</f>
        <v>0</v>
      </c>
      <c r="N31" s="1001">
        <f>main!Z30</f>
        <v>0</v>
      </c>
      <c r="O31" s="1043"/>
    </row>
    <row r="32" spans="1:15" ht="50.1" customHeight="1" x14ac:dyDescent="0.2">
      <c r="A32" s="164" t="str">
        <f>IF(main!A31&gt;0,main!A31,"")</f>
        <v/>
      </c>
      <c r="B32" s="165" t="str">
        <f>IF(main!B31&gt;0,main!B31,"")</f>
        <v/>
      </c>
      <c r="C32" s="165" t="str">
        <f>IF(main!C31&gt;0,main!C31,"")</f>
        <v/>
      </c>
      <c r="D32" s="165" t="str">
        <f>IF(main!D31&gt;0,main!D31,"")</f>
        <v/>
      </c>
      <c r="E32" s="165" t="str">
        <f>IF(main!E31&gt;0,main!E31,"")</f>
        <v/>
      </c>
      <c r="F32" s="1012" t="str">
        <f>IF(main!E31&gt;0,RicusPolice!P28," ")</f>
        <v xml:space="preserve"> </v>
      </c>
      <c r="G32" s="1007" t="str">
        <f t="shared" si="0"/>
        <v xml:space="preserve"> </v>
      </c>
      <c r="H32" s="1007">
        <f>IFERROR(VLOOKUP($B32,HotzaotBafoalLehodeshDivoach!$D$6:$U$100,4,FALSE),0)</f>
        <v>0</v>
      </c>
      <c r="I32" s="1007">
        <f>IFERROR(VLOOKUP($B32,HotzaotBafoalLehodeshDivoach!$D$6:$U$100,6,FALSE),0)</f>
        <v>0</v>
      </c>
      <c r="J32" s="1007"/>
      <c r="K32" s="1007"/>
      <c r="L32" s="164">
        <f>IFERROR(VLOOKUP($B32,PirteiKisuiBeMutzarPrmia!$C$6:$N$100,9,FALSE),0)</f>
        <v>0</v>
      </c>
      <c r="M32" s="164">
        <f>IFERROR(VLOOKUP($B32,PirteiKisuiBeMutzarPrmia!$C$6:$N$100,12,FALSE),0)</f>
        <v>0</v>
      </c>
      <c r="N32" s="1001">
        <f>main!Z31</f>
        <v>0</v>
      </c>
      <c r="O32" s="1043"/>
    </row>
    <row r="33" spans="1:15" ht="50.1" customHeight="1" x14ac:dyDescent="0.2">
      <c r="A33" s="164" t="str">
        <f>IF(main!A32&gt;0,main!A32,"")</f>
        <v/>
      </c>
      <c r="B33" s="165" t="str">
        <f>IF(main!B32&gt;0,main!B32,"")</f>
        <v/>
      </c>
      <c r="C33" s="165" t="str">
        <f>IF(main!C32&gt;0,main!C32,"")</f>
        <v/>
      </c>
      <c r="D33" s="165" t="str">
        <f>IF(main!D32&gt;0,main!D32,"")</f>
        <v/>
      </c>
      <c r="E33" s="165" t="str">
        <f>IF(main!E32&gt;0,main!E32,"")</f>
        <v/>
      </c>
      <c r="F33" s="1012" t="str">
        <f>IF(main!E32&gt;0,RicusPolice!P29," ")</f>
        <v xml:space="preserve"> </v>
      </c>
      <c r="G33" s="1007" t="str">
        <f t="shared" si="0"/>
        <v xml:space="preserve"> </v>
      </c>
      <c r="H33" s="1007">
        <f>IFERROR(VLOOKUP($B33,HotzaotBafoalLehodeshDivoach!$D$6:$U$100,4,FALSE),0)</f>
        <v>0</v>
      </c>
      <c r="I33" s="1007">
        <f>IFERROR(VLOOKUP($B33,HotzaotBafoalLehodeshDivoach!$D$6:$U$100,6,FALSE),0)</f>
        <v>0</v>
      </c>
      <c r="J33" s="1007"/>
      <c r="K33" s="1007"/>
      <c r="L33" s="164">
        <f>IFERROR(VLOOKUP($B33,PirteiKisuiBeMutzarPrmia!$C$6:$N$100,9,FALSE),0)</f>
        <v>0</v>
      </c>
      <c r="M33" s="164">
        <f>IFERROR(VLOOKUP($B33,PirteiKisuiBeMutzarPrmia!$C$6:$N$100,12,FALSE),0)</f>
        <v>0</v>
      </c>
      <c r="N33" s="1001">
        <f>main!Z32</f>
        <v>0</v>
      </c>
      <c r="O33" s="1043"/>
    </row>
    <row r="34" spans="1:15" ht="50.1" customHeight="1" x14ac:dyDescent="0.2">
      <c r="A34" s="164" t="str">
        <f>IF(main!A33&gt;0,main!A33,"")</f>
        <v/>
      </c>
      <c r="B34" s="165" t="str">
        <f>IF(main!B33&gt;0,main!B33,"")</f>
        <v/>
      </c>
      <c r="C34" s="165" t="str">
        <f>IF(main!C33&gt;0,main!C33,"")</f>
        <v/>
      </c>
      <c r="D34" s="165" t="str">
        <f>IF(main!D33&gt;0,main!D33,"")</f>
        <v/>
      </c>
      <c r="E34" s="165" t="str">
        <f>IF(main!E33&gt;0,main!E33,"")</f>
        <v/>
      </c>
      <c r="F34" s="1012" t="str">
        <f>IF(main!E33&gt;0,RicusPolice!P30," ")</f>
        <v xml:space="preserve"> </v>
      </c>
      <c r="G34" s="1007" t="str">
        <f t="shared" si="0"/>
        <v xml:space="preserve"> </v>
      </c>
      <c r="H34" s="1007">
        <f>IFERROR(VLOOKUP($B34,HotzaotBafoalLehodeshDivoach!$D$6:$U$100,4,FALSE),0)</f>
        <v>0</v>
      </c>
      <c r="I34" s="1007">
        <f>IFERROR(VLOOKUP($B34,HotzaotBafoalLehodeshDivoach!$D$6:$U$100,6,FALSE),0)</f>
        <v>0</v>
      </c>
      <c r="J34" s="1007"/>
      <c r="K34" s="1007"/>
      <c r="L34" s="164">
        <f>IFERROR(VLOOKUP($B34,PirteiKisuiBeMutzarPrmia!$C$6:$N$100,9,FALSE),0)</f>
        <v>0</v>
      </c>
      <c r="M34" s="164">
        <f>IFERROR(VLOOKUP($B34,PirteiKisuiBeMutzarPrmia!$C$6:$N$100,12,FALSE),0)</f>
        <v>0</v>
      </c>
      <c r="N34" s="1001">
        <f>main!Z33</f>
        <v>0</v>
      </c>
      <c r="O34" s="1043"/>
    </row>
    <row r="35" spans="1:15" ht="50.1" customHeight="1" x14ac:dyDescent="0.2">
      <c r="A35" s="164" t="str">
        <f>IF(main!A34&gt;0,main!A34,"")</f>
        <v/>
      </c>
      <c r="B35" s="165" t="str">
        <f>IF(main!B34&gt;0,main!B34,"")</f>
        <v/>
      </c>
      <c r="C35" s="165" t="str">
        <f>IF(main!C34&gt;0,main!C34,"")</f>
        <v/>
      </c>
      <c r="D35" s="165" t="str">
        <f>IF(main!D34&gt;0,main!D34,"")</f>
        <v/>
      </c>
      <c r="E35" s="165" t="str">
        <f>IF(main!E34&gt;0,main!E34,"")</f>
        <v/>
      </c>
      <c r="F35" s="1012" t="str">
        <f>IF(main!E34&gt;0,RicusPolice!P31," ")</f>
        <v xml:space="preserve"> </v>
      </c>
      <c r="G35" s="1007" t="str">
        <f t="shared" si="0"/>
        <v xml:space="preserve"> </v>
      </c>
      <c r="H35" s="1007">
        <f>IFERROR(VLOOKUP($B35,HotzaotBafoalLehodeshDivoach!$D$6:$U$100,4,FALSE),0)</f>
        <v>0</v>
      </c>
      <c r="I35" s="1007">
        <f>IFERROR(VLOOKUP($B35,HotzaotBafoalLehodeshDivoach!$D$6:$U$100,6,FALSE),0)</f>
        <v>0</v>
      </c>
      <c r="J35" s="1007"/>
      <c r="K35" s="1007"/>
      <c r="L35" s="164">
        <f>IFERROR(VLOOKUP($B35,PirteiKisuiBeMutzarPrmia!$C$6:$N$100,9,FALSE),0)</f>
        <v>0</v>
      </c>
      <c r="M35" s="164">
        <f>IFERROR(VLOOKUP($B35,PirteiKisuiBeMutzarPrmia!$C$6:$N$100,12,FALSE),0)</f>
        <v>0</v>
      </c>
      <c r="N35" s="1001">
        <f>main!Z34</f>
        <v>0</v>
      </c>
      <c r="O35" s="1043"/>
    </row>
    <row r="36" spans="1:15" ht="50.1" customHeight="1" x14ac:dyDescent="0.2">
      <c r="A36" s="164" t="str">
        <f>IF(main!A35&gt;0,main!A35,"")</f>
        <v/>
      </c>
      <c r="B36" s="165" t="str">
        <f>IF(main!B35&gt;0,main!B35,"")</f>
        <v/>
      </c>
      <c r="C36" s="165" t="str">
        <f>IF(main!C35&gt;0,main!C35,"")</f>
        <v/>
      </c>
      <c r="D36" s="165" t="str">
        <f>IF(main!D35&gt;0,main!D35,"")</f>
        <v/>
      </c>
      <c r="E36" s="165" t="str">
        <f>IF(main!E35&gt;0,main!E35,"")</f>
        <v/>
      </c>
      <c r="F36" s="1012" t="str">
        <f>IF(main!E35&gt;0,RicusPolice!P32," ")</f>
        <v xml:space="preserve"> </v>
      </c>
      <c r="G36" s="1007" t="str">
        <f t="shared" si="0"/>
        <v xml:space="preserve"> </v>
      </c>
      <c r="H36" s="1007">
        <f>IFERROR(VLOOKUP($B36,HotzaotBafoalLehodeshDivoach!$D$6:$U$100,4,FALSE),0)</f>
        <v>0</v>
      </c>
      <c r="I36" s="1007">
        <f>IFERROR(VLOOKUP($B36,HotzaotBafoalLehodeshDivoach!$D$6:$U$100,6,FALSE),0)</f>
        <v>0</v>
      </c>
      <c r="J36" s="1007"/>
      <c r="K36" s="1007"/>
      <c r="L36" s="164">
        <f>IFERROR(VLOOKUP($B36,PirteiKisuiBeMutzarPrmia!$C$6:$N$100,9,FALSE),0)</f>
        <v>0</v>
      </c>
      <c r="M36" s="164">
        <f>IFERROR(VLOOKUP($B36,PirteiKisuiBeMutzarPrmia!$C$6:$N$100,12,FALSE),0)</f>
        <v>0</v>
      </c>
      <c r="N36" s="1001">
        <f>main!Z35</f>
        <v>0</v>
      </c>
      <c r="O36" s="1043"/>
    </row>
    <row r="37" spans="1:15" ht="50.1" customHeight="1" x14ac:dyDescent="0.2">
      <c r="A37" s="164" t="str">
        <f>IF(main!A36&gt;0,main!A36,"")</f>
        <v/>
      </c>
      <c r="B37" s="165" t="str">
        <f>IF(main!B36&gt;0,main!B36,"")</f>
        <v/>
      </c>
      <c r="C37" s="165" t="str">
        <f>IF(main!C36&gt;0,main!C36,"")</f>
        <v/>
      </c>
      <c r="D37" s="165" t="str">
        <f>IF(main!D36&gt;0,main!D36,"")</f>
        <v/>
      </c>
      <c r="E37" s="165" t="str">
        <f>IF(main!E36&gt;0,main!E36,"")</f>
        <v/>
      </c>
      <c r="F37" s="1012" t="str">
        <f>IF(main!E36&gt;0,RicusPolice!P33," ")</f>
        <v xml:space="preserve"> </v>
      </c>
      <c r="G37" s="1007" t="str">
        <f t="shared" si="0"/>
        <v xml:space="preserve"> </v>
      </c>
      <c r="H37" s="1007">
        <f>IFERROR(VLOOKUP($B37,HotzaotBafoalLehodeshDivoach!$D$6:$U$100,4,FALSE),0)</f>
        <v>0</v>
      </c>
      <c r="I37" s="1007">
        <f>IFERROR(VLOOKUP($B37,HotzaotBafoalLehodeshDivoach!$D$6:$U$100,6,FALSE),0)</f>
        <v>0</v>
      </c>
      <c r="J37" s="1007"/>
      <c r="K37" s="1007"/>
      <c r="L37" s="164">
        <f>IFERROR(VLOOKUP($B37,PirteiKisuiBeMutzarPrmia!$C$6:$N$100,9,FALSE),0)</f>
        <v>0</v>
      </c>
      <c r="M37" s="164">
        <f>IFERROR(VLOOKUP($B37,PirteiKisuiBeMutzarPrmia!$C$6:$N$100,12,FALSE),0)</f>
        <v>0</v>
      </c>
      <c r="N37" s="1001">
        <f>main!Z36</f>
        <v>0</v>
      </c>
      <c r="O37" s="1043"/>
    </row>
    <row r="38" spans="1:15" ht="50.1" customHeight="1" x14ac:dyDescent="0.2">
      <c r="A38" s="164" t="str">
        <f>IF(main!A37&gt;0,main!A37,"")</f>
        <v/>
      </c>
      <c r="B38" s="165" t="str">
        <f>IF(main!B37&gt;0,main!B37,"")</f>
        <v/>
      </c>
      <c r="C38" s="165" t="str">
        <f>IF(main!C37&gt;0,main!C37,"")</f>
        <v/>
      </c>
      <c r="D38" s="165" t="str">
        <f>IF(main!D37&gt;0,main!D37,"")</f>
        <v/>
      </c>
      <c r="E38" s="165" t="str">
        <f>IF(main!E37&gt;0,main!E37,"")</f>
        <v/>
      </c>
      <c r="F38" s="1012" t="str">
        <f>IF(main!E37&gt;0,RicusPolice!P34," ")</f>
        <v xml:space="preserve"> </v>
      </c>
      <c r="G38" s="1007" t="str">
        <f t="shared" si="0"/>
        <v xml:space="preserve"> </v>
      </c>
      <c r="H38" s="1007">
        <f>IFERROR(VLOOKUP($B38,HotzaotBafoalLehodeshDivoach!$D$6:$U$100,4,FALSE),0)</f>
        <v>0</v>
      </c>
      <c r="I38" s="1007">
        <f>IFERROR(VLOOKUP($B38,HotzaotBafoalLehodeshDivoach!$D$6:$U$100,6,FALSE),0)</f>
        <v>0</v>
      </c>
      <c r="J38" s="1007"/>
      <c r="K38" s="1007"/>
      <c r="L38" s="164">
        <f>IFERROR(VLOOKUP($B38,PirteiKisuiBeMutzarPrmia!$C$6:$N$100,9,FALSE),0)</f>
        <v>0</v>
      </c>
      <c r="M38" s="164">
        <f>IFERROR(VLOOKUP($B38,PirteiKisuiBeMutzarPrmia!$C$6:$N$100,12,FALSE),0)</f>
        <v>0</v>
      </c>
      <c r="N38" s="1001">
        <f>main!Z37</f>
        <v>0</v>
      </c>
      <c r="O38" s="1043"/>
    </row>
    <row r="39" spans="1:15" ht="50.1" customHeight="1" x14ac:dyDescent="0.2">
      <c r="A39" s="164" t="str">
        <f>IF(main!A38&gt;0,main!A38,"")</f>
        <v/>
      </c>
      <c r="B39" s="165" t="str">
        <f>IF(main!B38&gt;0,main!B38,"")</f>
        <v/>
      </c>
      <c r="C39" s="165" t="str">
        <f>IF(main!C38&gt;0,main!C38,"")</f>
        <v/>
      </c>
      <c r="D39" s="165" t="str">
        <f>IF(main!D38&gt;0,main!D38,"")</f>
        <v/>
      </c>
      <c r="E39" s="165" t="str">
        <f>IF(main!E38&gt;0,main!E38,"")</f>
        <v/>
      </c>
      <c r="F39" s="1012" t="str">
        <f>IF(main!E38&gt;0,RicusPolice!P35," ")</f>
        <v xml:space="preserve"> </v>
      </c>
      <c r="G39" s="1007" t="str">
        <f t="shared" si="0"/>
        <v xml:space="preserve"> </v>
      </c>
      <c r="H39" s="1007">
        <f>IFERROR(VLOOKUP($B39,HotzaotBafoalLehodeshDivoach!$D$6:$U$100,4,FALSE),0)</f>
        <v>0</v>
      </c>
      <c r="I39" s="1007">
        <f>IFERROR(VLOOKUP($B39,HotzaotBafoalLehodeshDivoach!$D$6:$U$100,6,FALSE),0)</f>
        <v>0</v>
      </c>
      <c r="J39" s="1007"/>
      <c r="K39" s="1007"/>
      <c r="L39" s="164">
        <f>IFERROR(VLOOKUP($B39,PirteiKisuiBeMutzarPrmia!$C$6:$N$100,9,FALSE),0)</f>
        <v>0</v>
      </c>
      <c r="M39" s="164">
        <f>IFERROR(VLOOKUP($B39,PirteiKisuiBeMutzarPrmia!$C$6:$N$100,12,FALSE),0)</f>
        <v>0</v>
      </c>
      <c r="N39" s="1001">
        <f>main!Z38</f>
        <v>0</v>
      </c>
      <c r="O39" s="1043"/>
    </row>
    <row r="40" spans="1:15" ht="50.1" customHeight="1" x14ac:dyDescent="0.2">
      <c r="A40" s="164" t="str">
        <f>IF(main!A39&gt;0,main!A39,"")</f>
        <v/>
      </c>
      <c r="B40" s="165" t="str">
        <f>IF(main!B39&gt;0,main!B39,"")</f>
        <v/>
      </c>
      <c r="C40" s="165" t="str">
        <f>IF(main!C39&gt;0,main!C39,"")</f>
        <v/>
      </c>
      <c r="D40" s="165" t="str">
        <f>IF(main!D39&gt;0,main!D39,"")</f>
        <v/>
      </c>
      <c r="E40" s="165" t="str">
        <f>IF(main!E39&gt;0,main!E39,"")</f>
        <v/>
      </c>
      <c r="F40" s="1012" t="str">
        <f>IF(main!E39&gt;0,RicusPolice!P36," ")</f>
        <v xml:space="preserve"> </v>
      </c>
      <c r="G40" s="1007" t="str">
        <f t="shared" si="0"/>
        <v xml:space="preserve"> </v>
      </c>
      <c r="H40" s="1007">
        <f>IFERROR(VLOOKUP($B40,HotzaotBafoalLehodeshDivoach!$D$6:$U$100,4,FALSE),0)</f>
        <v>0</v>
      </c>
      <c r="I40" s="1007">
        <f>IFERROR(VLOOKUP($B40,HotzaotBafoalLehodeshDivoach!$D$6:$U$100,6,FALSE),0)</f>
        <v>0</v>
      </c>
      <c r="J40" s="1007"/>
      <c r="K40" s="1007"/>
      <c r="L40" s="164">
        <f>IFERROR(VLOOKUP($B40,PirteiKisuiBeMutzarPrmia!$C$6:$N$100,9,FALSE),0)</f>
        <v>0</v>
      </c>
      <c r="M40" s="164">
        <f>IFERROR(VLOOKUP($B40,PirteiKisuiBeMutzarPrmia!$C$6:$N$100,12,FALSE),0)</f>
        <v>0</v>
      </c>
      <c r="N40" s="1001">
        <f>main!Z39</f>
        <v>0</v>
      </c>
      <c r="O40" s="1043"/>
    </row>
    <row r="41" spans="1:15" ht="50.1" customHeight="1" x14ac:dyDescent="0.2">
      <c r="A41" s="164" t="str">
        <f>IF(main!A40&gt;0,main!A40,"")</f>
        <v/>
      </c>
      <c r="B41" s="165" t="str">
        <f>IF(main!B40&gt;0,main!B40,"")</f>
        <v/>
      </c>
      <c r="C41" s="165" t="str">
        <f>IF(main!C40&gt;0,main!C40,"")</f>
        <v/>
      </c>
      <c r="D41" s="165" t="str">
        <f>IF(main!D40&gt;0,main!D40,"")</f>
        <v/>
      </c>
      <c r="E41" s="165" t="str">
        <f>IF(main!E40&gt;0,main!E40,"")</f>
        <v/>
      </c>
      <c r="F41" s="1012" t="str">
        <f>IF(main!E40&gt;0,RicusPolice!P37," ")</f>
        <v xml:space="preserve"> </v>
      </c>
      <c r="G41" s="1007" t="str">
        <f t="shared" si="0"/>
        <v xml:space="preserve"> </v>
      </c>
      <c r="H41" s="1007">
        <f>IFERROR(VLOOKUP($B41,HotzaotBafoalLehodeshDivoach!$D$6:$U$100,4,FALSE),0)</f>
        <v>0</v>
      </c>
      <c r="I41" s="1007">
        <f>IFERROR(VLOOKUP($B41,HotzaotBafoalLehodeshDivoach!$D$6:$U$100,6,FALSE),0)</f>
        <v>0</v>
      </c>
      <c r="J41" s="1007"/>
      <c r="K41" s="1007"/>
      <c r="L41" s="164">
        <f>IFERROR(VLOOKUP($B41,PirteiKisuiBeMutzarPrmia!$C$6:$N$100,9,FALSE),0)</f>
        <v>0</v>
      </c>
      <c r="M41" s="164">
        <f>IFERROR(VLOOKUP($B41,PirteiKisuiBeMutzarPrmia!$C$6:$N$100,12,FALSE),0)</f>
        <v>0</v>
      </c>
      <c r="N41" s="1001">
        <f>main!Z40</f>
        <v>0</v>
      </c>
      <c r="O41" s="1043"/>
    </row>
    <row r="42" spans="1:15" ht="50.1" customHeight="1" x14ac:dyDescent="0.2">
      <c r="A42" s="164" t="str">
        <f>IF(main!A41&gt;0,main!A41,"")</f>
        <v/>
      </c>
      <c r="B42" s="165" t="str">
        <f>IF(main!B41&gt;0,main!B41,"")</f>
        <v/>
      </c>
      <c r="C42" s="165" t="str">
        <f>IF(main!C41&gt;0,main!C41,"")</f>
        <v/>
      </c>
      <c r="D42" s="165" t="str">
        <f>IF(main!D41&gt;0,main!D41,"")</f>
        <v/>
      </c>
      <c r="E42" s="165" t="str">
        <f>IF(main!E41&gt;0,main!E41,"")</f>
        <v/>
      </c>
      <c r="F42" s="1012" t="str">
        <f>IF(main!E41&gt;0,RicusPolice!P38," ")</f>
        <v xml:space="preserve"> </v>
      </c>
      <c r="G42" s="1007" t="str">
        <f t="shared" si="0"/>
        <v xml:space="preserve"> </v>
      </c>
      <c r="H42" s="1007">
        <f>IFERROR(VLOOKUP($B42,HotzaotBafoalLehodeshDivoach!$D$6:$U$100,4,FALSE),0)</f>
        <v>0</v>
      </c>
      <c r="I42" s="1007">
        <f>IFERROR(VLOOKUP($B42,HotzaotBafoalLehodeshDivoach!$D$6:$U$100,6,FALSE),0)</f>
        <v>0</v>
      </c>
      <c r="J42" s="1007"/>
      <c r="K42" s="1007"/>
      <c r="L42" s="164">
        <f>IFERROR(VLOOKUP($B42,PirteiKisuiBeMutzarPrmia!$C$6:$N$100,9,FALSE),0)</f>
        <v>0</v>
      </c>
      <c r="M42" s="164">
        <f>IFERROR(VLOOKUP($B42,PirteiKisuiBeMutzarPrmia!$C$6:$N$100,12,FALSE),0)</f>
        <v>0</v>
      </c>
      <c r="N42" s="1001">
        <f>main!Z41</f>
        <v>0</v>
      </c>
      <c r="O42" s="1043"/>
    </row>
    <row r="43" spans="1:15" ht="50.1" customHeight="1" x14ac:dyDescent="0.2">
      <c r="A43" s="164" t="str">
        <f>IF(main!A42&gt;0,main!A42,"")</f>
        <v/>
      </c>
      <c r="B43" s="165" t="str">
        <f>IF(main!B42&gt;0,main!B42,"")</f>
        <v/>
      </c>
      <c r="C43" s="165" t="str">
        <f>IF(main!C42&gt;0,main!C42,"")</f>
        <v/>
      </c>
      <c r="D43" s="165" t="str">
        <f>IF(main!D42&gt;0,main!D42,"")</f>
        <v/>
      </c>
      <c r="E43" s="165" t="str">
        <f>IF(main!E42&gt;0,main!E42,"")</f>
        <v/>
      </c>
      <c r="F43" s="1012" t="str">
        <f>IF(main!E42&gt;0,RicusPolice!P39," ")</f>
        <v xml:space="preserve"> </v>
      </c>
      <c r="G43" s="1007" t="str">
        <f t="shared" si="0"/>
        <v xml:space="preserve"> </v>
      </c>
      <c r="H43" s="1007">
        <f>IFERROR(VLOOKUP($B43,HotzaotBafoalLehodeshDivoach!$D$6:$U$100,4,FALSE),0)</f>
        <v>0</v>
      </c>
      <c r="I43" s="1007">
        <f>IFERROR(VLOOKUP($B43,HotzaotBafoalLehodeshDivoach!$D$6:$U$100,6,FALSE),0)</f>
        <v>0</v>
      </c>
      <c r="J43" s="1007"/>
      <c r="K43" s="1007"/>
      <c r="L43" s="164">
        <f>IFERROR(VLOOKUP($B43,PirteiKisuiBeMutzarPrmia!$C$6:$N$100,9,FALSE),0)</f>
        <v>0</v>
      </c>
      <c r="M43" s="164">
        <f>IFERROR(VLOOKUP($B43,PirteiKisuiBeMutzarPrmia!$C$6:$N$100,12,FALSE),0)</f>
        <v>0</v>
      </c>
      <c r="N43" s="1001">
        <f>main!Z42</f>
        <v>0</v>
      </c>
      <c r="O43" s="1043"/>
    </row>
    <row r="44" spans="1:15" ht="50.1" customHeight="1" x14ac:dyDescent="0.2">
      <c r="A44" s="164" t="str">
        <f>IF(main!A43&gt;0,main!A43,"")</f>
        <v/>
      </c>
      <c r="B44" s="165" t="str">
        <f>IF(main!B43&gt;0,main!B43,"")</f>
        <v/>
      </c>
      <c r="C44" s="165" t="str">
        <f>IF(main!C43&gt;0,main!C43,"")</f>
        <v/>
      </c>
      <c r="D44" s="165" t="str">
        <f>IF(main!D43&gt;0,main!D43,"")</f>
        <v/>
      </c>
      <c r="E44" s="165" t="str">
        <f>IF(main!E43&gt;0,main!E43,"")</f>
        <v/>
      </c>
      <c r="F44" s="1012" t="str">
        <f>IF(main!E43&gt;0,RicusPolice!P40," ")</f>
        <v xml:space="preserve"> </v>
      </c>
      <c r="G44" s="1007" t="str">
        <f t="shared" si="0"/>
        <v xml:space="preserve"> </v>
      </c>
      <c r="H44" s="1007">
        <f>IFERROR(VLOOKUP($B44,HotzaotBafoalLehodeshDivoach!$D$6:$U$100,4,FALSE),0)</f>
        <v>0</v>
      </c>
      <c r="I44" s="1007">
        <f>IFERROR(VLOOKUP($B44,HotzaotBafoalLehodeshDivoach!$D$6:$U$100,6,FALSE),0)</f>
        <v>0</v>
      </c>
      <c r="J44" s="1007"/>
      <c r="K44" s="1007"/>
      <c r="L44" s="164">
        <f>IFERROR(VLOOKUP($B44,PirteiKisuiBeMutzarPrmia!$C$6:$N$100,9,FALSE),0)</f>
        <v>0</v>
      </c>
      <c r="M44" s="164">
        <f>IFERROR(VLOOKUP($B44,PirteiKisuiBeMutzarPrmia!$C$6:$N$100,12,FALSE),0)</f>
        <v>0</v>
      </c>
      <c r="N44" s="1001">
        <f>main!Z43</f>
        <v>0</v>
      </c>
      <c r="O44" s="1043"/>
    </row>
    <row r="45" spans="1:15" ht="50.1" customHeight="1" x14ac:dyDescent="0.2">
      <c r="A45" s="164" t="str">
        <f>IF(main!A44&gt;0,main!A44,"")</f>
        <v/>
      </c>
      <c r="B45" s="165" t="str">
        <f>IF(main!B44&gt;0,main!B44,"")</f>
        <v/>
      </c>
      <c r="C45" s="165" t="str">
        <f>IF(main!C44&gt;0,main!C44,"")</f>
        <v/>
      </c>
      <c r="D45" s="165" t="str">
        <f>IF(main!D44&gt;0,main!D44,"")</f>
        <v/>
      </c>
      <c r="E45" s="165" t="str">
        <f>IF(main!E44&gt;0,main!E44,"")</f>
        <v/>
      </c>
      <c r="F45" s="1012" t="str">
        <f>IF(main!E44&gt;0,RicusPolice!P41," ")</f>
        <v xml:space="preserve"> </v>
      </c>
      <c r="G45" s="1007" t="str">
        <f t="shared" si="0"/>
        <v xml:space="preserve"> </v>
      </c>
      <c r="H45" s="1007">
        <f>IFERROR(VLOOKUP($B45,HotzaotBafoalLehodeshDivoach!$D$6:$U$100,4,FALSE),0)</f>
        <v>0</v>
      </c>
      <c r="I45" s="1007">
        <f>IFERROR(VLOOKUP($B45,HotzaotBafoalLehodeshDivoach!$D$6:$U$100,6,FALSE),0)</f>
        <v>0</v>
      </c>
      <c r="J45" s="1007"/>
      <c r="K45" s="1007"/>
      <c r="L45" s="164">
        <f>IFERROR(VLOOKUP($B45,PirteiKisuiBeMutzarPrmia!$C$6:$N$100,9,FALSE),0)</f>
        <v>0</v>
      </c>
      <c r="M45" s="164">
        <f>IFERROR(VLOOKUP($B45,PirteiKisuiBeMutzarPrmia!$C$6:$N$100,12,FALSE),0)</f>
        <v>0</v>
      </c>
      <c r="N45" s="1001">
        <f>main!Z44</f>
        <v>0</v>
      </c>
      <c r="O45" s="1043"/>
    </row>
    <row r="46" spans="1:15" ht="50.1" customHeight="1" x14ac:dyDescent="0.2">
      <c r="A46" s="164" t="str">
        <f>IF(main!A45&gt;0,main!A45,"")</f>
        <v/>
      </c>
      <c r="B46" s="165" t="str">
        <f>IF(main!B45&gt;0,main!B45,"")</f>
        <v/>
      </c>
      <c r="C46" s="165" t="str">
        <f>IF(main!C45&gt;0,main!C45,"")</f>
        <v/>
      </c>
      <c r="D46" s="165" t="str">
        <f>IF(main!D45&gt;0,main!D45,"")</f>
        <v/>
      </c>
      <c r="E46" s="165" t="str">
        <f>IF(main!E45&gt;0,main!E45,"")</f>
        <v/>
      </c>
      <c r="F46" s="1012" t="str">
        <f>IF(main!E45&gt;0,RicusPolice!P42," ")</f>
        <v xml:space="preserve"> </v>
      </c>
      <c r="G46" s="1007" t="str">
        <f t="shared" si="0"/>
        <v xml:space="preserve"> </v>
      </c>
      <c r="H46" s="1007">
        <f>IFERROR(VLOOKUP($B46,HotzaotBafoalLehodeshDivoach!$D$6:$U$100,4,FALSE),0)</f>
        <v>0</v>
      </c>
      <c r="I46" s="1007">
        <f>IFERROR(VLOOKUP($B46,HotzaotBafoalLehodeshDivoach!$D$6:$U$100,6,FALSE),0)</f>
        <v>0</v>
      </c>
      <c r="J46" s="1007"/>
      <c r="K46" s="1007"/>
      <c r="L46" s="164">
        <f>IFERROR(VLOOKUP($B46,PirteiKisuiBeMutzarPrmia!$C$6:$N$100,9,FALSE),0)</f>
        <v>0</v>
      </c>
      <c r="M46" s="164">
        <f>IFERROR(VLOOKUP($B46,PirteiKisuiBeMutzarPrmia!$C$6:$N$100,12,FALSE),0)</f>
        <v>0</v>
      </c>
      <c r="N46" s="1001">
        <f>main!Z45</f>
        <v>0</v>
      </c>
      <c r="O46" s="1043"/>
    </row>
    <row r="47" spans="1:15" ht="50.1" customHeight="1" x14ac:dyDescent="0.2">
      <c r="A47" s="164" t="str">
        <f>IF(main!A46&gt;0,main!A46,"")</f>
        <v/>
      </c>
      <c r="B47" s="165" t="str">
        <f>IF(main!B46&gt;0,main!B46,"")</f>
        <v/>
      </c>
      <c r="C47" s="165" t="str">
        <f>IF(main!C46&gt;0,main!C46,"")</f>
        <v/>
      </c>
      <c r="D47" s="165" t="str">
        <f>IF(main!D46&gt;0,main!D46,"")</f>
        <v/>
      </c>
      <c r="E47" s="165" t="str">
        <f>IF(main!E46&gt;0,main!E46,"")</f>
        <v/>
      </c>
      <c r="F47" s="1012" t="str">
        <f>IF(main!E46&gt;0,RicusPolice!P43," ")</f>
        <v xml:space="preserve"> </v>
      </c>
      <c r="G47" s="1007" t="str">
        <f t="shared" si="0"/>
        <v xml:space="preserve"> </v>
      </c>
      <c r="H47" s="1007">
        <f>IFERROR(VLOOKUP($B47,HotzaotBafoalLehodeshDivoach!$D$6:$U$100,4,FALSE),0)</f>
        <v>0</v>
      </c>
      <c r="I47" s="1007">
        <f>IFERROR(VLOOKUP($B47,HotzaotBafoalLehodeshDivoach!$D$6:$U$100,6,FALSE),0)</f>
        <v>0</v>
      </c>
      <c r="J47" s="1007"/>
      <c r="K47" s="1007"/>
      <c r="L47" s="164">
        <f>IFERROR(VLOOKUP($B47,PirteiKisuiBeMutzarPrmia!$C$6:$N$100,9,FALSE),0)</f>
        <v>0</v>
      </c>
      <c r="M47" s="164">
        <f>IFERROR(VLOOKUP($B47,PirteiKisuiBeMutzarPrmia!$C$6:$N$100,12,FALSE),0)</f>
        <v>0</v>
      </c>
      <c r="N47" s="1001">
        <f>main!Z46</f>
        <v>0</v>
      </c>
      <c r="O47" s="1043"/>
    </row>
    <row r="48" spans="1:15" ht="50.1" customHeight="1" x14ac:dyDescent="0.2">
      <c r="A48" s="164" t="str">
        <f>IF(main!A47&gt;0,main!A47,"")</f>
        <v/>
      </c>
      <c r="B48" s="165" t="str">
        <f>IF(main!B47&gt;0,main!B47,"")</f>
        <v/>
      </c>
      <c r="C48" s="165" t="str">
        <f>IF(main!C47&gt;0,main!C47,"")</f>
        <v/>
      </c>
      <c r="D48" s="165" t="str">
        <f>IF(main!D47&gt;0,main!D47,"")</f>
        <v/>
      </c>
      <c r="E48" s="165" t="str">
        <f>IF(main!E47&gt;0,main!E47,"")</f>
        <v/>
      </c>
      <c r="F48" s="1012" t="str">
        <f>IF(main!E47&gt;0,RicusPolice!P44," ")</f>
        <v xml:space="preserve"> </v>
      </c>
      <c r="G48" s="1007" t="str">
        <f t="shared" si="0"/>
        <v xml:space="preserve"> </v>
      </c>
      <c r="H48" s="1007">
        <f>IFERROR(VLOOKUP($B48,HotzaotBafoalLehodeshDivoach!$D$6:$U$100,4,FALSE),0)</f>
        <v>0</v>
      </c>
      <c r="I48" s="1007">
        <f>IFERROR(VLOOKUP($B48,HotzaotBafoalLehodeshDivoach!$D$6:$U$100,6,FALSE),0)</f>
        <v>0</v>
      </c>
      <c r="J48" s="1007"/>
      <c r="K48" s="1007"/>
      <c r="L48" s="164">
        <f>IFERROR(VLOOKUP($B48,PirteiKisuiBeMutzarPrmia!$C$6:$N$100,9,FALSE),0)</f>
        <v>0</v>
      </c>
      <c r="M48" s="164">
        <f>IFERROR(VLOOKUP($B48,PirteiKisuiBeMutzarPrmia!$C$6:$N$100,12,FALSE),0)</f>
        <v>0</v>
      </c>
      <c r="N48" s="1001">
        <f>main!Z47</f>
        <v>0</v>
      </c>
      <c r="O48" s="1043"/>
    </row>
    <row r="49" spans="1:15" ht="50.1" customHeight="1" x14ac:dyDescent="0.2">
      <c r="A49" s="164" t="str">
        <f>IF(main!A48&gt;0,main!A48,"")</f>
        <v/>
      </c>
      <c r="B49" s="165" t="str">
        <f>IF(main!B48&gt;0,main!B48,"")</f>
        <v/>
      </c>
      <c r="C49" s="165" t="str">
        <f>IF(main!C48&gt;0,main!C48,"")</f>
        <v/>
      </c>
      <c r="D49" s="165" t="str">
        <f>IF(main!D48&gt;0,main!D48,"")</f>
        <v/>
      </c>
      <c r="E49" s="165" t="str">
        <f>IF(main!E48&gt;0,main!E48,"")</f>
        <v/>
      </c>
      <c r="F49" s="1012" t="str">
        <f>IF(main!E48&gt;0,RicusPolice!P45," ")</f>
        <v xml:space="preserve"> </v>
      </c>
      <c r="G49" s="1007" t="str">
        <f t="shared" si="0"/>
        <v xml:space="preserve"> </v>
      </c>
      <c r="H49" s="1007">
        <f>IFERROR(VLOOKUP($B49,HotzaotBafoalLehodeshDivoach!$D$6:$U$100,4,FALSE),0)</f>
        <v>0</v>
      </c>
      <c r="I49" s="1007">
        <f>IFERROR(VLOOKUP($B49,HotzaotBafoalLehodeshDivoach!$D$6:$U$100,6,FALSE),0)</f>
        <v>0</v>
      </c>
      <c r="J49" s="1007"/>
      <c r="K49" s="1007"/>
      <c r="L49" s="164">
        <f>IFERROR(VLOOKUP($B49,PirteiKisuiBeMutzarPrmia!$C$6:$N$100,9,FALSE),0)</f>
        <v>0</v>
      </c>
      <c r="M49" s="164">
        <f>IFERROR(VLOOKUP($B49,PirteiKisuiBeMutzarPrmia!$C$6:$N$100,12,FALSE),0)</f>
        <v>0</v>
      </c>
      <c r="N49" s="1001">
        <f>main!Z48</f>
        <v>0</v>
      </c>
      <c r="O49" s="1043"/>
    </row>
    <row r="50" spans="1:15" ht="50.1" customHeight="1" x14ac:dyDescent="0.2">
      <c r="A50" s="164" t="str">
        <f>IF(main!A49&gt;0,main!A49,"")</f>
        <v/>
      </c>
      <c r="B50" s="165" t="str">
        <f>IF(main!B49&gt;0,main!B49,"")</f>
        <v/>
      </c>
      <c r="C50" s="165" t="str">
        <f>IF(main!C49&gt;0,main!C49,"")</f>
        <v/>
      </c>
      <c r="D50" s="165" t="str">
        <f>IF(main!D49&gt;0,main!D49,"")</f>
        <v/>
      </c>
      <c r="E50" s="165" t="str">
        <f>IF(main!E49&gt;0,main!E49,"")</f>
        <v/>
      </c>
      <c r="F50" s="1012" t="str">
        <f>IF(main!E49&gt;0,RicusPolice!P46," ")</f>
        <v xml:space="preserve"> </v>
      </c>
      <c r="G50" s="1007" t="str">
        <f t="shared" si="0"/>
        <v xml:space="preserve"> </v>
      </c>
      <c r="H50" s="1007">
        <f>IFERROR(VLOOKUP($B50,HotzaotBafoalLehodeshDivoach!$D$6:$U$100,4,FALSE),0)</f>
        <v>0</v>
      </c>
      <c r="I50" s="1007">
        <f>IFERROR(VLOOKUP($B50,HotzaotBafoalLehodeshDivoach!$D$6:$U$100,6,FALSE),0)</f>
        <v>0</v>
      </c>
      <c r="J50" s="1007"/>
      <c r="K50" s="1007"/>
      <c r="L50" s="164">
        <f>IFERROR(VLOOKUP($B50,PirteiKisuiBeMutzarPrmia!$C$6:$N$100,9,FALSE),0)</f>
        <v>0</v>
      </c>
      <c r="M50" s="164">
        <f>IFERROR(VLOOKUP($B50,PirteiKisuiBeMutzarPrmia!$C$6:$N$100,12,FALSE),0)</f>
        <v>0</v>
      </c>
      <c r="N50" s="1001">
        <f>main!Z49</f>
        <v>0</v>
      </c>
      <c r="O50" s="1043"/>
    </row>
    <row r="51" spans="1:15" ht="50.1" customHeight="1" x14ac:dyDescent="0.2">
      <c r="A51" s="164" t="str">
        <f>IF(main!A50&gt;0,main!A50,"")</f>
        <v/>
      </c>
      <c r="B51" s="165" t="str">
        <f>IF(main!B50&gt;0,main!B50,"")</f>
        <v/>
      </c>
      <c r="C51" s="165" t="str">
        <f>IF(main!C50&gt;0,main!C50,"")</f>
        <v/>
      </c>
      <c r="D51" s="165" t="str">
        <f>IF(main!D50&gt;0,main!D50,"")</f>
        <v/>
      </c>
      <c r="E51" s="165" t="str">
        <f>IF(main!E50&gt;0,main!E50,"")</f>
        <v/>
      </c>
      <c r="F51" s="1012" t="str">
        <f>IF(main!E50&gt;0,RicusPolice!P47," ")</f>
        <v xml:space="preserve"> </v>
      </c>
      <c r="G51" s="1007" t="str">
        <f t="shared" si="0"/>
        <v xml:space="preserve"> </v>
      </c>
      <c r="H51" s="1007">
        <f>IFERROR(VLOOKUP($B51,HotzaotBafoalLehodeshDivoach!$D$6:$U$100,4,FALSE),0)</f>
        <v>0</v>
      </c>
      <c r="I51" s="1007">
        <f>IFERROR(VLOOKUP($B51,HotzaotBafoalLehodeshDivoach!$D$6:$U$100,6,FALSE),0)</f>
        <v>0</v>
      </c>
      <c r="J51" s="1007"/>
      <c r="K51" s="1007"/>
      <c r="L51" s="164">
        <f>IFERROR(VLOOKUP($B51,PirteiKisuiBeMutzarPrmia!$C$6:$N$100,9,FALSE),0)</f>
        <v>0</v>
      </c>
      <c r="M51" s="164">
        <f>IFERROR(VLOOKUP($B51,PirteiKisuiBeMutzarPrmia!$C$6:$N$100,12,FALSE),0)</f>
        <v>0</v>
      </c>
      <c r="N51" s="1001">
        <f>main!Z50</f>
        <v>0</v>
      </c>
      <c r="O51" s="1043"/>
    </row>
    <row r="52" spans="1:15" ht="50.1" customHeight="1" x14ac:dyDescent="0.2">
      <c r="A52" s="164" t="str">
        <f>IF(main!A51&gt;0,main!A51,"")</f>
        <v/>
      </c>
      <c r="B52" s="165" t="str">
        <f>IF(main!B51&gt;0,main!B51,"")</f>
        <v/>
      </c>
      <c r="C52" s="165" t="str">
        <f>IF(main!C51&gt;0,main!C51,"")</f>
        <v/>
      </c>
      <c r="D52" s="165" t="str">
        <f>IF(main!D51&gt;0,main!D51,"")</f>
        <v/>
      </c>
      <c r="E52" s="165" t="str">
        <f>IF(main!E51&gt;0,main!E51,"")</f>
        <v/>
      </c>
      <c r="F52" s="1012" t="str">
        <f>IF(main!E51&gt;0,RicusPolice!P48," ")</f>
        <v xml:space="preserve"> </v>
      </c>
      <c r="G52" s="1007" t="str">
        <f t="shared" si="0"/>
        <v xml:space="preserve"> </v>
      </c>
      <c r="H52" s="1007">
        <f>IFERROR(VLOOKUP($B52,HotzaotBafoalLehodeshDivoach!$D$6:$U$100,4,FALSE),0)</f>
        <v>0</v>
      </c>
      <c r="I52" s="1007">
        <f>IFERROR(VLOOKUP($B52,HotzaotBafoalLehodeshDivoach!$D$6:$U$100,6,FALSE),0)</f>
        <v>0</v>
      </c>
      <c r="J52" s="1007"/>
      <c r="K52" s="1007"/>
      <c r="L52" s="164">
        <f>IFERROR(VLOOKUP($B52,PirteiKisuiBeMutzarPrmia!$C$6:$N$100,9,FALSE),0)</f>
        <v>0</v>
      </c>
      <c r="M52" s="164">
        <f>IFERROR(VLOOKUP($B52,PirteiKisuiBeMutzarPrmia!$C$6:$N$100,12,FALSE),0)</f>
        <v>0</v>
      </c>
      <c r="N52" s="1001">
        <f>main!Z51</f>
        <v>0</v>
      </c>
      <c r="O52" s="1043"/>
    </row>
    <row r="53" spans="1:15" ht="50.1" customHeight="1" x14ac:dyDescent="0.2">
      <c r="A53" s="164" t="str">
        <f>IF(main!A52&gt;0,main!A52,"")</f>
        <v/>
      </c>
      <c r="B53" s="165" t="str">
        <f>IF(main!B52&gt;0,main!B52,"")</f>
        <v/>
      </c>
      <c r="C53" s="165" t="str">
        <f>IF(main!C52&gt;0,main!C52,"")</f>
        <v/>
      </c>
      <c r="D53" s="165" t="str">
        <f>IF(main!D52&gt;0,main!D52,"")</f>
        <v/>
      </c>
      <c r="E53" s="165" t="str">
        <f>IF(main!E52&gt;0,main!E52,"")</f>
        <v/>
      </c>
      <c r="F53" s="1012" t="str">
        <f>IF(main!E52&gt;0,RicusPolice!P49," ")</f>
        <v xml:space="preserve"> </v>
      </c>
      <c r="G53" s="1007"/>
      <c r="H53" s="1007">
        <f>IFERROR(VLOOKUP($B53,HotzaotBafoalLehodeshDivoach!$D$6:$U$100,4,FALSE),0)</f>
        <v>0</v>
      </c>
      <c r="I53" s="1007">
        <f>IFERROR(VLOOKUP($B53,HotzaotBafoalLehodeshDivoach!$D$6:$U$100,6,FALSE),0)</f>
        <v>0</v>
      </c>
      <c r="J53" s="1007" t="str">
        <f>IF(main!O52&gt;0,main!O52,"")</f>
        <v/>
      </c>
      <c r="K53" s="1007"/>
      <c r="L53" s="164">
        <f>IFERROR(VLOOKUP($B53,PirteiKisuiBeMutzarPrmia!$C$6:$N$100,9,FALSE),0)</f>
        <v>0</v>
      </c>
      <c r="M53" s="164">
        <f>IFERROR(VLOOKUP($B53,PirteiKisuiBeMutzarPrmia!$C$6:$N$100,12,FALSE),0)</f>
        <v>0</v>
      </c>
      <c r="N53" s="1001">
        <f>main!Z52</f>
        <v>0</v>
      </c>
      <c r="O53" s="1043"/>
    </row>
    <row r="54" spans="1:15" x14ac:dyDescent="0.2">
      <c r="A54" s="173"/>
      <c r="B54" s="173"/>
      <c r="C54" s="173"/>
      <c r="D54" s="174"/>
      <c r="E54" s="173"/>
      <c r="F54" s="173"/>
      <c r="G54" s="173"/>
      <c r="H54" s="174"/>
      <c r="I54" s="174"/>
      <c r="J54" s="174"/>
      <c r="K54" s="174"/>
      <c r="L54" s="174"/>
      <c r="M54" s="174"/>
    </row>
  </sheetData>
  <pageMargins left="0.7" right="0.7" top="0.75" bottom="0.75" header="0.3" footer="0.3"/>
  <pageSetup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54"/>
  <dimension ref="A1:AB348"/>
  <sheetViews>
    <sheetView rightToLeft="1" workbookViewId="0">
      <selection activeCell="AL8" sqref="AL8"/>
    </sheetView>
  </sheetViews>
  <sheetFormatPr defaultRowHeight="12.75" x14ac:dyDescent="0.2"/>
  <cols>
    <col min="1" max="1" width="11" style="683" customWidth="1"/>
    <col min="2" max="3" width="18.42578125" style="683" customWidth="1"/>
    <col min="4" max="4" width="11" style="683" customWidth="1"/>
    <col min="5" max="5" width="11.140625" style="683" customWidth="1"/>
    <col min="6" max="6" width="10.42578125" bestFit="1" customWidth="1"/>
    <col min="7" max="7" width="11.140625" style="683" customWidth="1"/>
    <col min="8" max="8" width="10" style="683" customWidth="1"/>
    <col min="9" max="9" width="12.28515625" style="683" customWidth="1"/>
    <col min="10" max="10" width="10.28515625" style="683" customWidth="1"/>
    <col min="11" max="11" width="9.85546875" style="683" bestFit="1" customWidth="1"/>
    <col min="12" max="13" width="12.85546875" style="683" customWidth="1"/>
    <col min="14" max="14" width="13.5703125" style="683" customWidth="1"/>
    <col min="15" max="15" width="11.42578125" style="683" customWidth="1"/>
    <col min="16" max="16" width="9.140625" style="683"/>
    <col min="17" max="17" width="22" style="683" customWidth="1"/>
    <col min="18" max="16384" width="9.140625" style="683"/>
  </cols>
  <sheetData>
    <row r="1" spans="1:28" s="704" customFormat="1" ht="35.25" customHeight="1" x14ac:dyDescent="0.2">
      <c r="A1" s="703">
        <v>7</v>
      </c>
      <c r="B1" s="1119" t="s">
        <v>815</v>
      </c>
      <c r="C1" s="1119"/>
      <c r="D1" s="1120"/>
      <c r="E1" s="1120"/>
      <c r="F1" s="1120"/>
      <c r="G1" s="1120"/>
      <c r="H1" s="1120"/>
      <c r="J1" s="704" t="s">
        <v>816</v>
      </c>
      <c r="Y1" s="704" t="s">
        <v>817</v>
      </c>
      <c r="Z1" s="704" t="s">
        <v>268</v>
      </c>
      <c r="AA1" s="704" t="s">
        <v>607</v>
      </c>
      <c r="AB1" s="704" t="s">
        <v>610</v>
      </c>
    </row>
    <row r="2" spans="1:28" s="707" customFormat="1" ht="27" customHeight="1" x14ac:dyDescent="0.25">
      <c r="A2" s="705"/>
      <c r="B2" s="705" t="s">
        <v>818</v>
      </c>
      <c r="C2" s="705"/>
      <c r="D2" s="705"/>
      <c r="E2" s="705" t="s">
        <v>27</v>
      </c>
      <c r="F2" s="706"/>
      <c r="G2" s="705"/>
      <c r="H2" s="705"/>
      <c r="I2" s="705"/>
      <c r="J2" s="705"/>
      <c r="K2" s="705"/>
      <c r="L2" s="705" t="s">
        <v>819</v>
      </c>
      <c r="M2" s="705" t="s">
        <v>819</v>
      </c>
      <c r="N2" s="705" t="s">
        <v>819</v>
      </c>
      <c r="O2" s="705" t="s">
        <v>626</v>
      </c>
      <c r="P2" s="705"/>
    </row>
    <row r="3" spans="1:28" x14ac:dyDescent="0.2">
      <c r="A3" s="708" t="s">
        <v>820</v>
      </c>
      <c r="B3" s="708" t="s">
        <v>821</v>
      </c>
      <c r="C3" s="708" t="s">
        <v>822</v>
      </c>
      <c r="D3" s="708" t="s">
        <v>823</v>
      </c>
      <c r="E3" s="708" t="s">
        <v>824</v>
      </c>
      <c r="F3" s="708" t="s">
        <v>825</v>
      </c>
      <c r="G3" s="708" t="s">
        <v>826</v>
      </c>
      <c r="H3" s="708" t="s">
        <v>827</v>
      </c>
      <c r="I3" s="708" t="s">
        <v>828</v>
      </c>
      <c r="J3" s="708" t="s">
        <v>829</v>
      </c>
      <c r="K3" s="708"/>
      <c r="L3" s="708" t="s">
        <v>830</v>
      </c>
      <c r="M3" s="708" t="s">
        <v>831</v>
      </c>
      <c r="N3" s="708" t="s">
        <v>832</v>
      </c>
      <c r="O3" s="708" t="s">
        <v>833</v>
      </c>
      <c r="P3" s="708"/>
      <c r="Q3" s="708" t="s">
        <v>834</v>
      </c>
      <c r="R3" s="708" t="s">
        <v>835</v>
      </c>
    </row>
    <row r="4" spans="1:28" x14ac:dyDescent="0.2">
      <c r="A4" s="708">
        <v>370</v>
      </c>
      <c r="B4" s="708" t="s">
        <v>836</v>
      </c>
      <c r="C4" s="708" t="s">
        <v>268</v>
      </c>
      <c r="D4" s="709">
        <v>7.5</v>
      </c>
      <c r="E4" s="710"/>
      <c r="F4" s="711"/>
      <c r="G4" s="709">
        <v>7.5</v>
      </c>
      <c r="H4" s="710"/>
      <c r="I4" s="709">
        <v>0.01</v>
      </c>
      <c r="J4" s="710"/>
      <c r="K4" s="616"/>
      <c r="L4" s="616">
        <f t="shared" ref="L4:L32" si="0">J4/I4*100</f>
        <v>0</v>
      </c>
      <c r="M4" s="616">
        <f t="shared" ref="M4:M32" si="1">IF(OR(C4=$AA$1,C4=$AB$1),E4/D4*100,0)</f>
        <v>0</v>
      </c>
      <c r="N4" s="616">
        <f t="shared" ref="N4:N32" si="2">IF(C4=$Z$1,E4/D4*100,0)</f>
        <v>0</v>
      </c>
      <c r="O4" s="616">
        <f t="shared" ref="O4:O32" si="3">H4/G4*100</f>
        <v>0</v>
      </c>
      <c r="P4" s="683" t="s">
        <v>837</v>
      </c>
      <c r="Q4" s="708"/>
      <c r="R4" s="708"/>
    </row>
    <row r="5" spans="1:28" x14ac:dyDescent="0.2">
      <c r="A5" s="708">
        <v>390</v>
      </c>
      <c r="B5" s="708" t="s">
        <v>838</v>
      </c>
      <c r="C5" s="708" t="s">
        <v>268</v>
      </c>
      <c r="D5" s="709">
        <v>5</v>
      </c>
      <c r="E5" s="710"/>
      <c r="F5" s="711">
        <f>E5</f>
        <v>0</v>
      </c>
      <c r="G5" s="709">
        <v>5</v>
      </c>
      <c r="H5" s="710"/>
      <c r="I5" s="709">
        <v>8.33</v>
      </c>
      <c r="J5" s="710"/>
      <c r="K5" s="616"/>
      <c r="L5" s="616">
        <f t="shared" si="0"/>
        <v>0</v>
      </c>
      <c r="M5" s="616">
        <f t="shared" si="1"/>
        <v>0</v>
      </c>
      <c r="N5" s="616">
        <f t="shared" si="2"/>
        <v>0</v>
      </c>
      <c r="O5" s="616">
        <f t="shared" si="3"/>
        <v>0</v>
      </c>
      <c r="P5" s="683" t="s">
        <v>837</v>
      </c>
      <c r="Q5" s="708"/>
      <c r="R5" s="708"/>
    </row>
    <row r="6" spans="1:28" x14ac:dyDescent="0.2">
      <c r="A6" s="708">
        <v>402</v>
      </c>
      <c r="B6" s="708" t="s">
        <v>839</v>
      </c>
      <c r="C6" s="708" t="s">
        <v>268</v>
      </c>
      <c r="D6" s="709">
        <v>5</v>
      </c>
      <c r="E6" s="710"/>
      <c r="F6" s="711">
        <f>E6</f>
        <v>0</v>
      </c>
      <c r="G6" s="709">
        <v>5</v>
      </c>
      <c r="H6" s="710"/>
      <c r="I6" s="709">
        <v>8.5</v>
      </c>
      <c r="J6" s="710"/>
      <c r="K6" s="616"/>
      <c r="L6" s="616">
        <f t="shared" si="0"/>
        <v>0</v>
      </c>
      <c r="M6" s="616">
        <f t="shared" si="1"/>
        <v>0</v>
      </c>
      <c r="N6" s="616">
        <f t="shared" si="2"/>
        <v>0</v>
      </c>
      <c r="O6" s="616">
        <f t="shared" si="3"/>
        <v>0</v>
      </c>
      <c r="P6" s="683" t="s">
        <v>837</v>
      </c>
      <c r="Q6" s="708"/>
      <c r="R6" s="708"/>
    </row>
    <row r="7" spans="1:28" x14ac:dyDescent="0.2">
      <c r="A7" s="708">
        <v>416</v>
      </c>
      <c r="B7" s="708" t="s">
        <v>840</v>
      </c>
      <c r="C7" s="708" t="s">
        <v>607</v>
      </c>
      <c r="D7" s="709">
        <v>6</v>
      </c>
      <c r="E7" s="710"/>
      <c r="F7" s="711">
        <f>5/6*E7</f>
        <v>0</v>
      </c>
      <c r="G7" s="709">
        <v>5.5</v>
      </c>
      <c r="H7" s="710"/>
      <c r="I7" s="709">
        <v>8.33</v>
      </c>
      <c r="J7" s="710"/>
      <c r="K7" s="616"/>
      <c r="L7" s="616">
        <f t="shared" si="0"/>
        <v>0</v>
      </c>
      <c r="M7" s="616">
        <f t="shared" si="1"/>
        <v>0</v>
      </c>
      <c r="N7" s="616">
        <f t="shared" si="2"/>
        <v>0</v>
      </c>
      <c r="O7" s="616">
        <f t="shared" si="3"/>
        <v>0</v>
      </c>
      <c r="P7" s="683" t="s">
        <v>535</v>
      </c>
      <c r="Q7" s="708"/>
      <c r="R7" s="708"/>
    </row>
    <row r="8" spans="1:28" x14ac:dyDescent="0.2">
      <c r="A8" s="708">
        <v>791</v>
      </c>
      <c r="B8" s="708" t="s">
        <v>841</v>
      </c>
      <c r="C8" s="708" t="s">
        <v>817</v>
      </c>
      <c r="D8" s="709">
        <v>1</v>
      </c>
      <c r="E8" s="712"/>
      <c r="F8" s="711"/>
      <c r="G8" s="709">
        <v>0.5</v>
      </c>
      <c r="H8" s="710"/>
      <c r="I8" s="709">
        <v>0.01</v>
      </c>
      <c r="J8" s="710"/>
      <c r="K8" s="616"/>
      <c r="L8" s="616">
        <f>J8/I8*100</f>
        <v>0</v>
      </c>
      <c r="M8" s="616">
        <f>IF(OR(C8=$AA$1,C8=$AB$1),E8/D8*100,0)</f>
        <v>0</v>
      </c>
      <c r="N8" s="616">
        <f>IF(C8=$Z$1,E8/D8*100,0)</f>
        <v>0</v>
      </c>
      <c r="O8" s="616">
        <f t="shared" si="3"/>
        <v>0</v>
      </c>
      <c r="P8" s="683" t="s">
        <v>842</v>
      </c>
      <c r="Q8" s="708"/>
      <c r="R8" s="708"/>
    </row>
    <row r="9" spans="1:28" x14ac:dyDescent="0.2">
      <c r="A9" s="708">
        <v>792</v>
      </c>
      <c r="B9" s="708" t="s">
        <v>843</v>
      </c>
      <c r="C9" s="708" t="s">
        <v>817</v>
      </c>
      <c r="D9" s="709">
        <v>2.5</v>
      </c>
      <c r="E9" s="712"/>
      <c r="F9" s="711"/>
      <c r="G9" s="709">
        <v>2.5</v>
      </c>
      <c r="H9" s="710"/>
      <c r="I9" s="709">
        <v>0.01</v>
      </c>
      <c r="J9" s="710"/>
      <c r="K9" s="616"/>
      <c r="L9" s="616">
        <f t="shared" si="0"/>
        <v>0</v>
      </c>
      <c r="M9" s="616">
        <f t="shared" si="1"/>
        <v>0</v>
      </c>
      <c r="N9" s="616">
        <f t="shared" si="2"/>
        <v>0</v>
      </c>
      <c r="O9" s="616">
        <f t="shared" si="3"/>
        <v>0</v>
      </c>
      <c r="P9" s="683" t="s">
        <v>842</v>
      </c>
      <c r="Q9" s="708"/>
      <c r="R9" s="708"/>
    </row>
    <row r="10" spans="1:28" x14ac:dyDescent="0.2">
      <c r="A10" s="708">
        <v>793</v>
      </c>
      <c r="B10" s="708" t="s">
        <v>844</v>
      </c>
      <c r="C10" s="708" t="s">
        <v>817</v>
      </c>
      <c r="D10" s="709">
        <v>1</v>
      </c>
      <c r="E10" s="712"/>
      <c r="F10" s="711"/>
      <c r="G10" s="709">
        <v>0.5</v>
      </c>
      <c r="H10" s="710"/>
      <c r="I10" s="709">
        <v>0.01</v>
      </c>
      <c r="J10" s="710"/>
      <c r="K10" s="616"/>
      <c r="L10" s="616">
        <f t="shared" si="0"/>
        <v>0</v>
      </c>
      <c r="M10" s="616">
        <f t="shared" si="1"/>
        <v>0</v>
      </c>
      <c r="N10" s="616">
        <f t="shared" si="2"/>
        <v>0</v>
      </c>
      <c r="O10" s="616">
        <f t="shared" si="3"/>
        <v>0</v>
      </c>
      <c r="P10" s="683" t="s">
        <v>842</v>
      </c>
      <c r="Q10" s="708"/>
      <c r="R10" s="708"/>
    </row>
    <row r="11" spans="1:28" x14ac:dyDescent="0.2">
      <c r="A11" s="708">
        <v>794</v>
      </c>
      <c r="B11" s="708" t="s">
        <v>845</v>
      </c>
      <c r="C11" s="708" t="s">
        <v>817</v>
      </c>
      <c r="D11" s="709">
        <v>14.33</v>
      </c>
      <c r="E11" s="713"/>
      <c r="F11" s="711">
        <f>5/14.33*E11</f>
        <v>0</v>
      </c>
      <c r="G11" s="709">
        <v>5.5</v>
      </c>
      <c r="H11" s="710"/>
      <c r="I11" s="709">
        <v>8.33</v>
      </c>
      <c r="J11" s="714">
        <f>(8.33/14.33)*E11</f>
        <v>0</v>
      </c>
      <c r="K11" s="616"/>
      <c r="L11" s="616">
        <f>(E11/D11)*100</f>
        <v>0</v>
      </c>
      <c r="M11" s="616">
        <f>IF(OR(C11=$AA$1,C11=$AB$1),E11/D11*(6/14.33)*100,0)</f>
        <v>0</v>
      </c>
      <c r="N11" s="616">
        <f t="shared" si="2"/>
        <v>0</v>
      </c>
      <c r="O11" s="616">
        <f t="shared" si="3"/>
        <v>0</v>
      </c>
      <c r="P11" s="683" t="s">
        <v>842</v>
      </c>
      <c r="Q11" s="708"/>
      <c r="R11" s="708"/>
    </row>
    <row r="12" spans="1:28" x14ac:dyDescent="0.2">
      <c r="A12" s="708">
        <v>795</v>
      </c>
      <c r="B12" s="708" t="s">
        <v>846</v>
      </c>
      <c r="C12" s="708" t="s">
        <v>817</v>
      </c>
      <c r="D12" s="709">
        <v>12</v>
      </c>
      <c r="E12" s="713"/>
      <c r="F12" s="711">
        <f>5/D12*E12</f>
        <v>0</v>
      </c>
      <c r="G12" s="709">
        <v>5.5</v>
      </c>
      <c r="H12" s="710"/>
      <c r="I12" s="709">
        <v>6</v>
      </c>
      <c r="J12" s="714">
        <f>6/12*E12</f>
        <v>0</v>
      </c>
      <c r="K12" s="616"/>
      <c r="L12" s="616">
        <f>(E12/D12)*100</f>
        <v>0</v>
      </c>
      <c r="M12" s="616">
        <f>IF(OR(C12=$AA$1,C12=$AB$1),E12/D12*(6/12)*100,0)</f>
        <v>0</v>
      </c>
      <c r="N12" s="616">
        <f t="shared" si="2"/>
        <v>0</v>
      </c>
      <c r="O12" s="616">
        <f t="shared" si="3"/>
        <v>0</v>
      </c>
      <c r="P12" s="683" t="s">
        <v>842</v>
      </c>
      <c r="Q12" s="708"/>
      <c r="R12" s="708"/>
    </row>
    <row r="13" spans="1:28" x14ac:dyDescent="0.2">
      <c r="A13" s="708">
        <v>796</v>
      </c>
      <c r="B13" s="708" t="s">
        <v>847</v>
      </c>
      <c r="C13" s="708" t="s">
        <v>817</v>
      </c>
      <c r="D13" s="709">
        <v>2.5</v>
      </c>
      <c r="E13" s="712"/>
      <c r="F13" s="711" t="s">
        <v>790</v>
      </c>
      <c r="G13" s="709">
        <v>2.5</v>
      </c>
      <c r="H13" s="710"/>
      <c r="I13" s="709">
        <v>0.01</v>
      </c>
      <c r="J13" s="710"/>
      <c r="K13" s="616"/>
      <c r="L13" s="616">
        <f>J13/I13*100</f>
        <v>0</v>
      </c>
      <c r="M13" s="616">
        <f t="shared" si="1"/>
        <v>0</v>
      </c>
      <c r="N13" s="616">
        <f t="shared" si="2"/>
        <v>0</v>
      </c>
      <c r="O13" s="616">
        <f t="shared" si="3"/>
        <v>0</v>
      </c>
      <c r="P13" s="683" t="s">
        <v>842</v>
      </c>
      <c r="Q13" s="708"/>
      <c r="R13" s="708"/>
    </row>
    <row r="14" spans="1:28" x14ac:dyDescent="0.2">
      <c r="A14" s="708">
        <v>801</v>
      </c>
      <c r="B14" s="708" t="s">
        <v>848</v>
      </c>
      <c r="C14" s="708" t="s">
        <v>610</v>
      </c>
      <c r="D14" s="709">
        <v>6</v>
      </c>
      <c r="E14" s="710"/>
      <c r="F14" s="711">
        <f t="shared" ref="F14:F27" si="4">5/D14*E14</f>
        <v>0</v>
      </c>
      <c r="G14" s="709">
        <v>5.5</v>
      </c>
      <c r="H14" s="710"/>
      <c r="I14" s="709">
        <v>8.33</v>
      </c>
      <c r="J14" s="710"/>
      <c r="K14" s="616"/>
      <c r="L14" s="616">
        <f t="shared" si="0"/>
        <v>0</v>
      </c>
      <c r="M14" s="616">
        <f t="shared" si="1"/>
        <v>0</v>
      </c>
      <c r="N14" s="616">
        <f t="shared" si="2"/>
        <v>0</v>
      </c>
      <c r="O14" s="616">
        <f t="shared" si="3"/>
        <v>0</v>
      </c>
      <c r="P14" s="683" t="s">
        <v>535</v>
      </c>
      <c r="Q14" s="708"/>
      <c r="R14" s="708"/>
    </row>
    <row r="15" spans="1:28" x14ac:dyDescent="0.2">
      <c r="A15" s="708">
        <v>818</v>
      </c>
      <c r="B15" s="708" t="s">
        <v>849</v>
      </c>
      <c r="C15" s="708" t="s">
        <v>607</v>
      </c>
      <c r="D15" s="709">
        <v>6</v>
      </c>
      <c r="E15" s="710"/>
      <c r="F15" s="711">
        <f t="shared" si="4"/>
        <v>0</v>
      </c>
      <c r="G15" s="709">
        <v>5.5</v>
      </c>
      <c r="H15" s="710"/>
      <c r="I15" s="709">
        <v>8.33</v>
      </c>
      <c r="J15" s="710"/>
      <c r="K15" s="616"/>
      <c r="L15" s="616">
        <f t="shared" si="0"/>
        <v>0</v>
      </c>
      <c r="M15" s="616">
        <f t="shared" si="1"/>
        <v>0</v>
      </c>
      <c r="N15" s="616">
        <f t="shared" si="2"/>
        <v>0</v>
      </c>
      <c r="O15" s="616">
        <f t="shared" si="3"/>
        <v>0</v>
      </c>
      <c r="P15" s="683" t="s">
        <v>535</v>
      </c>
      <c r="Q15" s="708"/>
      <c r="R15" s="708"/>
    </row>
    <row r="16" spans="1:28" x14ac:dyDescent="0.2">
      <c r="A16" s="708">
        <v>829</v>
      </c>
      <c r="B16" s="708" t="s">
        <v>850</v>
      </c>
      <c r="C16" s="708" t="s">
        <v>607</v>
      </c>
      <c r="D16" s="709">
        <v>5</v>
      </c>
      <c r="E16" s="710"/>
      <c r="F16" s="711">
        <f t="shared" si="4"/>
        <v>0</v>
      </c>
      <c r="G16" s="709">
        <v>5</v>
      </c>
      <c r="H16" s="710"/>
      <c r="I16" s="709">
        <v>0.01</v>
      </c>
      <c r="J16" s="710"/>
      <c r="K16" s="616"/>
      <c r="L16" s="616">
        <f t="shared" si="0"/>
        <v>0</v>
      </c>
      <c r="M16" s="616">
        <f t="shared" si="1"/>
        <v>0</v>
      </c>
      <c r="N16" s="616">
        <f t="shared" si="2"/>
        <v>0</v>
      </c>
      <c r="O16" s="616">
        <f t="shared" si="3"/>
        <v>0</v>
      </c>
      <c r="P16" s="683" t="s">
        <v>535</v>
      </c>
      <c r="Q16" s="684" t="s">
        <v>851</v>
      </c>
      <c r="R16" s="684" t="s">
        <v>627</v>
      </c>
    </row>
    <row r="17" spans="1:18" x14ac:dyDescent="0.2">
      <c r="A17" s="708">
        <v>830</v>
      </c>
      <c r="B17" s="708" t="s">
        <v>852</v>
      </c>
      <c r="C17" s="708" t="s">
        <v>607</v>
      </c>
      <c r="D17" s="709">
        <v>6</v>
      </c>
      <c r="E17" s="710"/>
      <c r="F17" s="711">
        <f t="shared" si="4"/>
        <v>0</v>
      </c>
      <c r="G17" s="709">
        <v>5.5</v>
      </c>
      <c r="H17" s="710"/>
      <c r="I17" s="709">
        <v>6</v>
      </c>
      <c r="J17" s="710"/>
      <c r="K17" s="616"/>
      <c r="L17" s="616">
        <f t="shared" si="0"/>
        <v>0</v>
      </c>
      <c r="M17" s="616">
        <f t="shared" si="1"/>
        <v>0</v>
      </c>
      <c r="N17" s="616">
        <f t="shared" si="2"/>
        <v>0</v>
      </c>
      <c r="O17" s="616">
        <f t="shared" si="3"/>
        <v>0</v>
      </c>
      <c r="P17" s="683" t="s">
        <v>535</v>
      </c>
      <c r="Q17" s="708"/>
      <c r="R17" s="708"/>
    </row>
    <row r="18" spans="1:18" x14ac:dyDescent="0.2">
      <c r="A18" s="708">
        <v>833</v>
      </c>
      <c r="B18" s="708" t="s">
        <v>853</v>
      </c>
      <c r="C18" s="708" t="s">
        <v>610</v>
      </c>
      <c r="D18" s="709">
        <v>0.01</v>
      </c>
      <c r="E18" s="710"/>
      <c r="F18" s="711">
        <f t="shared" si="4"/>
        <v>0</v>
      </c>
      <c r="G18" s="709">
        <v>0.01</v>
      </c>
      <c r="H18" s="710"/>
      <c r="I18" s="709">
        <v>8.33</v>
      </c>
      <c r="J18" s="710"/>
      <c r="K18" s="616"/>
      <c r="L18" s="616">
        <f t="shared" si="0"/>
        <v>0</v>
      </c>
      <c r="M18" s="616">
        <f t="shared" si="1"/>
        <v>0</v>
      </c>
      <c r="N18" s="616">
        <f t="shared" si="2"/>
        <v>0</v>
      </c>
      <c r="O18" s="616">
        <f t="shared" si="3"/>
        <v>0</v>
      </c>
      <c r="Q18" s="708"/>
      <c r="R18" s="708"/>
    </row>
    <row r="19" spans="1:18" x14ac:dyDescent="0.2">
      <c r="A19" s="708">
        <v>833</v>
      </c>
      <c r="B19" s="708" t="s">
        <v>854</v>
      </c>
      <c r="C19" s="708" t="s">
        <v>607</v>
      </c>
      <c r="D19" s="709">
        <v>5</v>
      </c>
      <c r="E19" s="710"/>
      <c r="F19" s="711">
        <f t="shared" si="4"/>
        <v>0</v>
      </c>
      <c r="G19" s="709">
        <v>5</v>
      </c>
      <c r="H19" s="710"/>
      <c r="I19" s="709">
        <v>8.33</v>
      </c>
      <c r="J19" s="710"/>
      <c r="K19" s="616"/>
      <c r="L19" s="616">
        <f t="shared" si="0"/>
        <v>0</v>
      </c>
      <c r="M19" s="616">
        <f t="shared" si="1"/>
        <v>0</v>
      </c>
      <c r="N19" s="616">
        <f t="shared" si="2"/>
        <v>0</v>
      </c>
      <c r="O19" s="616">
        <f t="shared" si="3"/>
        <v>0</v>
      </c>
      <c r="P19" s="683" t="s">
        <v>535</v>
      </c>
      <c r="Q19" s="708"/>
      <c r="R19" s="708"/>
    </row>
    <row r="20" spans="1:18" x14ac:dyDescent="0.2">
      <c r="A20" s="708">
        <v>834</v>
      </c>
      <c r="B20" s="708" t="s">
        <v>855</v>
      </c>
      <c r="C20" s="708" t="s">
        <v>607</v>
      </c>
      <c r="D20" s="709">
        <v>5</v>
      </c>
      <c r="E20" s="710"/>
      <c r="F20" s="711">
        <f t="shared" si="4"/>
        <v>0</v>
      </c>
      <c r="G20" s="709">
        <v>5</v>
      </c>
      <c r="H20" s="710"/>
      <c r="I20" s="709">
        <v>8.33</v>
      </c>
      <c r="J20" s="710"/>
      <c r="K20" s="616"/>
      <c r="L20" s="616">
        <f t="shared" si="0"/>
        <v>0</v>
      </c>
      <c r="M20" s="616">
        <f t="shared" si="1"/>
        <v>0</v>
      </c>
      <c r="N20" s="616">
        <f t="shared" si="2"/>
        <v>0</v>
      </c>
      <c r="O20" s="616">
        <f t="shared" si="3"/>
        <v>0</v>
      </c>
      <c r="P20" s="683" t="s">
        <v>535</v>
      </c>
      <c r="Q20" s="684" t="s">
        <v>853</v>
      </c>
      <c r="R20" s="684" t="s">
        <v>853</v>
      </c>
    </row>
    <row r="21" spans="1:18" x14ac:dyDescent="0.2">
      <c r="A21" s="708">
        <v>835</v>
      </c>
      <c r="B21" s="708" t="s">
        <v>838</v>
      </c>
      <c r="C21" s="708" t="s">
        <v>268</v>
      </c>
      <c r="D21" s="709">
        <v>5</v>
      </c>
      <c r="E21" s="710"/>
      <c r="F21" s="711">
        <f t="shared" si="4"/>
        <v>0</v>
      </c>
      <c r="G21" s="709">
        <v>5</v>
      </c>
      <c r="H21" s="710"/>
      <c r="I21" s="709">
        <v>8.33</v>
      </c>
      <c r="J21" s="710"/>
      <c r="K21" s="616"/>
      <c r="L21" s="616">
        <f t="shared" si="0"/>
        <v>0</v>
      </c>
      <c r="M21" s="616">
        <f t="shared" si="1"/>
        <v>0</v>
      </c>
      <c r="N21" s="616">
        <f t="shared" si="2"/>
        <v>0</v>
      </c>
      <c r="O21" s="616">
        <f t="shared" si="3"/>
        <v>0</v>
      </c>
      <c r="P21" s="683" t="s">
        <v>837</v>
      </c>
      <c r="Q21" s="708"/>
      <c r="R21" s="708"/>
    </row>
    <row r="22" spans="1:18" x14ac:dyDescent="0.2">
      <c r="A22" s="708">
        <v>836</v>
      </c>
      <c r="B22" s="708" t="s">
        <v>856</v>
      </c>
      <c r="C22" s="708" t="s">
        <v>607</v>
      </c>
      <c r="D22" s="709">
        <v>5</v>
      </c>
      <c r="E22" s="710"/>
      <c r="F22" s="711">
        <f t="shared" si="4"/>
        <v>0</v>
      </c>
      <c r="G22" s="709">
        <v>5</v>
      </c>
      <c r="H22" s="710"/>
      <c r="I22" s="709">
        <v>8.33</v>
      </c>
      <c r="J22" s="710"/>
      <c r="K22" s="616"/>
      <c r="L22" s="616">
        <f t="shared" si="0"/>
        <v>0</v>
      </c>
      <c r="M22" s="616">
        <f t="shared" si="1"/>
        <v>0</v>
      </c>
      <c r="N22" s="616">
        <f t="shared" si="2"/>
        <v>0</v>
      </c>
      <c r="O22" s="616">
        <f t="shared" si="3"/>
        <v>0</v>
      </c>
      <c r="P22" s="683" t="s">
        <v>535</v>
      </c>
      <c r="Q22" s="708"/>
      <c r="R22" s="708"/>
    </row>
    <row r="23" spans="1:18" x14ac:dyDescent="0.2">
      <c r="A23" s="708">
        <v>841</v>
      </c>
      <c r="B23" s="708" t="s">
        <v>836</v>
      </c>
      <c r="C23" s="708" t="s">
        <v>268</v>
      </c>
      <c r="D23" s="709">
        <v>7.5</v>
      </c>
      <c r="E23" s="710"/>
      <c r="F23" s="711">
        <f t="shared" si="4"/>
        <v>0</v>
      </c>
      <c r="G23" s="709">
        <v>7.5</v>
      </c>
      <c r="H23" s="710"/>
      <c r="I23" s="709">
        <v>0.01</v>
      </c>
      <c r="J23" s="710"/>
      <c r="K23" s="616"/>
      <c r="L23" s="616">
        <f t="shared" si="0"/>
        <v>0</v>
      </c>
      <c r="M23" s="616">
        <f t="shared" si="1"/>
        <v>0</v>
      </c>
      <c r="N23" s="616">
        <f t="shared" si="2"/>
        <v>0</v>
      </c>
      <c r="O23" s="616">
        <f t="shared" si="3"/>
        <v>0</v>
      </c>
      <c r="P23" s="683" t="s">
        <v>535</v>
      </c>
      <c r="Q23" s="708"/>
      <c r="R23" s="708"/>
    </row>
    <row r="24" spans="1:18" x14ac:dyDescent="0.2">
      <c r="A24" s="708">
        <v>842</v>
      </c>
      <c r="B24" s="708" t="s">
        <v>857</v>
      </c>
      <c r="C24" s="708" t="s">
        <v>607</v>
      </c>
      <c r="D24" s="709">
        <v>5</v>
      </c>
      <c r="E24" s="710"/>
      <c r="F24" s="711">
        <f t="shared" si="4"/>
        <v>0</v>
      </c>
      <c r="G24" s="709">
        <v>5</v>
      </c>
      <c r="H24" s="710"/>
      <c r="I24" s="709">
        <v>0.01</v>
      </c>
      <c r="J24" s="710"/>
      <c r="K24" s="616"/>
      <c r="L24" s="616">
        <f t="shared" si="0"/>
        <v>0</v>
      </c>
      <c r="M24" s="616">
        <f t="shared" si="1"/>
        <v>0</v>
      </c>
      <c r="N24" s="616">
        <f t="shared" si="2"/>
        <v>0</v>
      </c>
      <c r="O24" s="616">
        <f t="shared" si="3"/>
        <v>0</v>
      </c>
      <c r="P24" s="683" t="s">
        <v>535</v>
      </c>
      <c r="Q24" s="708"/>
      <c r="R24" s="708"/>
    </row>
    <row r="25" spans="1:18" x14ac:dyDescent="0.2">
      <c r="A25" s="708">
        <v>843</v>
      </c>
      <c r="B25" s="708" t="s">
        <v>858</v>
      </c>
      <c r="C25" s="708" t="s">
        <v>607</v>
      </c>
      <c r="D25" s="709">
        <v>2.5</v>
      </c>
      <c r="E25" s="712"/>
      <c r="F25" s="711" t="s">
        <v>790</v>
      </c>
      <c r="G25" s="709">
        <v>2.5</v>
      </c>
      <c r="H25" s="710"/>
      <c r="I25" s="709">
        <v>0.01</v>
      </c>
      <c r="J25" s="710"/>
      <c r="K25" s="616"/>
      <c r="L25" s="616">
        <f t="shared" si="0"/>
        <v>0</v>
      </c>
      <c r="M25" s="616">
        <f t="shared" si="1"/>
        <v>0</v>
      </c>
      <c r="N25" s="616">
        <f t="shared" si="2"/>
        <v>0</v>
      </c>
      <c r="O25" s="616">
        <f t="shared" si="3"/>
        <v>0</v>
      </c>
      <c r="P25" s="683" t="s">
        <v>859</v>
      </c>
      <c r="Q25" s="708"/>
      <c r="R25" s="708"/>
    </row>
    <row r="26" spans="1:18" x14ac:dyDescent="0.2">
      <c r="A26" s="708">
        <v>844</v>
      </c>
      <c r="B26" s="708" t="s">
        <v>860</v>
      </c>
      <c r="C26" s="708" t="s">
        <v>268</v>
      </c>
      <c r="D26" s="709">
        <v>5</v>
      </c>
      <c r="E26" s="710"/>
      <c r="F26" s="711">
        <f t="shared" si="4"/>
        <v>0</v>
      </c>
      <c r="G26" s="709">
        <v>5</v>
      </c>
      <c r="H26" s="710"/>
      <c r="I26" s="709">
        <v>0.01</v>
      </c>
      <c r="J26" s="710"/>
      <c r="K26" s="616"/>
      <c r="L26" s="616">
        <f t="shared" si="0"/>
        <v>0</v>
      </c>
      <c r="M26" s="616">
        <f t="shared" si="1"/>
        <v>0</v>
      </c>
      <c r="N26" s="616">
        <f t="shared" si="2"/>
        <v>0</v>
      </c>
      <c r="O26" s="616">
        <f t="shared" si="3"/>
        <v>0</v>
      </c>
      <c r="P26" s="683" t="s">
        <v>837</v>
      </c>
      <c r="Q26" s="708"/>
      <c r="R26" s="708"/>
    </row>
    <row r="27" spans="1:18" x14ac:dyDescent="0.2">
      <c r="A27" s="708">
        <v>880</v>
      </c>
      <c r="B27" s="708" t="s">
        <v>861</v>
      </c>
      <c r="C27" s="708" t="s">
        <v>607</v>
      </c>
      <c r="D27" s="709">
        <v>5</v>
      </c>
      <c r="E27" s="710"/>
      <c r="F27" s="711">
        <f t="shared" si="4"/>
        <v>0</v>
      </c>
      <c r="G27" s="709">
        <v>5</v>
      </c>
      <c r="H27" s="710"/>
      <c r="I27" s="709">
        <v>8.5</v>
      </c>
      <c r="J27" s="710"/>
      <c r="K27" s="616"/>
      <c r="L27" s="616">
        <f t="shared" si="0"/>
        <v>0</v>
      </c>
      <c r="M27" s="616">
        <f t="shared" si="1"/>
        <v>0</v>
      </c>
      <c r="N27" s="616">
        <f t="shared" si="2"/>
        <v>0</v>
      </c>
      <c r="O27" s="616">
        <f t="shared" si="3"/>
        <v>0</v>
      </c>
      <c r="P27" s="683" t="s">
        <v>535</v>
      </c>
      <c r="Q27" s="708"/>
      <c r="R27" s="708"/>
    </row>
    <row r="28" spans="1:18" x14ac:dyDescent="0.2">
      <c r="B28" s="683" t="s">
        <v>862</v>
      </c>
      <c r="D28" s="616">
        <v>0.01</v>
      </c>
      <c r="E28" s="710"/>
      <c r="F28" s="711"/>
      <c r="G28" s="616">
        <v>0.01</v>
      </c>
      <c r="H28" s="710"/>
      <c r="I28" s="616">
        <v>0.01</v>
      </c>
      <c r="J28" s="710"/>
      <c r="K28" s="616"/>
      <c r="L28" s="616">
        <f t="shared" si="0"/>
        <v>0</v>
      </c>
      <c r="M28" s="616">
        <f t="shared" si="1"/>
        <v>0</v>
      </c>
      <c r="N28" s="616">
        <f t="shared" si="2"/>
        <v>0</v>
      </c>
      <c r="O28" s="616">
        <f t="shared" si="3"/>
        <v>0</v>
      </c>
      <c r="Q28" s="708"/>
      <c r="R28" s="708"/>
    </row>
    <row r="29" spans="1:18" x14ac:dyDescent="0.2">
      <c r="D29" s="616">
        <v>0.01</v>
      </c>
      <c r="E29" s="710"/>
      <c r="F29" s="711"/>
      <c r="G29" s="616">
        <v>0.01</v>
      </c>
      <c r="H29" s="710"/>
      <c r="I29" s="616">
        <v>0.01</v>
      </c>
      <c r="J29" s="710"/>
      <c r="K29" s="616"/>
      <c r="L29" s="616">
        <f t="shared" si="0"/>
        <v>0</v>
      </c>
      <c r="M29" s="616">
        <f t="shared" si="1"/>
        <v>0</v>
      </c>
      <c r="N29" s="616">
        <f t="shared" si="2"/>
        <v>0</v>
      </c>
      <c r="O29" s="616">
        <f t="shared" si="3"/>
        <v>0</v>
      </c>
      <c r="Q29" s="708"/>
      <c r="R29" s="708"/>
    </row>
    <row r="30" spans="1:18" x14ac:dyDescent="0.2">
      <c r="D30" s="616">
        <v>0.01</v>
      </c>
      <c r="E30" s="710"/>
      <c r="F30" s="711"/>
      <c r="G30" s="616">
        <v>0.01</v>
      </c>
      <c r="H30" s="710"/>
      <c r="I30" s="616">
        <v>0.01</v>
      </c>
      <c r="J30" s="710"/>
      <c r="K30" s="616"/>
      <c r="L30" s="616">
        <f t="shared" si="0"/>
        <v>0</v>
      </c>
      <c r="M30" s="616">
        <f t="shared" si="1"/>
        <v>0</v>
      </c>
      <c r="N30" s="616">
        <f t="shared" si="2"/>
        <v>0</v>
      </c>
      <c r="O30" s="616">
        <f t="shared" si="3"/>
        <v>0</v>
      </c>
      <c r="Q30" s="708"/>
      <c r="R30" s="708"/>
    </row>
    <row r="31" spans="1:18" x14ac:dyDescent="0.2">
      <c r="D31" s="616">
        <v>0.01</v>
      </c>
      <c r="E31" s="710"/>
      <c r="F31" s="711"/>
      <c r="G31" s="616">
        <v>0.01</v>
      </c>
      <c r="H31" s="710"/>
      <c r="I31" s="616">
        <v>0.01</v>
      </c>
      <c r="J31" s="710"/>
      <c r="K31" s="616"/>
      <c r="L31" s="616">
        <f t="shared" si="0"/>
        <v>0</v>
      </c>
      <c r="M31" s="616">
        <f t="shared" si="1"/>
        <v>0</v>
      </c>
      <c r="N31" s="616">
        <f t="shared" si="2"/>
        <v>0</v>
      </c>
      <c r="O31" s="616">
        <f t="shared" si="3"/>
        <v>0</v>
      </c>
      <c r="Q31" s="708"/>
      <c r="R31" s="708"/>
    </row>
    <row r="32" spans="1:18" x14ac:dyDescent="0.2">
      <c r="D32" s="616">
        <v>0.01</v>
      </c>
      <c r="E32" s="710"/>
      <c r="F32" s="711"/>
      <c r="G32" s="616">
        <v>0.01</v>
      </c>
      <c r="H32" s="710"/>
      <c r="I32" s="616">
        <v>0.01</v>
      </c>
      <c r="J32" s="710"/>
      <c r="K32" s="616"/>
      <c r="L32" s="616">
        <f t="shared" si="0"/>
        <v>0</v>
      </c>
      <c r="M32" s="616">
        <f t="shared" si="1"/>
        <v>0</v>
      </c>
      <c r="N32" s="616">
        <f t="shared" si="2"/>
        <v>0</v>
      </c>
      <c r="O32" s="616">
        <f t="shared" si="3"/>
        <v>0</v>
      </c>
      <c r="Q32" s="708"/>
      <c r="R32" s="708"/>
    </row>
    <row r="33" spans="1:18" ht="13.5" thickBot="1" x14ac:dyDescent="0.25">
      <c r="D33" s="616"/>
      <c r="E33" s="616"/>
      <c r="F33" s="711">
        <f>SUM(F4:F32)</f>
        <v>0</v>
      </c>
      <c r="G33" s="616"/>
      <c r="H33" s="616"/>
      <c r="I33" s="616"/>
      <c r="J33" s="616"/>
      <c r="K33" s="616"/>
      <c r="L33" s="715"/>
      <c r="M33" s="715"/>
      <c r="N33" s="715"/>
      <c r="O33" s="715"/>
      <c r="Q33" s="708"/>
      <c r="R33" s="708"/>
    </row>
    <row r="34" spans="1:18" ht="14.25" thickTop="1" thickBot="1" x14ac:dyDescent="0.25">
      <c r="L34" s="616">
        <f>SUM(L4:L32)</f>
        <v>0</v>
      </c>
      <c r="M34" s="616">
        <f>SUM(M4:M33)</f>
        <v>0</v>
      </c>
      <c r="N34" s="616">
        <f>SUM(N4:N33)</f>
        <v>0</v>
      </c>
      <c r="O34" s="616">
        <f>SUM(O4:O33)</f>
        <v>0</v>
      </c>
      <c r="Q34" s="708"/>
      <c r="R34" s="708"/>
    </row>
    <row r="35" spans="1:18" x14ac:dyDescent="0.2">
      <c r="A35" s="708"/>
      <c r="B35" s="708" t="s">
        <v>863</v>
      </c>
      <c r="C35" s="708"/>
      <c r="D35" s="716" t="s">
        <v>864</v>
      </c>
      <c r="E35" s="717" t="s">
        <v>865</v>
      </c>
      <c r="K35" s="683" t="s">
        <v>866</v>
      </c>
    </row>
    <row r="36" spans="1:18" x14ac:dyDescent="0.2">
      <c r="A36" s="708" t="s">
        <v>867</v>
      </c>
      <c r="B36" s="709">
        <v>28200</v>
      </c>
      <c r="C36" s="708"/>
      <c r="D36" s="718" t="s">
        <v>868</v>
      </c>
      <c r="E36" s="719">
        <f>28200*6%</f>
        <v>1692</v>
      </c>
      <c r="K36" s="720" t="s">
        <v>607</v>
      </c>
      <c r="L36" s="721">
        <f>L27+L24+L22+L20+L19+L18+L17+L16+L15+L14+L7</f>
        <v>0</v>
      </c>
      <c r="M36" s="721">
        <f>M27+M24+M22+M20+M19+M18+M17+M16+M15+M14+M7</f>
        <v>0</v>
      </c>
      <c r="N36" s="720"/>
      <c r="O36" s="721">
        <f>O27+O24+O23+O22+O20+O19+O17+O16+O15+O14+O7</f>
        <v>0</v>
      </c>
    </row>
    <row r="37" spans="1:18" ht="13.5" thickBot="1" x14ac:dyDescent="0.25">
      <c r="A37" s="722" t="s">
        <v>287</v>
      </c>
      <c r="B37" s="723">
        <f>O7+O14+O15+O16+O17+O19+O20+O22+O23+O24+O27</f>
        <v>0</v>
      </c>
      <c r="C37" s="708"/>
      <c r="D37" s="724" t="s">
        <v>869</v>
      </c>
      <c r="E37" s="725">
        <f>E27+E24+E22+E20+E19+E17+E16+E15+E14+E7</f>
        <v>0</v>
      </c>
      <c r="K37" s="726" t="s">
        <v>870</v>
      </c>
      <c r="L37" s="727">
        <f>L26+L25+L23+L21+L6+L5+L4</f>
        <v>0</v>
      </c>
      <c r="M37" s="726"/>
      <c r="N37" s="727">
        <f>N26+N25+N23+N21+N6+N5+N4</f>
        <v>0</v>
      </c>
      <c r="O37" s="727">
        <f>O26+O25+O21+O6+O5+O4</f>
        <v>0</v>
      </c>
    </row>
    <row r="38" spans="1:18" ht="13.5" thickTop="1" x14ac:dyDescent="0.2">
      <c r="A38" s="708" t="s">
        <v>871</v>
      </c>
      <c r="B38" s="709">
        <f>B36-B37</f>
        <v>28200</v>
      </c>
      <c r="C38" s="708"/>
      <c r="D38" s="728" t="s">
        <v>872</v>
      </c>
      <c r="E38" s="729">
        <f>E37-E36</f>
        <v>-1692</v>
      </c>
      <c r="K38" s="730" t="s">
        <v>873</v>
      </c>
      <c r="L38" s="731">
        <f>L13+L12+L11+L10+L9+L8</f>
        <v>0</v>
      </c>
      <c r="M38" s="730"/>
      <c r="N38" s="730"/>
      <c r="O38" s="731">
        <f>O13+O12+O11+O10+O9+O8</f>
        <v>0</v>
      </c>
    </row>
    <row r="39" spans="1:18" x14ac:dyDescent="0.2">
      <c r="A39" s="708"/>
      <c r="B39" s="709"/>
      <c r="C39" s="708"/>
      <c r="D39" s="718"/>
      <c r="E39" s="719"/>
    </row>
    <row r="40" spans="1:18" x14ac:dyDescent="0.2">
      <c r="A40" s="708"/>
      <c r="B40" s="709"/>
      <c r="C40" s="708"/>
      <c r="D40" s="718"/>
      <c r="E40" s="719"/>
    </row>
    <row r="41" spans="1:18" x14ac:dyDescent="0.2">
      <c r="A41" s="708" t="s">
        <v>874</v>
      </c>
      <c r="B41" s="709">
        <v>9400</v>
      </c>
      <c r="C41" s="708"/>
      <c r="D41" s="718" t="s">
        <v>875</v>
      </c>
      <c r="E41" s="719">
        <f>9400*5%</f>
        <v>470</v>
      </c>
      <c r="I41" s="683" t="s">
        <v>876</v>
      </c>
    </row>
    <row r="42" spans="1:18" ht="13.5" thickBot="1" x14ac:dyDescent="0.25">
      <c r="A42" s="732" t="s">
        <v>287</v>
      </c>
      <c r="B42" s="733">
        <f>O4+O5+O6+O21+O26</f>
        <v>0</v>
      </c>
      <c r="C42" s="708"/>
      <c r="D42" s="734" t="s">
        <v>869</v>
      </c>
      <c r="E42" s="735">
        <f>E26+E25+E23+E21+E6+E5+E4</f>
        <v>0</v>
      </c>
      <c r="I42" s="616">
        <f>F33/5%</f>
        <v>0</v>
      </c>
    </row>
    <row r="43" spans="1:18" ht="13.5" thickBot="1" x14ac:dyDescent="0.25">
      <c r="A43" s="708" t="s">
        <v>871</v>
      </c>
      <c r="B43" s="709">
        <f>B41-B42</f>
        <v>9400</v>
      </c>
      <c r="C43" s="708"/>
      <c r="D43" s="736" t="s">
        <v>872</v>
      </c>
      <c r="E43" s="737">
        <f>E42-E41</f>
        <v>-470</v>
      </c>
    </row>
    <row r="44" spans="1:18" x14ac:dyDescent="0.2">
      <c r="A44" s="709"/>
      <c r="B44" s="709"/>
      <c r="C44" s="709"/>
      <c r="D44" s="616"/>
      <c r="E44" s="616"/>
      <c r="F44" s="711"/>
      <c r="G44" s="616"/>
      <c r="H44" s="616"/>
      <c r="I44" s="616"/>
      <c r="J44" s="616"/>
      <c r="K44" s="616"/>
      <c r="L44" s="616"/>
      <c r="M44" s="616"/>
    </row>
    <row r="45" spans="1:18" x14ac:dyDescent="0.2">
      <c r="A45" s="709"/>
      <c r="B45" s="709"/>
      <c r="C45" s="709"/>
      <c r="D45" s="616"/>
      <c r="E45" s="616"/>
      <c r="F45" s="711"/>
      <c r="G45" s="616"/>
      <c r="H45" s="616"/>
      <c r="I45" s="616"/>
      <c r="J45" s="616"/>
      <c r="K45" s="616"/>
      <c r="L45" s="616"/>
      <c r="M45" s="616"/>
      <c r="O45" s="616"/>
    </row>
    <row r="46" spans="1:18" x14ac:dyDescent="0.2">
      <c r="A46" s="709"/>
      <c r="B46" s="709"/>
      <c r="C46" s="709"/>
      <c r="D46" s="616"/>
      <c r="E46" s="616"/>
      <c r="F46" s="711"/>
      <c r="G46" s="616"/>
      <c r="H46" s="616"/>
      <c r="I46" s="616"/>
      <c r="J46" s="616"/>
      <c r="K46" s="616"/>
      <c r="L46" s="616"/>
      <c r="M46" s="616"/>
    </row>
    <row r="47" spans="1:18" x14ac:dyDescent="0.2">
      <c r="A47" s="709"/>
      <c r="B47" s="709"/>
      <c r="C47" s="709"/>
      <c r="D47" s="616" t="s">
        <v>877</v>
      </c>
      <c r="E47" s="616"/>
      <c r="F47" s="711"/>
      <c r="G47" s="616" t="s">
        <v>23</v>
      </c>
      <c r="H47" s="616"/>
      <c r="I47" s="616" t="s">
        <v>16</v>
      </c>
      <c r="J47" s="616"/>
      <c r="K47" s="616" t="s">
        <v>287</v>
      </c>
      <c r="L47" s="616"/>
      <c r="M47" s="616"/>
    </row>
    <row r="48" spans="1:18" x14ac:dyDescent="0.2">
      <c r="A48" s="709"/>
      <c r="B48" s="709"/>
      <c r="C48" s="709"/>
      <c r="D48" s="616"/>
      <c r="E48" s="616"/>
      <c r="F48" s="711"/>
      <c r="G48" s="616"/>
      <c r="H48" s="616"/>
      <c r="I48" s="616"/>
      <c r="J48" s="616"/>
      <c r="K48" s="616"/>
      <c r="L48" s="616"/>
      <c r="M48" s="616"/>
    </row>
    <row r="49" spans="1:13" x14ac:dyDescent="0.2">
      <c r="A49" s="709">
        <v>794</v>
      </c>
      <c r="B49" s="709" t="s">
        <v>845</v>
      </c>
      <c r="C49" s="709" t="s">
        <v>607</v>
      </c>
      <c r="D49" s="616">
        <v>5</v>
      </c>
      <c r="E49" s="616">
        <f>K49*5%</f>
        <v>0</v>
      </c>
      <c r="F49" s="711"/>
      <c r="G49" s="616">
        <v>5</v>
      </c>
      <c r="H49" s="616">
        <f>K49*5%</f>
        <v>0</v>
      </c>
      <c r="I49" s="616">
        <v>8.33</v>
      </c>
      <c r="J49" s="616">
        <f>K49*8.33%</f>
        <v>0</v>
      </c>
      <c r="K49" s="616">
        <f>O11</f>
        <v>0</v>
      </c>
      <c r="L49" s="616"/>
      <c r="M49" s="616"/>
    </row>
    <row r="50" spans="1:13" x14ac:dyDescent="0.2">
      <c r="A50" s="709"/>
      <c r="B50" s="709"/>
      <c r="C50" s="709"/>
      <c r="D50" s="616">
        <v>1</v>
      </c>
      <c r="E50" s="616">
        <f>K49*1%</f>
        <v>0</v>
      </c>
      <c r="F50" s="711"/>
      <c r="G50" s="616">
        <v>0.5</v>
      </c>
      <c r="H50" s="616">
        <f>K49*0.5%</f>
        <v>0</v>
      </c>
      <c r="I50" s="616"/>
      <c r="J50" s="616"/>
      <c r="K50" s="616"/>
      <c r="L50" s="616"/>
      <c r="M50" s="616"/>
    </row>
    <row r="51" spans="1:13" x14ac:dyDescent="0.2">
      <c r="A51" s="709"/>
      <c r="B51" s="709"/>
      <c r="C51" s="709"/>
      <c r="D51" s="616"/>
      <c r="E51" s="616"/>
      <c r="F51" s="711"/>
      <c r="G51" s="616"/>
      <c r="H51" s="616"/>
      <c r="I51" s="616"/>
      <c r="J51" s="616"/>
      <c r="K51" s="616"/>
      <c r="L51" s="616"/>
      <c r="M51" s="616"/>
    </row>
    <row r="52" spans="1:13" x14ac:dyDescent="0.2">
      <c r="A52" s="709"/>
      <c r="B52" s="709"/>
      <c r="C52" s="709"/>
      <c r="D52" s="616"/>
      <c r="E52" s="616"/>
      <c r="F52" s="711"/>
      <c r="G52" s="616"/>
      <c r="H52" s="616"/>
      <c r="I52" s="616"/>
      <c r="J52" s="616"/>
      <c r="K52" s="616"/>
      <c r="L52" s="616"/>
      <c r="M52" s="616"/>
    </row>
    <row r="53" spans="1:13" x14ac:dyDescent="0.2">
      <c r="A53" s="709">
        <v>795</v>
      </c>
      <c r="B53" s="709" t="s">
        <v>846</v>
      </c>
      <c r="C53" s="709" t="s">
        <v>607</v>
      </c>
      <c r="D53" s="616">
        <v>5</v>
      </c>
      <c r="E53" s="616">
        <f>K53*5%</f>
        <v>0</v>
      </c>
      <c r="F53" s="711"/>
      <c r="G53" s="616">
        <v>5</v>
      </c>
      <c r="H53" s="616">
        <f>K53*5%</f>
        <v>0</v>
      </c>
      <c r="I53" s="616">
        <v>6</v>
      </c>
      <c r="J53" s="616">
        <f>K53*6%</f>
        <v>0</v>
      </c>
      <c r="K53" s="616">
        <f>O12</f>
        <v>0</v>
      </c>
      <c r="L53" s="616"/>
      <c r="M53" s="616"/>
    </row>
    <row r="54" spans="1:13" x14ac:dyDescent="0.2">
      <c r="A54" s="709"/>
      <c r="B54" s="709"/>
      <c r="C54" s="709"/>
      <c r="D54" s="616">
        <v>1</v>
      </c>
      <c r="E54" s="616">
        <f>K53*1%</f>
        <v>0</v>
      </c>
      <c r="F54" s="711"/>
      <c r="G54" s="616">
        <v>0.5</v>
      </c>
      <c r="H54" s="616">
        <f>K53*0.5%</f>
        <v>0</v>
      </c>
      <c r="I54" s="616"/>
      <c r="J54" s="616"/>
      <c r="K54" s="616"/>
      <c r="L54" s="616"/>
      <c r="M54" s="616"/>
    </row>
    <row r="55" spans="1:13" x14ac:dyDescent="0.2">
      <c r="A55" s="709"/>
      <c r="B55" s="709"/>
      <c r="C55" s="709"/>
      <c r="D55" s="616"/>
      <c r="E55" s="616"/>
      <c r="F55" s="711"/>
      <c r="G55" s="616"/>
      <c r="H55" s="616"/>
      <c r="I55" s="616"/>
      <c r="J55" s="616"/>
      <c r="K55" s="616"/>
      <c r="L55" s="616"/>
      <c r="M55" s="616"/>
    </row>
    <row r="56" spans="1:13" x14ac:dyDescent="0.2">
      <c r="A56" s="709"/>
      <c r="B56" s="709"/>
      <c r="C56" s="709"/>
      <c r="D56" s="616"/>
      <c r="E56" s="616"/>
      <c r="F56" s="711"/>
      <c r="G56" s="616"/>
      <c r="H56" s="616"/>
      <c r="I56" s="616"/>
      <c r="J56" s="616"/>
      <c r="K56" s="616"/>
      <c r="L56" s="616"/>
      <c r="M56" s="616"/>
    </row>
    <row r="57" spans="1:13" x14ac:dyDescent="0.2">
      <c r="A57" s="709" t="s">
        <v>867</v>
      </c>
      <c r="B57" s="709">
        <v>28200</v>
      </c>
      <c r="C57" s="709"/>
      <c r="D57" s="616"/>
      <c r="E57" s="616"/>
      <c r="F57" s="711"/>
      <c r="G57" s="616"/>
      <c r="H57" s="616"/>
      <c r="I57" s="616"/>
      <c r="J57" s="616"/>
      <c r="K57" s="616"/>
      <c r="L57" s="616"/>
      <c r="M57" s="616"/>
    </row>
    <row r="58" spans="1:13" ht="13.5" thickBot="1" x14ac:dyDescent="0.25">
      <c r="A58" s="738" t="s">
        <v>287</v>
      </c>
      <c r="B58" s="738">
        <f>H58+F58+D58</f>
        <v>-2988.55</v>
      </c>
      <c r="C58" s="709" t="s">
        <v>628</v>
      </c>
      <c r="D58" s="616">
        <f>B37</f>
        <v>0</v>
      </c>
      <c r="E58" s="616" t="s">
        <v>878</v>
      </c>
      <c r="F58" s="739">
        <v>-2988.55</v>
      </c>
      <c r="G58" s="616" t="s">
        <v>878</v>
      </c>
      <c r="H58" s="740"/>
      <c r="I58" s="616"/>
      <c r="J58" s="616"/>
      <c r="K58" s="616"/>
      <c r="L58" s="616"/>
      <c r="M58" s="616"/>
    </row>
    <row r="59" spans="1:13" x14ac:dyDescent="0.2">
      <c r="A59" s="709"/>
      <c r="B59" s="709">
        <f>B57-B58</f>
        <v>31188.55</v>
      </c>
      <c r="C59" s="709"/>
      <c r="D59" s="616"/>
      <c r="E59" s="616"/>
      <c r="F59" s="711"/>
      <c r="G59" s="616"/>
      <c r="H59" s="616"/>
      <c r="I59" s="616"/>
      <c r="J59" s="616"/>
      <c r="K59" s="616"/>
      <c r="L59" s="616"/>
      <c r="M59" s="616"/>
    </row>
    <row r="60" spans="1:13" x14ac:dyDescent="0.2">
      <c r="A60" s="709"/>
      <c r="B60" s="709"/>
      <c r="C60" s="709"/>
      <c r="D60" s="616"/>
      <c r="E60" s="616"/>
      <c r="F60" s="711"/>
      <c r="G60" s="616"/>
      <c r="H60" s="616"/>
      <c r="I60" s="616"/>
      <c r="J60" s="616"/>
      <c r="K60" s="616"/>
      <c r="L60" s="616"/>
      <c r="M60" s="616"/>
    </row>
    <row r="61" spans="1:13" x14ac:dyDescent="0.2">
      <c r="A61" s="709"/>
      <c r="B61" s="709"/>
      <c r="C61" s="709"/>
      <c r="D61" s="616"/>
      <c r="E61" s="616"/>
      <c r="F61" s="711"/>
      <c r="G61" s="616"/>
      <c r="H61" s="616"/>
      <c r="I61" s="616"/>
      <c r="J61" s="616"/>
      <c r="K61" s="616"/>
      <c r="L61" s="616"/>
      <c r="M61" s="616"/>
    </row>
    <row r="62" spans="1:13" x14ac:dyDescent="0.2">
      <c r="A62" s="709"/>
      <c r="B62" s="709"/>
      <c r="C62" s="709"/>
      <c r="D62" s="616"/>
      <c r="E62" s="616"/>
      <c r="F62" s="711"/>
      <c r="G62" s="616"/>
      <c r="H62" s="616"/>
      <c r="I62" s="616"/>
      <c r="J62" s="616"/>
      <c r="K62" s="616"/>
      <c r="L62" s="616"/>
      <c r="M62" s="616"/>
    </row>
    <row r="63" spans="1:13" x14ac:dyDescent="0.2">
      <c r="A63" s="709" t="s">
        <v>874</v>
      </c>
      <c r="B63" s="709">
        <v>9400</v>
      </c>
      <c r="C63" s="709"/>
      <c r="D63" s="616"/>
      <c r="E63" s="616"/>
      <c r="F63" s="711"/>
      <c r="G63" s="616"/>
      <c r="H63" s="616"/>
      <c r="I63" s="616"/>
      <c r="J63" s="616"/>
      <c r="K63" s="616"/>
      <c r="L63" s="616"/>
      <c r="M63" s="616"/>
    </row>
    <row r="64" spans="1:13" ht="13.5" thickBot="1" x14ac:dyDescent="0.25">
      <c r="A64" s="741" t="s">
        <v>287</v>
      </c>
      <c r="B64" s="741">
        <f>D64+F64+H64</f>
        <v>0</v>
      </c>
      <c r="C64" s="709" t="s">
        <v>628</v>
      </c>
      <c r="D64" s="616">
        <f>B42</f>
        <v>0</v>
      </c>
      <c r="E64" s="616" t="s">
        <v>878</v>
      </c>
      <c r="F64" s="742"/>
      <c r="G64" s="616" t="s">
        <v>878</v>
      </c>
      <c r="H64" s="743"/>
      <c r="I64" s="616"/>
      <c r="J64" s="616"/>
      <c r="K64" s="616"/>
      <c r="L64" s="616"/>
      <c r="M64" s="616"/>
    </row>
    <row r="65" spans="1:13" x14ac:dyDescent="0.2">
      <c r="A65" s="709"/>
      <c r="B65" s="709">
        <f>B63-B64</f>
        <v>9400</v>
      </c>
      <c r="C65" s="709"/>
      <c r="D65" s="616"/>
      <c r="E65" s="616"/>
      <c r="F65" s="711"/>
      <c r="G65" s="616"/>
      <c r="H65" s="616"/>
      <c r="I65" s="616"/>
      <c r="J65" s="616"/>
      <c r="K65" s="616"/>
      <c r="L65" s="616"/>
      <c r="M65" s="616"/>
    </row>
    <row r="66" spans="1:13" x14ac:dyDescent="0.2">
      <c r="A66" s="709"/>
      <c r="B66" s="709"/>
      <c r="C66" s="709"/>
      <c r="D66" s="616"/>
      <c r="E66" s="616"/>
      <c r="F66" s="711"/>
      <c r="G66" s="616"/>
      <c r="H66" s="616"/>
      <c r="I66" s="616"/>
      <c r="J66" s="616"/>
      <c r="K66" s="616"/>
      <c r="L66" s="616"/>
      <c r="M66" s="616"/>
    </row>
    <row r="67" spans="1:13" x14ac:dyDescent="0.2">
      <c r="A67" s="709"/>
      <c r="B67" s="709"/>
      <c r="C67" s="709"/>
      <c r="D67" s="616"/>
      <c r="E67" s="616"/>
      <c r="F67" s="711"/>
      <c r="G67" s="616"/>
      <c r="H67" s="616"/>
      <c r="I67" s="616"/>
      <c r="J67" s="616"/>
      <c r="K67" s="616"/>
      <c r="L67" s="616"/>
      <c r="M67" s="616"/>
    </row>
    <row r="68" spans="1:13" x14ac:dyDescent="0.2">
      <c r="A68" s="709"/>
      <c r="B68" s="709"/>
      <c r="C68" s="709"/>
      <c r="D68" s="616"/>
      <c r="E68" s="616"/>
      <c r="F68" s="711"/>
      <c r="G68" s="616"/>
      <c r="H68" s="616"/>
      <c r="I68" s="616"/>
      <c r="J68" s="616"/>
      <c r="K68" s="616"/>
      <c r="L68" s="616"/>
      <c r="M68" s="616"/>
    </row>
    <row r="69" spans="1:13" x14ac:dyDescent="0.2">
      <c r="A69" s="709"/>
      <c r="B69" s="709"/>
      <c r="C69" s="709"/>
      <c r="D69" s="616"/>
      <c r="E69" s="616"/>
      <c r="F69" s="711"/>
      <c r="G69" s="616"/>
      <c r="H69" s="616"/>
      <c r="I69" s="616"/>
      <c r="J69" s="616"/>
      <c r="K69" s="616"/>
      <c r="L69" s="616"/>
      <c r="M69" s="616"/>
    </row>
    <row r="70" spans="1:13" x14ac:dyDescent="0.2">
      <c r="A70" s="709"/>
      <c r="B70" s="709"/>
      <c r="C70" s="709"/>
      <c r="D70" s="616"/>
      <c r="E70" s="616"/>
      <c r="F70" s="711"/>
      <c r="G70" s="616"/>
      <c r="H70" s="616"/>
      <c r="I70" s="616"/>
      <c r="J70" s="616"/>
      <c r="K70" s="616"/>
      <c r="L70" s="616"/>
      <c r="M70" s="616"/>
    </row>
    <row r="71" spans="1:13" x14ac:dyDescent="0.2">
      <c r="A71" s="709"/>
      <c r="B71" s="709"/>
      <c r="C71" s="709"/>
      <c r="D71" s="616"/>
      <c r="E71" s="616"/>
      <c r="F71" s="711"/>
      <c r="G71" s="616"/>
      <c r="H71" s="616"/>
      <c r="I71" s="616"/>
      <c r="J71" s="616"/>
      <c r="K71" s="616"/>
      <c r="L71" s="616"/>
      <c r="M71" s="616"/>
    </row>
    <row r="72" spans="1:13" x14ac:dyDescent="0.2">
      <c r="A72" s="709"/>
      <c r="B72" s="709"/>
      <c r="C72" s="709"/>
      <c r="D72" s="1121" t="s">
        <v>607</v>
      </c>
      <c r="E72" s="616"/>
      <c r="F72" s="711" t="s">
        <v>879</v>
      </c>
      <c r="G72" s="616" t="s">
        <v>880</v>
      </c>
      <c r="H72" s="616"/>
      <c r="I72" s="616">
        <f>L72*K72</f>
        <v>1692</v>
      </c>
      <c r="J72" s="616" t="s">
        <v>628</v>
      </c>
      <c r="K72" s="744">
        <v>0.06</v>
      </c>
      <c r="L72" s="616">
        <v>28200</v>
      </c>
      <c r="M72" s="616"/>
    </row>
    <row r="73" spans="1:13" x14ac:dyDescent="0.2">
      <c r="A73" s="709"/>
      <c r="B73" s="709"/>
      <c r="C73" s="709"/>
      <c r="D73" s="1121"/>
      <c r="E73" s="616"/>
      <c r="F73" s="711"/>
      <c r="G73" s="616"/>
      <c r="H73" s="616"/>
      <c r="I73" s="616"/>
      <c r="J73" s="616"/>
      <c r="K73" s="616"/>
      <c r="L73" s="616"/>
      <c r="M73" s="616"/>
    </row>
    <row r="74" spans="1:13" x14ac:dyDescent="0.2">
      <c r="A74" s="709"/>
      <c r="B74" s="709"/>
      <c r="C74" s="709"/>
      <c r="D74" s="1121"/>
      <c r="E74" s="616"/>
      <c r="F74" s="711" t="s">
        <v>881</v>
      </c>
      <c r="G74" s="616" t="s">
        <v>882</v>
      </c>
      <c r="H74" s="616" t="s">
        <v>479</v>
      </c>
      <c r="I74" s="616">
        <f>E7+E14+E15+E16+E17+E19+E20+E22+E24+E27</f>
        <v>0</v>
      </c>
      <c r="J74" s="616"/>
      <c r="K74" s="616"/>
      <c r="L74" s="616"/>
      <c r="M74" s="616"/>
    </row>
    <row r="75" spans="1:13" x14ac:dyDescent="0.2">
      <c r="A75" s="709"/>
      <c r="B75" s="709"/>
      <c r="C75" s="709"/>
      <c r="D75" s="1121"/>
      <c r="E75" s="616"/>
      <c r="F75" s="711"/>
      <c r="G75" s="616"/>
      <c r="H75" s="616"/>
      <c r="I75" s="616"/>
      <c r="J75" s="616"/>
      <c r="K75" s="616"/>
      <c r="L75" s="616"/>
      <c r="M75" s="616"/>
    </row>
    <row r="76" spans="1:13" x14ac:dyDescent="0.2">
      <c r="A76" s="709"/>
      <c r="B76" s="709"/>
      <c r="C76" s="709"/>
      <c r="D76" s="1121"/>
      <c r="E76" s="616"/>
      <c r="F76" s="711"/>
      <c r="G76" s="616"/>
      <c r="H76" s="616" t="s">
        <v>883</v>
      </c>
      <c r="I76" s="721">
        <f>I74-I72</f>
        <v>-1692</v>
      </c>
      <c r="J76" s="616"/>
      <c r="K76" s="616"/>
      <c r="L76" s="616"/>
      <c r="M76" s="616"/>
    </row>
    <row r="77" spans="1:13" x14ac:dyDescent="0.2">
      <c r="A77" s="709"/>
      <c r="B77" s="709"/>
      <c r="C77" s="709"/>
      <c r="D77" s="1121"/>
      <c r="E77" s="616"/>
      <c r="F77" s="711"/>
      <c r="G77" s="616"/>
      <c r="H77" s="616"/>
      <c r="I77" s="745"/>
      <c r="J77" s="616"/>
      <c r="K77" s="616"/>
      <c r="L77" s="616"/>
      <c r="M77" s="616"/>
    </row>
    <row r="78" spans="1:13" x14ac:dyDescent="0.2">
      <c r="A78" s="709"/>
      <c r="B78" s="709"/>
      <c r="C78" s="709"/>
      <c r="D78" s="1121"/>
      <c r="E78" s="616"/>
      <c r="F78" s="711"/>
      <c r="G78" s="616" t="s">
        <v>884</v>
      </c>
      <c r="H78" s="616"/>
      <c r="I78" s="745">
        <f>I74+((F58+H58)*5%)</f>
        <v>-149.42750000000001</v>
      </c>
      <c r="J78" s="616"/>
      <c r="K78" s="616"/>
      <c r="L78" s="616"/>
      <c r="M78" s="616"/>
    </row>
    <row r="79" spans="1:13" x14ac:dyDescent="0.2">
      <c r="A79" s="709"/>
      <c r="B79" s="709"/>
      <c r="C79" s="709"/>
      <c r="D79" s="616"/>
      <c r="E79" s="616"/>
      <c r="F79" s="711"/>
      <c r="G79" s="616"/>
      <c r="H79" s="616"/>
      <c r="I79" s="745"/>
      <c r="J79" s="616"/>
      <c r="K79" s="616"/>
      <c r="L79" s="616"/>
      <c r="M79" s="616"/>
    </row>
    <row r="80" spans="1:13" x14ac:dyDescent="0.2">
      <c r="A80" s="709"/>
      <c r="B80" s="709"/>
      <c r="C80" s="709"/>
      <c r="D80" s="616"/>
      <c r="E80" s="616"/>
      <c r="F80" s="711"/>
      <c r="G80" s="616"/>
      <c r="H80" s="616" t="s">
        <v>885</v>
      </c>
      <c r="I80" s="745">
        <f>I78-I72</f>
        <v>-1841.4275</v>
      </c>
      <c r="J80" s="616"/>
      <c r="K80" s="616"/>
      <c r="L80" s="616"/>
      <c r="M80" s="616"/>
    </row>
    <row r="81" spans="1:13" x14ac:dyDescent="0.2">
      <c r="A81" s="709"/>
      <c r="B81" s="709"/>
      <c r="C81" s="709"/>
      <c r="D81" s="616"/>
      <c r="E81" s="616"/>
      <c r="F81" s="711"/>
      <c r="G81" s="616"/>
      <c r="H81" s="616"/>
      <c r="I81" s="745"/>
      <c r="J81" s="616"/>
      <c r="K81" s="616"/>
      <c r="L81" s="616"/>
      <c r="M81" s="616"/>
    </row>
    <row r="82" spans="1:13" x14ac:dyDescent="0.2">
      <c r="A82" s="709"/>
      <c r="B82" s="709"/>
      <c r="C82" s="709"/>
      <c r="D82" s="616"/>
      <c r="E82" s="616"/>
      <c r="F82" s="711"/>
      <c r="G82" s="616"/>
      <c r="H82" s="616"/>
      <c r="I82" s="745"/>
      <c r="J82" s="616"/>
      <c r="K82" s="616"/>
      <c r="L82" s="616"/>
      <c r="M82" s="616"/>
    </row>
    <row r="83" spans="1:13" x14ac:dyDescent="0.2">
      <c r="A83" s="709"/>
      <c r="B83" s="709"/>
      <c r="C83" s="709"/>
      <c r="D83" s="1122" t="s">
        <v>870</v>
      </c>
      <c r="E83" s="616"/>
      <c r="F83" s="711"/>
      <c r="G83" s="616"/>
      <c r="H83" s="616"/>
      <c r="I83" s="745"/>
      <c r="J83" s="616"/>
      <c r="K83" s="616"/>
      <c r="L83" s="616"/>
      <c r="M83" s="616"/>
    </row>
    <row r="84" spans="1:13" x14ac:dyDescent="0.2">
      <c r="A84" s="709"/>
      <c r="B84" s="709"/>
      <c r="C84" s="709"/>
      <c r="D84" s="1122"/>
      <c r="E84" s="616"/>
      <c r="F84" s="711" t="s">
        <v>879</v>
      </c>
      <c r="G84" s="616" t="s">
        <v>880</v>
      </c>
      <c r="H84" s="616"/>
      <c r="I84" s="745">
        <f>L84*K84</f>
        <v>470</v>
      </c>
      <c r="J84" s="616" t="s">
        <v>628</v>
      </c>
      <c r="K84" s="744">
        <v>0.05</v>
      </c>
      <c r="L84" s="616">
        <v>9400</v>
      </c>
      <c r="M84" s="616"/>
    </row>
    <row r="85" spans="1:13" x14ac:dyDescent="0.2">
      <c r="A85" s="709"/>
      <c r="B85" s="709"/>
      <c r="C85" s="709"/>
      <c r="D85" s="1122"/>
      <c r="E85" s="616"/>
      <c r="F85" s="711"/>
      <c r="G85" s="616"/>
      <c r="H85" s="616"/>
      <c r="I85" s="745"/>
      <c r="J85" s="616"/>
      <c r="K85" s="616"/>
      <c r="L85" s="616"/>
      <c r="M85" s="616"/>
    </row>
    <row r="86" spans="1:13" x14ac:dyDescent="0.2">
      <c r="A86" s="709"/>
      <c r="B86" s="709"/>
      <c r="C86" s="709"/>
      <c r="D86" s="1122"/>
      <c r="E86" s="616"/>
      <c r="F86" s="711" t="s">
        <v>881</v>
      </c>
      <c r="G86" s="616" t="s">
        <v>882</v>
      </c>
      <c r="H86" s="616" t="s">
        <v>479</v>
      </c>
      <c r="I86" s="745">
        <f>E5+E6+E21+E23+E26</f>
        <v>0</v>
      </c>
      <c r="J86" s="616"/>
      <c r="K86" s="616"/>
      <c r="L86" s="616"/>
      <c r="M86" s="616"/>
    </row>
    <row r="87" spans="1:13" x14ac:dyDescent="0.2">
      <c r="A87" s="709"/>
      <c r="B87" s="709"/>
      <c r="C87" s="709"/>
      <c r="D87" s="1122"/>
      <c r="E87" s="616"/>
      <c r="F87" s="711"/>
      <c r="G87" s="616"/>
      <c r="H87" s="616"/>
      <c r="I87" s="745"/>
      <c r="J87" s="616"/>
      <c r="K87" s="616"/>
      <c r="L87" s="616"/>
      <c r="M87" s="616"/>
    </row>
    <row r="88" spans="1:13" x14ac:dyDescent="0.2">
      <c r="A88" s="709"/>
      <c r="B88" s="709"/>
      <c r="C88" s="709"/>
      <c r="D88" s="1122"/>
      <c r="E88" s="616"/>
      <c r="F88" s="711"/>
      <c r="G88" s="616" t="s">
        <v>884</v>
      </c>
      <c r="H88" s="616"/>
      <c r="I88" s="745">
        <f>I86+((H64+F64)*5%)</f>
        <v>0</v>
      </c>
      <c r="J88" s="616"/>
      <c r="K88" s="616"/>
      <c r="L88" s="616"/>
      <c r="M88" s="616"/>
    </row>
    <row r="89" spans="1:13" x14ac:dyDescent="0.2">
      <c r="A89" s="709"/>
      <c r="B89" s="709"/>
      <c r="C89" s="709"/>
      <c r="D89" s="1122"/>
      <c r="E89" s="616"/>
      <c r="F89" s="711"/>
      <c r="G89" s="616"/>
      <c r="H89" s="616"/>
      <c r="I89" s="745"/>
      <c r="J89" s="616"/>
      <c r="K89" s="616"/>
      <c r="L89" s="616"/>
      <c r="M89" s="616"/>
    </row>
    <row r="90" spans="1:13" x14ac:dyDescent="0.2">
      <c r="A90" s="709"/>
      <c r="B90" s="709"/>
      <c r="C90" s="709"/>
      <c r="D90" s="1122"/>
      <c r="E90" s="616"/>
      <c r="F90" s="711"/>
      <c r="G90" s="616"/>
      <c r="H90" s="616" t="s">
        <v>885</v>
      </c>
      <c r="I90" s="745">
        <f>I88-I84</f>
        <v>-470</v>
      </c>
      <c r="J90" s="616"/>
      <c r="K90" s="616"/>
      <c r="L90" s="616"/>
      <c r="M90" s="616"/>
    </row>
    <row r="91" spans="1:13" x14ac:dyDescent="0.2">
      <c r="A91" s="708"/>
      <c r="B91" s="709"/>
      <c r="C91" s="708"/>
      <c r="D91" s="1122"/>
      <c r="I91" s="604"/>
    </row>
    <row r="92" spans="1:13" x14ac:dyDescent="0.2">
      <c r="A92" s="708"/>
      <c r="B92" s="709"/>
      <c r="C92" s="708"/>
      <c r="D92" s="1122"/>
      <c r="I92" s="604"/>
    </row>
    <row r="93" spans="1:13" x14ac:dyDescent="0.2">
      <c r="A93" s="708"/>
      <c r="B93" s="709"/>
      <c r="C93" s="708"/>
      <c r="D93" s="1122"/>
      <c r="G93" s="683" t="s">
        <v>886</v>
      </c>
      <c r="I93" s="745">
        <f>I86+E25</f>
        <v>0</v>
      </c>
    </row>
    <row r="94" spans="1:13" x14ac:dyDescent="0.2">
      <c r="A94" s="708"/>
      <c r="B94" s="709"/>
      <c r="C94" s="708"/>
      <c r="D94" s="1122"/>
      <c r="I94" s="604"/>
    </row>
    <row r="95" spans="1:13" x14ac:dyDescent="0.2">
      <c r="A95" s="708"/>
      <c r="B95" s="709"/>
      <c r="C95" s="708"/>
      <c r="D95" s="1122"/>
      <c r="G95" s="683" t="s">
        <v>887</v>
      </c>
      <c r="I95" s="721">
        <f>I93-I84</f>
        <v>-470</v>
      </c>
    </row>
    <row r="96" spans="1:13" x14ac:dyDescent="0.2">
      <c r="A96" s="708"/>
      <c r="B96" s="709"/>
      <c r="C96" s="708"/>
      <c r="D96" s="1122"/>
    </row>
    <row r="97" spans="1:3" x14ac:dyDescent="0.2">
      <c r="A97" s="708"/>
      <c r="B97" s="709"/>
      <c r="C97" s="708"/>
    </row>
    <row r="98" spans="1:3" x14ac:dyDescent="0.2">
      <c r="A98" s="708"/>
      <c r="B98" s="709"/>
      <c r="C98" s="708"/>
    </row>
    <row r="99" spans="1:3" x14ac:dyDescent="0.2">
      <c r="A99" s="708"/>
      <c r="B99" s="709"/>
      <c r="C99" s="708"/>
    </row>
    <row r="100" spans="1:3" x14ac:dyDescent="0.2">
      <c r="A100" s="708"/>
      <c r="B100" s="709"/>
      <c r="C100" s="708"/>
    </row>
    <row r="101" spans="1:3" x14ac:dyDescent="0.2">
      <c r="A101" s="708"/>
      <c r="B101" s="709"/>
      <c r="C101" s="708"/>
    </row>
    <row r="102" spans="1:3" x14ac:dyDescent="0.2">
      <c r="A102" s="708"/>
      <c r="B102" s="709"/>
      <c r="C102" s="708"/>
    </row>
    <row r="103" spans="1:3" x14ac:dyDescent="0.2">
      <c r="A103" s="708"/>
      <c r="B103" s="709"/>
      <c r="C103" s="708"/>
    </row>
    <row r="104" spans="1:3" x14ac:dyDescent="0.2">
      <c r="A104" s="708"/>
      <c r="B104" s="709"/>
      <c r="C104" s="708"/>
    </row>
    <row r="105" spans="1:3" x14ac:dyDescent="0.2">
      <c r="A105" s="708"/>
      <c r="B105" s="709"/>
      <c r="C105" s="708"/>
    </row>
    <row r="106" spans="1:3" x14ac:dyDescent="0.2">
      <c r="A106" s="708"/>
      <c r="B106" s="709"/>
      <c r="C106" s="708"/>
    </row>
    <row r="107" spans="1:3" x14ac:dyDescent="0.2">
      <c r="A107" s="708"/>
      <c r="B107" s="709"/>
      <c r="C107" s="708"/>
    </row>
    <row r="108" spans="1:3" x14ac:dyDescent="0.2">
      <c r="A108" s="708"/>
      <c r="B108" s="709"/>
      <c r="C108" s="708"/>
    </row>
    <row r="109" spans="1:3" x14ac:dyDescent="0.2">
      <c r="A109" s="708"/>
      <c r="B109" s="709"/>
      <c r="C109" s="708"/>
    </row>
    <row r="110" spans="1:3" x14ac:dyDescent="0.2">
      <c r="A110" s="708"/>
      <c r="B110" s="709"/>
      <c r="C110" s="708"/>
    </row>
    <row r="111" spans="1:3" x14ac:dyDescent="0.2">
      <c r="A111" s="708"/>
      <c r="B111" s="709"/>
      <c r="C111" s="708"/>
    </row>
    <row r="112" spans="1:3" x14ac:dyDescent="0.2">
      <c r="A112" s="708"/>
      <c r="B112" s="709"/>
      <c r="C112" s="708"/>
    </row>
    <row r="113" spans="1:3" x14ac:dyDescent="0.2">
      <c r="A113" s="708"/>
      <c r="B113" s="709"/>
      <c r="C113" s="708"/>
    </row>
    <row r="114" spans="1:3" x14ac:dyDescent="0.2">
      <c r="A114" s="708"/>
      <c r="B114" s="709"/>
      <c r="C114" s="708"/>
    </row>
    <row r="115" spans="1:3" x14ac:dyDescent="0.2">
      <c r="A115" s="708"/>
      <c r="B115" s="709"/>
      <c r="C115" s="708"/>
    </row>
    <row r="116" spans="1:3" x14ac:dyDescent="0.2">
      <c r="A116" s="708"/>
      <c r="B116" s="709"/>
      <c r="C116" s="708"/>
    </row>
    <row r="117" spans="1:3" x14ac:dyDescent="0.2">
      <c r="A117" s="708"/>
      <c r="B117" s="709"/>
      <c r="C117" s="708"/>
    </row>
    <row r="118" spans="1:3" x14ac:dyDescent="0.2">
      <c r="A118" s="708"/>
      <c r="B118" s="709"/>
      <c r="C118" s="708"/>
    </row>
    <row r="119" spans="1:3" x14ac:dyDescent="0.2">
      <c r="A119" s="708"/>
      <c r="B119" s="709"/>
      <c r="C119" s="708"/>
    </row>
    <row r="120" spans="1:3" x14ac:dyDescent="0.2">
      <c r="A120" s="708"/>
      <c r="B120" s="709"/>
      <c r="C120" s="708"/>
    </row>
    <row r="121" spans="1:3" x14ac:dyDescent="0.2">
      <c r="A121" s="708"/>
      <c r="B121" s="709"/>
      <c r="C121" s="708"/>
    </row>
    <row r="122" spans="1:3" x14ac:dyDescent="0.2">
      <c r="A122" s="708"/>
      <c r="B122" s="709"/>
      <c r="C122" s="708"/>
    </row>
    <row r="123" spans="1:3" x14ac:dyDescent="0.2">
      <c r="A123" s="708"/>
      <c r="B123" s="709"/>
      <c r="C123" s="708"/>
    </row>
    <row r="124" spans="1:3" x14ac:dyDescent="0.2">
      <c r="A124" s="708"/>
      <c r="B124" s="709"/>
      <c r="C124" s="708"/>
    </row>
    <row r="125" spans="1:3" x14ac:dyDescent="0.2">
      <c r="A125" s="708"/>
      <c r="B125" s="709"/>
      <c r="C125" s="708"/>
    </row>
    <row r="126" spans="1:3" x14ac:dyDescent="0.2">
      <c r="A126" s="708"/>
      <c r="B126" s="709"/>
      <c r="C126" s="708"/>
    </row>
    <row r="127" spans="1:3" x14ac:dyDescent="0.2">
      <c r="A127" s="708"/>
      <c r="B127" s="709"/>
      <c r="C127" s="708"/>
    </row>
    <row r="128" spans="1:3" x14ac:dyDescent="0.2">
      <c r="A128" s="708"/>
      <c r="B128" s="709"/>
      <c r="C128" s="708"/>
    </row>
    <row r="129" spans="1:3" x14ac:dyDescent="0.2">
      <c r="A129" s="708"/>
      <c r="B129" s="709"/>
      <c r="C129" s="708"/>
    </row>
    <row r="130" spans="1:3" x14ac:dyDescent="0.2">
      <c r="A130" s="708"/>
      <c r="B130" s="709"/>
      <c r="C130" s="708"/>
    </row>
    <row r="131" spans="1:3" x14ac:dyDescent="0.2">
      <c r="A131" s="708"/>
      <c r="B131" s="709"/>
      <c r="C131" s="708"/>
    </row>
    <row r="132" spans="1:3" x14ac:dyDescent="0.2">
      <c r="A132" s="708"/>
      <c r="B132" s="709"/>
      <c r="C132" s="708"/>
    </row>
    <row r="133" spans="1:3" x14ac:dyDescent="0.2">
      <c r="A133" s="708"/>
      <c r="B133" s="709"/>
      <c r="C133" s="708"/>
    </row>
    <row r="134" spans="1:3" x14ac:dyDescent="0.2">
      <c r="A134" s="708"/>
      <c r="B134" s="709"/>
      <c r="C134" s="708"/>
    </row>
    <row r="135" spans="1:3" x14ac:dyDescent="0.2">
      <c r="A135" s="708"/>
      <c r="B135" s="709"/>
      <c r="C135" s="708"/>
    </row>
    <row r="136" spans="1:3" x14ac:dyDescent="0.2">
      <c r="A136" s="708"/>
      <c r="B136" s="709"/>
      <c r="C136" s="708"/>
    </row>
    <row r="137" spans="1:3" x14ac:dyDescent="0.2">
      <c r="A137" s="708"/>
      <c r="B137" s="709"/>
      <c r="C137" s="708"/>
    </row>
    <row r="138" spans="1:3" x14ac:dyDescent="0.2">
      <c r="A138" s="708"/>
      <c r="B138" s="709"/>
      <c r="C138" s="708"/>
    </row>
    <row r="139" spans="1:3" x14ac:dyDescent="0.2">
      <c r="A139" s="708"/>
      <c r="B139" s="709"/>
      <c r="C139" s="708"/>
    </row>
    <row r="140" spans="1:3" x14ac:dyDescent="0.2">
      <c r="A140" s="708"/>
      <c r="B140" s="709"/>
      <c r="C140" s="708"/>
    </row>
    <row r="141" spans="1:3" x14ac:dyDescent="0.2">
      <c r="A141" s="708"/>
      <c r="B141" s="709"/>
      <c r="C141" s="708"/>
    </row>
    <row r="142" spans="1:3" x14ac:dyDescent="0.2">
      <c r="A142" s="708"/>
      <c r="B142" s="709"/>
      <c r="C142" s="708"/>
    </row>
    <row r="143" spans="1:3" x14ac:dyDescent="0.2">
      <c r="A143" s="708"/>
      <c r="B143" s="709"/>
      <c r="C143" s="708"/>
    </row>
    <row r="144" spans="1:3" x14ac:dyDescent="0.2">
      <c r="A144" s="708"/>
      <c r="B144" s="709"/>
      <c r="C144" s="708"/>
    </row>
    <row r="145" spans="1:3" x14ac:dyDescent="0.2">
      <c r="A145" s="708"/>
      <c r="B145" s="709"/>
      <c r="C145" s="708"/>
    </row>
    <row r="146" spans="1:3" x14ac:dyDescent="0.2">
      <c r="A146" s="708"/>
      <c r="B146" s="709"/>
      <c r="C146" s="708"/>
    </row>
    <row r="147" spans="1:3" x14ac:dyDescent="0.2">
      <c r="A147" s="708"/>
      <c r="B147" s="709"/>
      <c r="C147" s="708"/>
    </row>
    <row r="148" spans="1:3" x14ac:dyDescent="0.2">
      <c r="A148" s="708"/>
      <c r="B148" s="709"/>
      <c r="C148" s="708"/>
    </row>
    <row r="149" spans="1:3" x14ac:dyDescent="0.2">
      <c r="A149" s="708"/>
      <c r="B149" s="709"/>
      <c r="C149" s="708"/>
    </row>
    <row r="150" spans="1:3" x14ac:dyDescent="0.2">
      <c r="A150" s="708"/>
      <c r="B150" s="709"/>
      <c r="C150" s="708"/>
    </row>
    <row r="151" spans="1:3" x14ac:dyDescent="0.2">
      <c r="A151" s="708"/>
      <c r="B151" s="709"/>
      <c r="C151" s="708"/>
    </row>
    <row r="152" spans="1:3" x14ac:dyDescent="0.2">
      <c r="A152" s="708"/>
      <c r="B152" s="709"/>
      <c r="C152" s="708"/>
    </row>
    <row r="153" spans="1:3" x14ac:dyDescent="0.2">
      <c r="A153" s="708"/>
      <c r="B153" s="709"/>
      <c r="C153" s="708"/>
    </row>
    <row r="154" spans="1:3" x14ac:dyDescent="0.2">
      <c r="A154" s="708"/>
      <c r="B154" s="709"/>
      <c r="C154" s="708"/>
    </row>
    <row r="155" spans="1:3" x14ac:dyDescent="0.2">
      <c r="A155" s="708"/>
      <c r="B155" s="709"/>
      <c r="C155" s="708"/>
    </row>
    <row r="156" spans="1:3" x14ac:dyDescent="0.2">
      <c r="A156" s="708"/>
      <c r="B156" s="709"/>
      <c r="C156" s="708"/>
    </row>
    <row r="157" spans="1:3" x14ac:dyDescent="0.2">
      <c r="A157" s="708"/>
      <c r="B157" s="709"/>
      <c r="C157" s="708"/>
    </row>
    <row r="158" spans="1:3" x14ac:dyDescent="0.2">
      <c r="A158" s="708"/>
      <c r="B158" s="709"/>
      <c r="C158" s="708"/>
    </row>
    <row r="159" spans="1:3" x14ac:dyDescent="0.2">
      <c r="A159" s="708"/>
      <c r="B159" s="709"/>
      <c r="C159" s="708"/>
    </row>
    <row r="160" spans="1:3" x14ac:dyDescent="0.2">
      <c r="A160" s="708"/>
      <c r="B160" s="709"/>
      <c r="C160" s="708"/>
    </row>
    <row r="161" spans="1:18" x14ac:dyDescent="0.2">
      <c r="A161" s="708"/>
      <c r="B161" s="709"/>
      <c r="C161" s="708"/>
    </row>
    <row r="162" spans="1:18" x14ac:dyDescent="0.2">
      <c r="A162" s="708"/>
      <c r="B162" s="709"/>
      <c r="C162" s="708"/>
    </row>
    <row r="163" spans="1:18" x14ac:dyDescent="0.2">
      <c r="A163" s="708"/>
      <c r="B163" s="709"/>
      <c r="C163" s="708"/>
    </row>
    <row r="164" spans="1:18" x14ac:dyDescent="0.2">
      <c r="A164" s="708"/>
      <c r="B164" s="709"/>
      <c r="C164" s="708"/>
    </row>
    <row r="165" spans="1:18" x14ac:dyDescent="0.2">
      <c r="A165" s="708"/>
      <c r="B165" s="709"/>
      <c r="C165" s="708"/>
    </row>
    <row r="166" spans="1:18" x14ac:dyDescent="0.2">
      <c r="A166" s="708"/>
      <c r="B166" s="709"/>
      <c r="C166" s="708"/>
    </row>
    <row r="167" spans="1:18" x14ac:dyDescent="0.2">
      <c r="A167" s="708"/>
      <c r="B167" s="709"/>
      <c r="C167" s="708"/>
    </row>
    <row r="168" spans="1:18" x14ac:dyDescent="0.2">
      <c r="A168" s="708"/>
      <c r="B168" s="709"/>
      <c r="C168" s="708"/>
    </row>
    <row r="169" spans="1:18" x14ac:dyDescent="0.2">
      <c r="B169" s="616"/>
    </row>
    <row r="170" spans="1:18" x14ac:dyDescent="0.2">
      <c r="B170" s="616"/>
    </row>
    <row r="171" spans="1:18" x14ac:dyDescent="0.2">
      <c r="B171" s="616"/>
    </row>
    <row r="172" spans="1:18" x14ac:dyDescent="0.2">
      <c r="B172" s="616"/>
    </row>
    <row r="173" spans="1:18" s="708" customFormat="1" ht="30" x14ac:dyDescent="0.2">
      <c r="A173" s="746"/>
      <c r="B173" s="1123" t="s">
        <v>361</v>
      </c>
      <c r="C173" s="1123"/>
      <c r="D173" s="1123">
        <f>D1</f>
        <v>0</v>
      </c>
      <c r="E173" s="1123"/>
      <c r="F173" s="1123"/>
      <c r="G173" s="1123"/>
      <c r="H173" s="1123"/>
      <c r="I173" s="746"/>
      <c r="J173" s="746"/>
      <c r="K173" s="746"/>
      <c r="L173" s="746"/>
      <c r="M173" s="746"/>
      <c r="N173" s="746"/>
      <c r="O173" s="746"/>
      <c r="P173" s="746"/>
      <c r="Q173" s="746"/>
    </row>
    <row r="174" spans="1:18" s="708" customFormat="1" ht="18" x14ac:dyDescent="0.25">
      <c r="A174" s="705"/>
      <c r="B174" s="705" t="s">
        <v>888</v>
      </c>
      <c r="C174" s="705"/>
      <c r="D174" s="705"/>
      <c r="E174" s="705" t="s">
        <v>27</v>
      </c>
      <c r="F174" s="706"/>
      <c r="G174" s="705"/>
      <c r="H174" s="705"/>
      <c r="I174" s="705"/>
      <c r="J174" s="705"/>
      <c r="K174" s="705"/>
      <c r="L174" s="705" t="s">
        <v>819</v>
      </c>
      <c r="M174" s="705" t="s">
        <v>819</v>
      </c>
      <c r="N174" s="705" t="s">
        <v>819</v>
      </c>
      <c r="O174" s="705" t="s">
        <v>626</v>
      </c>
      <c r="P174" s="705"/>
      <c r="Q174" s="705"/>
    </row>
    <row r="175" spans="1:18" s="708" customFormat="1" x14ac:dyDescent="0.2">
      <c r="A175" s="708" t="s">
        <v>820</v>
      </c>
      <c r="B175" s="708" t="s">
        <v>821</v>
      </c>
      <c r="C175" s="708" t="s">
        <v>822</v>
      </c>
      <c r="D175" s="708" t="s">
        <v>823</v>
      </c>
      <c r="E175" s="708" t="s">
        <v>824</v>
      </c>
      <c r="F175" s="708" t="s">
        <v>825</v>
      </c>
      <c r="G175" s="708" t="s">
        <v>826</v>
      </c>
      <c r="H175" s="708" t="s">
        <v>827</v>
      </c>
      <c r="I175" s="708" t="s">
        <v>828</v>
      </c>
      <c r="J175" s="708" t="s">
        <v>829</v>
      </c>
      <c r="L175" s="708" t="s">
        <v>830</v>
      </c>
      <c r="M175" s="708" t="s">
        <v>831</v>
      </c>
      <c r="N175" s="708" t="s">
        <v>832</v>
      </c>
      <c r="O175" s="708" t="s">
        <v>833</v>
      </c>
      <c r="Q175" s="708" t="s">
        <v>834</v>
      </c>
      <c r="R175" s="708" t="s">
        <v>835</v>
      </c>
    </row>
    <row r="176" spans="1:18" x14ac:dyDescent="0.2">
      <c r="A176" s="708">
        <v>370</v>
      </c>
      <c r="B176" s="708" t="s">
        <v>836</v>
      </c>
      <c r="C176" s="708" t="s">
        <v>268</v>
      </c>
      <c r="D176" s="709">
        <v>7.5</v>
      </c>
      <c r="E176" s="709"/>
      <c r="F176" s="747"/>
      <c r="G176" s="709">
        <v>7.5</v>
      </c>
      <c r="H176" s="709"/>
      <c r="I176" s="709">
        <v>0.01</v>
      </c>
      <c r="J176" s="709"/>
      <c r="K176" s="616"/>
      <c r="L176" s="709">
        <f t="shared" ref="L176:L206" si="5">J176/I176*100</f>
        <v>0</v>
      </c>
      <c r="M176" s="709">
        <f>IF(OR(C176=$AA$1,C176=$AB$1),E176/D176*100,0)</f>
        <v>0</v>
      </c>
      <c r="N176" s="709">
        <f>IF(C176=$Z$1,E176/D176*100,0)</f>
        <v>0</v>
      </c>
      <c r="O176" s="709">
        <f t="shared" ref="O176:O206" si="6">H176/G176*100</f>
        <v>0</v>
      </c>
      <c r="P176" s="708" t="s">
        <v>837</v>
      </c>
      <c r="Q176" s="708"/>
      <c r="R176" s="708"/>
    </row>
    <row r="177" spans="1:18" x14ac:dyDescent="0.2">
      <c r="A177" s="708">
        <v>390</v>
      </c>
      <c r="B177" s="708" t="s">
        <v>838</v>
      </c>
      <c r="C177" s="708" t="s">
        <v>268</v>
      </c>
      <c r="D177" s="709">
        <v>5</v>
      </c>
      <c r="E177" s="709"/>
      <c r="F177" s="747">
        <f>E177</f>
        <v>0</v>
      </c>
      <c r="G177" s="709">
        <v>5</v>
      </c>
      <c r="H177" s="709"/>
      <c r="I177" s="709">
        <v>8.33</v>
      </c>
      <c r="J177" s="709"/>
      <c r="K177" s="616"/>
      <c r="L177" s="709">
        <f t="shared" si="5"/>
        <v>0</v>
      </c>
      <c r="M177" s="709">
        <f>IF(OR(C177=$AA$1,C177=$AB$1),E177/D177*100,0)</f>
        <v>0</v>
      </c>
      <c r="N177" s="709">
        <f>IF(C177=$Z$1,E177/D177*100,0)</f>
        <v>0</v>
      </c>
      <c r="O177" s="709">
        <f t="shared" si="6"/>
        <v>0</v>
      </c>
      <c r="P177" s="708" t="s">
        <v>837</v>
      </c>
      <c r="Q177" s="708"/>
      <c r="R177" s="708"/>
    </row>
    <row r="178" spans="1:18" x14ac:dyDescent="0.2">
      <c r="A178" s="708">
        <v>402</v>
      </c>
      <c r="B178" s="708" t="s">
        <v>839</v>
      </c>
      <c r="C178" s="708" t="s">
        <v>268</v>
      </c>
      <c r="D178" s="709">
        <v>5</v>
      </c>
      <c r="E178" s="709"/>
      <c r="F178" s="747">
        <f>E178</f>
        <v>0</v>
      </c>
      <c r="G178" s="709">
        <v>5</v>
      </c>
      <c r="H178" s="709"/>
      <c r="I178" s="709">
        <v>8.5</v>
      </c>
      <c r="J178" s="709"/>
      <c r="K178" s="616"/>
      <c r="L178" s="709">
        <f t="shared" si="5"/>
        <v>0</v>
      </c>
      <c r="M178" s="709">
        <f>IF(OR(C178=$AA$1,C178=$AB$1),E178/D178*100,0)</f>
        <v>0</v>
      </c>
      <c r="N178" s="709">
        <f>IF(C178=$Z$1,E178/D178*100,0)</f>
        <v>0</v>
      </c>
      <c r="O178" s="709">
        <f t="shared" si="6"/>
        <v>0</v>
      </c>
      <c r="P178" s="708" t="s">
        <v>837</v>
      </c>
      <c r="Q178" s="708"/>
      <c r="R178" s="708"/>
    </row>
    <row r="179" spans="1:18" x14ac:dyDescent="0.2">
      <c r="A179" s="708">
        <v>416</v>
      </c>
      <c r="B179" s="708" t="s">
        <v>840</v>
      </c>
      <c r="C179" s="708" t="s">
        <v>607</v>
      </c>
      <c r="D179" s="709">
        <v>6</v>
      </c>
      <c r="E179" s="709"/>
      <c r="F179" s="747">
        <f>5/6*E179</f>
        <v>0</v>
      </c>
      <c r="G179" s="709">
        <v>5.5</v>
      </c>
      <c r="H179" s="709"/>
      <c r="I179" s="709">
        <v>8.33</v>
      </c>
      <c r="J179" s="709"/>
      <c r="K179" s="616"/>
      <c r="L179" s="709">
        <f t="shared" si="5"/>
        <v>0</v>
      </c>
      <c r="M179" s="709">
        <f>IF(OR(C179=$AA$1,C179=$AB$1),E179/D179*100,0)</f>
        <v>0</v>
      </c>
      <c r="N179" s="709">
        <f>IF(C179=$Z$1,E179/D179*100,0)</f>
        <v>0</v>
      </c>
      <c r="O179" s="709">
        <f t="shared" si="6"/>
        <v>0</v>
      </c>
      <c r="P179" s="708" t="s">
        <v>535</v>
      </c>
      <c r="Q179" s="708"/>
      <c r="R179" s="708"/>
    </row>
    <row r="180" spans="1:18" x14ac:dyDescent="0.2">
      <c r="A180" s="708">
        <v>791</v>
      </c>
      <c r="B180" s="708" t="s">
        <v>841</v>
      </c>
      <c r="C180" s="708" t="s">
        <v>817</v>
      </c>
      <c r="D180" s="709">
        <v>1</v>
      </c>
      <c r="E180" s="709"/>
      <c r="F180" s="747"/>
      <c r="G180" s="709">
        <v>0.5</v>
      </c>
      <c r="H180" s="709"/>
      <c r="I180" s="709">
        <v>0.01</v>
      </c>
      <c r="J180" s="709"/>
      <c r="K180" s="616"/>
      <c r="L180" s="709">
        <f t="shared" si="5"/>
        <v>0</v>
      </c>
      <c r="M180" s="709">
        <f>IF(OR(C180=$AA$1,C180=$AB$1),E180/D180*100,0)</f>
        <v>0</v>
      </c>
      <c r="N180" s="709">
        <f>IF(C180=$Z$1,E180/D180*100,0)</f>
        <v>0</v>
      </c>
      <c r="O180" s="709">
        <f t="shared" si="6"/>
        <v>0</v>
      </c>
      <c r="P180" s="708"/>
      <c r="Q180" s="708"/>
      <c r="R180" s="708"/>
    </row>
    <row r="181" spans="1:18" x14ac:dyDescent="0.2">
      <c r="A181" s="708">
        <v>792</v>
      </c>
      <c r="B181" s="708" t="s">
        <v>843</v>
      </c>
      <c r="C181" s="708" t="s">
        <v>817</v>
      </c>
      <c r="D181" s="709">
        <v>2.5</v>
      </c>
      <c r="E181" s="709"/>
      <c r="F181" s="747"/>
      <c r="G181" s="709">
        <v>2.5</v>
      </c>
      <c r="H181" s="709"/>
      <c r="I181" s="709">
        <v>0.01</v>
      </c>
      <c r="J181" s="709"/>
      <c r="K181" s="616"/>
      <c r="L181" s="709">
        <f t="shared" si="5"/>
        <v>0</v>
      </c>
      <c r="M181" s="709">
        <f t="shared" ref="M181:M206" si="7">IF(OR(C181=$AA$1,C181=$AB$1),E181/D181*100,0)</f>
        <v>0</v>
      </c>
      <c r="N181" s="709">
        <f t="shared" ref="N181:N206" si="8">IF(C181=$Z$1,E181/D181*100,0)</f>
        <v>0</v>
      </c>
      <c r="O181" s="709">
        <f t="shared" si="6"/>
        <v>0</v>
      </c>
      <c r="P181" s="708"/>
      <c r="Q181" s="708"/>
      <c r="R181" s="708"/>
    </row>
    <row r="182" spans="1:18" x14ac:dyDescent="0.2">
      <c r="A182" s="708">
        <v>793</v>
      </c>
      <c r="B182" s="708" t="s">
        <v>844</v>
      </c>
      <c r="C182" s="708" t="s">
        <v>817</v>
      </c>
      <c r="D182" s="709">
        <v>1</v>
      </c>
      <c r="E182" s="709"/>
      <c r="F182" s="747"/>
      <c r="G182" s="709">
        <v>0.5</v>
      </c>
      <c r="H182" s="709"/>
      <c r="I182" s="709">
        <v>0.01</v>
      </c>
      <c r="J182" s="709"/>
      <c r="K182" s="616"/>
      <c r="L182" s="709">
        <f t="shared" si="5"/>
        <v>0</v>
      </c>
      <c r="M182" s="709">
        <f t="shared" si="7"/>
        <v>0</v>
      </c>
      <c r="N182" s="709">
        <f t="shared" si="8"/>
        <v>0</v>
      </c>
      <c r="O182" s="709">
        <f t="shared" si="6"/>
        <v>0</v>
      </c>
      <c r="P182" s="708"/>
      <c r="Q182" s="708"/>
      <c r="R182" s="708"/>
    </row>
    <row r="183" spans="1:18" x14ac:dyDescent="0.2">
      <c r="A183" s="708">
        <v>794</v>
      </c>
      <c r="B183" s="708" t="s">
        <v>845</v>
      </c>
      <c r="C183" s="708" t="s">
        <v>607</v>
      </c>
      <c r="D183" s="709">
        <v>5</v>
      </c>
      <c r="E183" s="709"/>
      <c r="F183" s="747">
        <f>E183</f>
        <v>0</v>
      </c>
      <c r="G183" s="709">
        <v>5</v>
      </c>
      <c r="H183" s="709"/>
      <c r="I183" s="709">
        <v>8.33</v>
      </c>
      <c r="J183" s="709">
        <f>8.33/14.33*E183</f>
        <v>0</v>
      </c>
      <c r="K183" s="616"/>
      <c r="L183" s="709">
        <f t="shared" si="5"/>
        <v>0</v>
      </c>
      <c r="M183" s="709">
        <f t="shared" si="7"/>
        <v>0</v>
      </c>
      <c r="N183" s="709">
        <f t="shared" si="8"/>
        <v>0</v>
      </c>
      <c r="O183" s="709">
        <f t="shared" si="6"/>
        <v>0</v>
      </c>
      <c r="P183" s="708" t="s">
        <v>535</v>
      </c>
      <c r="Q183" s="708"/>
      <c r="R183" s="708"/>
    </row>
    <row r="184" spans="1:18" x14ac:dyDescent="0.2">
      <c r="A184" s="708" t="s">
        <v>889</v>
      </c>
      <c r="B184" s="708" t="s">
        <v>845</v>
      </c>
      <c r="C184" s="708" t="s">
        <v>817</v>
      </c>
      <c r="D184" s="709">
        <v>1</v>
      </c>
      <c r="E184" s="709"/>
      <c r="F184" s="747"/>
      <c r="G184" s="709">
        <v>0.5</v>
      </c>
      <c r="H184" s="709"/>
      <c r="I184" s="709">
        <v>0.01</v>
      </c>
      <c r="J184" s="709"/>
      <c r="K184" s="616"/>
      <c r="L184" s="709">
        <f t="shared" si="5"/>
        <v>0</v>
      </c>
      <c r="M184" s="709">
        <f t="shared" si="7"/>
        <v>0</v>
      </c>
      <c r="N184" s="709">
        <f t="shared" si="8"/>
        <v>0</v>
      </c>
      <c r="O184" s="709">
        <f t="shared" si="6"/>
        <v>0</v>
      </c>
      <c r="P184" s="708"/>
      <c r="Q184" s="708"/>
      <c r="R184" s="708"/>
    </row>
    <row r="185" spans="1:18" x14ac:dyDescent="0.2">
      <c r="A185" s="708">
        <v>795</v>
      </c>
      <c r="B185" s="708" t="s">
        <v>846</v>
      </c>
      <c r="C185" s="708" t="s">
        <v>607</v>
      </c>
      <c r="D185" s="709">
        <v>5</v>
      </c>
      <c r="E185" s="709"/>
      <c r="F185" s="747">
        <f>E185</f>
        <v>0</v>
      </c>
      <c r="G185" s="709">
        <v>5</v>
      </c>
      <c r="H185" s="709"/>
      <c r="I185" s="709">
        <v>6</v>
      </c>
      <c r="J185" s="709">
        <f>6/12*E185</f>
        <v>0</v>
      </c>
      <c r="K185" s="616"/>
      <c r="L185" s="709">
        <f t="shared" si="5"/>
        <v>0</v>
      </c>
      <c r="M185" s="709">
        <f t="shared" si="7"/>
        <v>0</v>
      </c>
      <c r="N185" s="709">
        <f t="shared" si="8"/>
        <v>0</v>
      </c>
      <c r="O185" s="709">
        <f t="shared" si="6"/>
        <v>0</v>
      </c>
      <c r="P185" s="708" t="s">
        <v>535</v>
      </c>
      <c r="Q185" s="708"/>
      <c r="R185" s="708"/>
    </row>
    <row r="186" spans="1:18" x14ac:dyDescent="0.2">
      <c r="A186" s="708" t="s">
        <v>890</v>
      </c>
      <c r="B186" s="708" t="s">
        <v>846</v>
      </c>
      <c r="C186" s="708" t="s">
        <v>817</v>
      </c>
      <c r="D186" s="709">
        <v>1</v>
      </c>
      <c r="E186" s="709"/>
      <c r="F186" s="747"/>
      <c r="G186" s="709">
        <v>0.5</v>
      </c>
      <c r="H186" s="709"/>
      <c r="I186" s="709">
        <v>0.01</v>
      </c>
      <c r="J186" s="709"/>
      <c r="K186" s="616"/>
      <c r="L186" s="709">
        <f t="shared" si="5"/>
        <v>0</v>
      </c>
      <c r="M186" s="709">
        <f t="shared" si="7"/>
        <v>0</v>
      </c>
      <c r="N186" s="709">
        <f t="shared" si="8"/>
        <v>0</v>
      </c>
      <c r="O186" s="709">
        <f t="shared" si="6"/>
        <v>0</v>
      </c>
      <c r="P186" s="708"/>
      <c r="Q186" s="708"/>
      <c r="R186" s="708"/>
    </row>
    <row r="187" spans="1:18" x14ac:dyDescent="0.2">
      <c r="A187" s="708">
        <v>796</v>
      </c>
      <c r="B187" s="708" t="s">
        <v>847</v>
      </c>
      <c r="C187" s="708" t="s">
        <v>817</v>
      </c>
      <c r="D187" s="709">
        <v>2.5</v>
      </c>
      <c r="E187" s="709"/>
      <c r="F187" s="747"/>
      <c r="G187" s="709">
        <v>2.5</v>
      </c>
      <c r="H187" s="709"/>
      <c r="I187" s="709">
        <v>0.01</v>
      </c>
      <c r="J187" s="709"/>
      <c r="K187" s="616"/>
      <c r="L187" s="709">
        <f t="shared" si="5"/>
        <v>0</v>
      </c>
      <c r="M187" s="709">
        <f t="shared" si="7"/>
        <v>0</v>
      </c>
      <c r="N187" s="709">
        <f t="shared" si="8"/>
        <v>0</v>
      </c>
      <c r="O187" s="709">
        <f t="shared" si="6"/>
        <v>0</v>
      </c>
      <c r="P187" s="708"/>
      <c r="Q187" s="708"/>
      <c r="R187" s="708"/>
    </row>
    <row r="188" spans="1:18" x14ac:dyDescent="0.2">
      <c r="A188" s="708">
        <v>801</v>
      </c>
      <c r="B188" s="708" t="s">
        <v>848</v>
      </c>
      <c r="C188" s="708" t="s">
        <v>610</v>
      </c>
      <c r="D188" s="709">
        <v>6</v>
      </c>
      <c r="E188" s="709"/>
      <c r="F188" s="747">
        <f>5/6*E188</f>
        <v>0</v>
      </c>
      <c r="G188" s="709">
        <v>5.5</v>
      </c>
      <c r="H188" s="709"/>
      <c r="I188" s="709">
        <v>8.33</v>
      </c>
      <c r="J188" s="709"/>
      <c r="K188" s="616"/>
      <c r="L188" s="709">
        <f t="shared" si="5"/>
        <v>0</v>
      </c>
      <c r="M188" s="709">
        <f t="shared" si="7"/>
        <v>0</v>
      </c>
      <c r="N188" s="709">
        <f t="shared" si="8"/>
        <v>0</v>
      </c>
      <c r="O188" s="709">
        <f t="shared" si="6"/>
        <v>0</v>
      </c>
      <c r="P188" s="708" t="s">
        <v>535</v>
      </c>
      <c r="Q188" s="684" t="s">
        <v>851</v>
      </c>
      <c r="R188" s="684" t="s">
        <v>627</v>
      </c>
    </row>
    <row r="189" spans="1:18" x14ac:dyDescent="0.2">
      <c r="A189" s="708">
        <v>818</v>
      </c>
      <c r="B189" s="708" t="s">
        <v>849</v>
      </c>
      <c r="C189" s="708" t="s">
        <v>607</v>
      </c>
      <c r="D189" s="709">
        <v>6</v>
      </c>
      <c r="E189" s="709"/>
      <c r="F189" s="747">
        <f>5/6*E189</f>
        <v>0</v>
      </c>
      <c r="G189" s="709">
        <v>5.5</v>
      </c>
      <c r="H189" s="709"/>
      <c r="I189" s="709">
        <v>8.33</v>
      </c>
      <c r="J189" s="709"/>
      <c r="K189" s="616"/>
      <c r="L189" s="709">
        <f t="shared" si="5"/>
        <v>0</v>
      </c>
      <c r="M189" s="709">
        <f t="shared" si="7"/>
        <v>0</v>
      </c>
      <c r="N189" s="709">
        <f t="shared" si="8"/>
        <v>0</v>
      </c>
      <c r="O189" s="709">
        <f t="shared" si="6"/>
        <v>0</v>
      </c>
      <c r="P189" s="708" t="s">
        <v>535</v>
      </c>
      <c r="Q189" s="708"/>
      <c r="R189" s="708"/>
    </row>
    <row r="190" spans="1:18" x14ac:dyDescent="0.2">
      <c r="A190" s="708">
        <v>829</v>
      </c>
      <c r="B190" s="708" t="s">
        <v>850</v>
      </c>
      <c r="C190" s="708" t="s">
        <v>607</v>
      </c>
      <c r="D190" s="709">
        <v>5</v>
      </c>
      <c r="E190" s="709"/>
      <c r="F190" s="747">
        <f>E190</f>
        <v>0</v>
      </c>
      <c r="G190" s="709">
        <v>5</v>
      </c>
      <c r="H190" s="709"/>
      <c r="I190" s="709">
        <v>0.01</v>
      </c>
      <c r="J190" s="709">
        <v>0</v>
      </c>
      <c r="K190" s="616"/>
      <c r="L190" s="709">
        <f t="shared" si="5"/>
        <v>0</v>
      </c>
      <c r="M190" s="709">
        <f t="shared" si="7"/>
        <v>0</v>
      </c>
      <c r="N190" s="709">
        <f t="shared" si="8"/>
        <v>0</v>
      </c>
      <c r="O190" s="709">
        <f t="shared" si="6"/>
        <v>0</v>
      </c>
      <c r="P190" s="708" t="s">
        <v>535</v>
      </c>
      <c r="Q190" s="708"/>
      <c r="R190" s="708"/>
    </row>
    <row r="191" spans="1:18" x14ac:dyDescent="0.2">
      <c r="A191" s="708">
        <v>830</v>
      </c>
      <c r="B191" s="708" t="s">
        <v>852</v>
      </c>
      <c r="C191" s="708" t="s">
        <v>607</v>
      </c>
      <c r="D191" s="709">
        <v>6</v>
      </c>
      <c r="E191" s="709"/>
      <c r="F191" s="747">
        <f>5/6*E191</f>
        <v>0</v>
      </c>
      <c r="G191" s="709">
        <v>5.5</v>
      </c>
      <c r="H191" s="709"/>
      <c r="I191" s="709">
        <v>6</v>
      </c>
      <c r="J191" s="709"/>
      <c r="K191" s="616"/>
      <c r="L191" s="709">
        <f t="shared" si="5"/>
        <v>0</v>
      </c>
      <c r="M191" s="709">
        <f t="shared" si="7"/>
        <v>0</v>
      </c>
      <c r="N191" s="709">
        <f t="shared" si="8"/>
        <v>0</v>
      </c>
      <c r="O191" s="709">
        <f t="shared" si="6"/>
        <v>0</v>
      </c>
      <c r="P191" s="708" t="s">
        <v>535</v>
      </c>
      <c r="Q191" s="708"/>
      <c r="R191" s="708"/>
    </row>
    <row r="192" spans="1:18" x14ac:dyDescent="0.2">
      <c r="A192" s="708">
        <v>833</v>
      </c>
      <c r="B192" s="708" t="s">
        <v>853</v>
      </c>
      <c r="C192" s="708" t="s">
        <v>610</v>
      </c>
      <c r="D192" s="709">
        <v>0.01</v>
      </c>
      <c r="E192" s="709"/>
      <c r="F192" s="747"/>
      <c r="G192" s="709">
        <v>0.01</v>
      </c>
      <c r="H192" s="709"/>
      <c r="I192" s="709">
        <v>8.33</v>
      </c>
      <c r="J192" s="709"/>
      <c r="K192" s="616"/>
      <c r="L192" s="709">
        <f t="shared" si="5"/>
        <v>0</v>
      </c>
      <c r="M192" s="709">
        <f t="shared" si="7"/>
        <v>0</v>
      </c>
      <c r="N192" s="709">
        <f t="shared" si="8"/>
        <v>0</v>
      </c>
      <c r="O192" s="709">
        <f t="shared" si="6"/>
        <v>0</v>
      </c>
      <c r="P192" s="708"/>
      <c r="Q192" s="684" t="s">
        <v>853</v>
      </c>
      <c r="R192" s="684" t="s">
        <v>853</v>
      </c>
    </row>
    <row r="193" spans="1:18" x14ac:dyDescent="0.2">
      <c r="A193" s="708">
        <v>833</v>
      </c>
      <c r="B193" s="708" t="s">
        <v>854</v>
      </c>
      <c r="C193" s="708" t="s">
        <v>607</v>
      </c>
      <c r="D193" s="709">
        <v>5</v>
      </c>
      <c r="E193" s="709"/>
      <c r="F193" s="747">
        <f>E193</f>
        <v>0</v>
      </c>
      <c r="G193" s="709">
        <v>5</v>
      </c>
      <c r="H193" s="709"/>
      <c r="I193" s="709">
        <v>0.01</v>
      </c>
      <c r="J193" s="709"/>
      <c r="K193" s="616"/>
      <c r="L193" s="709">
        <f t="shared" si="5"/>
        <v>0</v>
      </c>
      <c r="M193" s="709">
        <f t="shared" si="7"/>
        <v>0</v>
      </c>
      <c r="N193" s="709">
        <f t="shared" si="8"/>
        <v>0</v>
      </c>
      <c r="O193" s="709">
        <f t="shared" si="6"/>
        <v>0</v>
      </c>
      <c r="P193" s="708" t="s">
        <v>535</v>
      </c>
      <c r="Q193" s="708"/>
      <c r="R193" s="708"/>
    </row>
    <row r="194" spans="1:18" x14ac:dyDescent="0.2">
      <c r="A194" s="708">
        <v>834</v>
      </c>
      <c r="B194" s="708" t="s">
        <v>855</v>
      </c>
      <c r="C194" s="708" t="s">
        <v>607</v>
      </c>
      <c r="D194" s="709">
        <v>5</v>
      </c>
      <c r="E194" s="709"/>
      <c r="F194" s="747">
        <f>E194</f>
        <v>0</v>
      </c>
      <c r="G194" s="709">
        <v>5</v>
      </c>
      <c r="H194" s="709"/>
      <c r="I194" s="709">
        <v>8.33</v>
      </c>
      <c r="J194" s="709"/>
      <c r="K194" s="616"/>
      <c r="L194" s="709">
        <f t="shared" si="5"/>
        <v>0</v>
      </c>
      <c r="M194" s="709">
        <f t="shared" si="7"/>
        <v>0</v>
      </c>
      <c r="N194" s="709">
        <f t="shared" si="8"/>
        <v>0</v>
      </c>
      <c r="O194" s="709">
        <f t="shared" si="6"/>
        <v>0</v>
      </c>
      <c r="P194" s="708" t="s">
        <v>535</v>
      </c>
      <c r="Q194" s="708"/>
      <c r="R194" s="708"/>
    </row>
    <row r="195" spans="1:18" x14ac:dyDescent="0.2">
      <c r="A195" s="708">
        <v>835</v>
      </c>
      <c r="B195" s="708" t="s">
        <v>838</v>
      </c>
      <c r="C195" s="708" t="s">
        <v>268</v>
      </c>
      <c r="D195" s="709">
        <v>5</v>
      </c>
      <c r="E195" s="709"/>
      <c r="F195" s="747">
        <f>E195</f>
        <v>0</v>
      </c>
      <c r="G195" s="709">
        <v>5</v>
      </c>
      <c r="H195" s="709"/>
      <c r="I195" s="709">
        <v>8.33</v>
      </c>
      <c r="J195" s="709"/>
      <c r="K195" s="616"/>
      <c r="L195" s="709">
        <f t="shared" si="5"/>
        <v>0</v>
      </c>
      <c r="M195" s="709">
        <f t="shared" si="7"/>
        <v>0</v>
      </c>
      <c r="N195" s="709">
        <f t="shared" si="8"/>
        <v>0</v>
      </c>
      <c r="O195" s="709">
        <f t="shared" si="6"/>
        <v>0</v>
      </c>
      <c r="P195" s="708" t="s">
        <v>837</v>
      </c>
      <c r="Q195" s="708"/>
      <c r="R195" s="708"/>
    </row>
    <row r="196" spans="1:18" x14ac:dyDescent="0.2">
      <c r="A196" s="708">
        <v>836</v>
      </c>
      <c r="B196" s="708" t="s">
        <v>856</v>
      </c>
      <c r="C196" s="708" t="s">
        <v>607</v>
      </c>
      <c r="D196" s="709">
        <v>5</v>
      </c>
      <c r="E196" s="709"/>
      <c r="F196" s="747">
        <f>E196</f>
        <v>0</v>
      </c>
      <c r="G196" s="709">
        <v>5</v>
      </c>
      <c r="H196" s="709"/>
      <c r="I196" s="709">
        <v>8.33</v>
      </c>
      <c r="J196" s="709"/>
      <c r="K196" s="616"/>
      <c r="L196" s="709">
        <f t="shared" si="5"/>
        <v>0</v>
      </c>
      <c r="M196" s="709">
        <f t="shared" si="7"/>
        <v>0</v>
      </c>
      <c r="N196" s="709">
        <f t="shared" si="8"/>
        <v>0</v>
      </c>
      <c r="O196" s="709">
        <f t="shared" si="6"/>
        <v>0</v>
      </c>
      <c r="P196" s="708" t="s">
        <v>535</v>
      </c>
      <c r="Q196" s="708"/>
      <c r="R196" s="708"/>
    </row>
    <row r="197" spans="1:18" x14ac:dyDescent="0.2">
      <c r="A197" s="708">
        <v>841</v>
      </c>
      <c r="B197" s="708" t="s">
        <v>836</v>
      </c>
      <c r="C197" s="708" t="s">
        <v>268</v>
      </c>
      <c r="D197" s="709">
        <v>7.5</v>
      </c>
      <c r="E197" s="709"/>
      <c r="F197" s="747">
        <f>5/7.5*E197</f>
        <v>0</v>
      </c>
      <c r="G197" s="709">
        <v>7.5</v>
      </c>
      <c r="H197" s="709"/>
      <c r="I197" s="709">
        <v>0.01</v>
      </c>
      <c r="J197" s="709"/>
      <c r="K197" s="616"/>
      <c r="L197" s="709">
        <f t="shared" si="5"/>
        <v>0</v>
      </c>
      <c r="M197" s="709">
        <f t="shared" si="7"/>
        <v>0</v>
      </c>
      <c r="N197" s="709">
        <f t="shared" si="8"/>
        <v>0</v>
      </c>
      <c r="O197" s="709">
        <f t="shared" si="6"/>
        <v>0</v>
      </c>
      <c r="P197" s="708" t="s">
        <v>535</v>
      </c>
      <c r="Q197" s="708"/>
      <c r="R197" s="708"/>
    </row>
    <row r="198" spans="1:18" x14ac:dyDescent="0.2">
      <c r="A198" s="708">
        <v>842</v>
      </c>
      <c r="B198" s="708" t="s">
        <v>857</v>
      </c>
      <c r="C198" s="708" t="s">
        <v>607</v>
      </c>
      <c r="D198" s="709">
        <v>5</v>
      </c>
      <c r="E198" s="709"/>
      <c r="F198" s="747">
        <f>E198</f>
        <v>0</v>
      </c>
      <c r="G198" s="709">
        <v>5</v>
      </c>
      <c r="H198" s="709"/>
      <c r="I198" s="709">
        <v>0.01</v>
      </c>
      <c r="J198" s="709">
        <v>0</v>
      </c>
      <c r="K198" s="616"/>
      <c r="L198" s="709">
        <f t="shared" si="5"/>
        <v>0</v>
      </c>
      <c r="M198" s="709">
        <f t="shared" si="7"/>
        <v>0</v>
      </c>
      <c r="N198" s="709">
        <f t="shared" si="8"/>
        <v>0</v>
      </c>
      <c r="O198" s="709">
        <f t="shared" si="6"/>
        <v>0</v>
      </c>
      <c r="P198" s="708" t="s">
        <v>535</v>
      </c>
      <c r="Q198" s="708"/>
      <c r="R198" s="708"/>
    </row>
    <row r="199" spans="1:18" x14ac:dyDescent="0.2">
      <c r="A199" s="708">
        <v>843</v>
      </c>
      <c r="B199" s="708" t="s">
        <v>858</v>
      </c>
      <c r="C199" s="708" t="s">
        <v>607</v>
      </c>
      <c r="D199" s="709">
        <v>2.5</v>
      </c>
      <c r="E199" s="709"/>
      <c r="F199" s="747"/>
      <c r="G199" s="709">
        <v>2.5</v>
      </c>
      <c r="H199" s="709"/>
      <c r="I199" s="709">
        <v>0.01</v>
      </c>
      <c r="J199" s="709"/>
      <c r="K199" s="616"/>
      <c r="L199" s="709">
        <f t="shared" si="5"/>
        <v>0</v>
      </c>
      <c r="M199" s="709">
        <f t="shared" si="7"/>
        <v>0</v>
      </c>
      <c r="N199" s="709">
        <f t="shared" si="8"/>
        <v>0</v>
      </c>
      <c r="O199" s="709">
        <f t="shared" si="6"/>
        <v>0</v>
      </c>
      <c r="P199" s="708"/>
      <c r="Q199" s="708"/>
      <c r="R199" s="708"/>
    </row>
    <row r="200" spans="1:18" x14ac:dyDescent="0.2">
      <c r="A200" s="708">
        <v>844</v>
      </c>
      <c r="B200" s="708" t="s">
        <v>860</v>
      </c>
      <c r="C200" s="708" t="s">
        <v>268</v>
      </c>
      <c r="D200" s="709">
        <v>5</v>
      </c>
      <c r="E200" s="709"/>
      <c r="F200" s="747">
        <f>E200</f>
        <v>0</v>
      </c>
      <c r="G200" s="709">
        <v>5</v>
      </c>
      <c r="H200" s="709"/>
      <c r="I200" s="709">
        <v>0.01</v>
      </c>
      <c r="J200" s="709"/>
      <c r="K200" s="616"/>
      <c r="L200" s="709">
        <f t="shared" si="5"/>
        <v>0</v>
      </c>
      <c r="M200" s="709">
        <f t="shared" si="7"/>
        <v>0</v>
      </c>
      <c r="N200" s="709">
        <f t="shared" si="8"/>
        <v>0</v>
      </c>
      <c r="O200" s="709">
        <f t="shared" si="6"/>
        <v>0</v>
      </c>
      <c r="P200" s="708" t="s">
        <v>837</v>
      </c>
      <c r="Q200" s="708"/>
      <c r="R200" s="708"/>
    </row>
    <row r="201" spans="1:18" x14ac:dyDescent="0.2">
      <c r="A201" s="708">
        <v>880</v>
      </c>
      <c r="B201" s="708" t="s">
        <v>861</v>
      </c>
      <c r="C201" s="708" t="s">
        <v>607</v>
      </c>
      <c r="D201" s="709">
        <v>5</v>
      </c>
      <c r="E201" s="709"/>
      <c r="F201" s="747">
        <f>E201</f>
        <v>0</v>
      </c>
      <c r="G201" s="709">
        <v>5</v>
      </c>
      <c r="H201" s="709"/>
      <c r="I201" s="709">
        <v>8.5</v>
      </c>
      <c r="J201" s="709"/>
      <c r="K201" s="616"/>
      <c r="L201" s="709">
        <f t="shared" si="5"/>
        <v>0</v>
      </c>
      <c r="M201" s="709">
        <f t="shared" si="7"/>
        <v>0</v>
      </c>
      <c r="N201" s="709">
        <f t="shared" si="8"/>
        <v>0</v>
      </c>
      <c r="O201" s="709">
        <f t="shared" si="6"/>
        <v>0</v>
      </c>
      <c r="P201" s="708" t="s">
        <v>535</v>
      </c>
      <c r="Q201" s="708"/>
      <c r="R201" s="708"/>
    </row>
    <row r="202" spans="1:18" x14ac:dyDescent="0.2">
      <c r="B202" s="683" t="s">
        <v>862</v>
      </c>
      <c r="D202" s="616">
        <v>0.01</v>
      </c>
      <c r="E202" s="709"/>
      <c r="F202" s="711"/>
      <c r="G202" s="616">
        <v>0.01</v>
      </c>
      <c r="H202" s="709"/>
      <c r="I202" s="616">
        <v>0.01</v>
      </c>
      <c r="J202" s="709"/>
      <c r="K202" s="616"/>
      <c r="L202" s="709">
        <f t="shared" si="5"/>
        <v>0</v>
      </c>
      <c r="M202" s="709">
        <f t="shared" si="7"/>
        <v>0</v>
      </c>
      <c r="N202" s="709">
        <f t="shared" si="8"/>
        <v>0</v>
      </c>
      <c r="O202" s="709">
        <f t="shared" si="6"/>
        <v>0</v>
      </c>
      <c r="P202" s="708"/>
      <c r="Q202" s="708"/>
      <c r="R202" s="708"/>
    </row>
    <row r="203" spans="1:18" x14ac:dyDescent="0.2">
      <c r="D203" s="616">
        <v>0.01</v>
      </c>
      <c r="E203" s="709"/>
      <c r="F203" s="711"/>
      <c r="G203" s="616">
        <v>0.01</v>
      </c>
      <c r="H203" s="709"/>
      <c r="I203" s="616">
        <v>0.01</v>
      </c>
      <c r="J203" s="709"/>
      <c r="K203" s="616"/>
      <c r="L203" s="709">
        <f t="shared" si="5"/>
        <v>0</v>
      </c>
      <c r="M203" s="709">
        <f t="shared" si="7"/>
        <v>0</v>
      </c>
      <c r="N203" s="709">
        <f t="shared" si="8"/>
        <v>0</v>
      </c>
      <c r="O203" s="709">
        <f t="shared" si="6"/>
        <v>0</v>
      </c>
      <c r="P203" s="708"/>
      <c r="Q203" s="708"/>
      <c r="R203" s="708"/>
    </row>
    <row r="204" spans="1:18" x14ac:dyDescent="0.2">
      <c r="D204" s="616">
        <v>0.01</v>
      </c>
      <c r="E204" s="709"/>
      <c r="F204" s="711"/>
      <c r="G204" s="616">
        <v>0.01</v>
      </c>
      <c r="H204" s="709"/>
      <c r="I204" s="616">
        <v>0.01</v>
      </c>
      <c r="J204" s="709"/>
      <c r="K204" s="616"/>
      <c r="L204" s="709">
        <f t="shared" si="5"/>
        <v>0</v>
      </c>
      <c r="M204" s="709">
        <f t="shared" si="7"/>
        <v>0</v>
      </c>
      <c r="N204" s="709">
        <f t="shared" si="8"/>
        <v>0</v>
      </c>
      <c r="O204" s="709">
        <f t="shared" si="6"/>
        <v>0</v>
      </c>
      <c r="P204" s="708"/>
      <c r="Q204" s="708"/>
      <c r="R204" s="708"/>
    </row>
    <row r="205" spans="1:18" x14ac:dyDescent="0.2">
      <c r="D205" s="616">
        <v>0.01</v>
      </c>
      <c r="E205" s="709"/>
      <c r="F205" s="711"/>
      <c r="G205" s="616">
        <v>0.01</v>
      </c>
      <c r="H205" s="709"/>
      <c r="I205" s="616">
        <v>0.01</v>
      </c>
      <c r="J205" s="709"/>
      <c r="K205" s="616"/>
      <c r="L205" s="709">
        <f t="shared" si="5"/>
        <v>0</v>
      </c>
      <c r="M205" s="709">
        <f t="shared" si="7"/>
        <v>0</v>
      </c>
      <c r="N205" s="709">
        <f t="shared" si="8"/>
        <v>0</v>
      </c>
      <c r="O205" s="709">
        <f t="shared" si="6"/>
        <v>0</v>
      </c>
      <c r="P205" s="708"/>
      <c r="Q205" s="708"/>
      <c r="R205" s="708"/>
    </row>
    <row r="206" spans="1:18" x14ac:dyDescent="0.2">
      <c r="D206" s="616">
        <v>0.01</v>
      </c>
      <c r="E206" s="709"/>
      <c r="F206" s="711"/>
      <c r="G206" s="616">
        <v>0.01</v>
      </c>
      <c r="H206" s="709"/>
      <c r="I206" s="616">
        <v>0.01</v>
      </c>
      <c r="J206" s="709"/>
      <c r="K206" s="616"/>
      <c r="L206" s="709">
        <f t="shared" si="5"/>
        <v>0</v>
      </c>
      <c r="M206" s="709">
        <f t="shared" si="7"/>
        <v>0</v>
      </c>
      <c r="N206" s="709">
        <f t="shared" si="8"/>
        <v>0</v>
      </c>
      <c r="O206" s="709">
        <f t="shared" si="6"/>
        <v>0</v>
      </c>
      <c r="P206" s="708"/>
      <c r="Q206" s="708"/>
      <c r="R206" s="708"/>
    </row>
    <row r="207" spans="1:18" ht="13.5" thickBot="1" x14ac:dyDescent="0.25">
      <c r="D207" s="616"/>
      <c r="E207" s="616"/>
      <c r="G207" s="616"/>
      <c r="H207" s="616"/>
      <c r="I207" s="616"/>
      <c r="J207" s="616"/>
      <c r="K207" s="616"/>
      <c r="L207" s="748"/>
      <c r="M207" s="748"/>
      <c r="N207" s="748"/>
      <c r="O207" s="748"/>
      <c r="P207" s="708"/>
    </row>
    <row r="208" spans="1:18" ht="13.5" thickTop="1" x14ac:dyDescent="0.2">
      <c r="A208" s="708"/>
      <c r="B208" s="708"/>
      <c r="C208" s="708"/>
      <c r="L208" s="709">
        <f>SUM(L176:L206)</f>
        <v>0</v>
      </c>
      <c r="M208" s="709">
        <f>SUM(M176:M207)</f>
        <v>0</v>
      </c>
      <c r="N208" s="709">
        <f>SUM(N176:N207)</f>
        <v>0</v>
      </c>
      <c r="O208" s="709">
        <f>SUM(O176:O207)</f>
        <v>0</v>
      </c>
      <c r="P208" s="708"/>
    </row>
    <row r="209" spans="1:16" x14ac:dyDescent="0.2">
      <c r="A209" s="708"/>
      <c r="B209" s="708"/>
      <c r="C209" s="708"/>
      <c r="L209" s="708"/>
      <c r="M209" s="708"/>
      <c r="N209" s="708"/>
      <c r="O209" s="708"/>
      <c r="P209" s="708"/>
    </row>
    <row r="210" spans="1:16" x14ac:dyDescent="0.2">
      <c r="A210" s="708" t="s">
        <v>867</v>
      </c>
      <c r="B210" s="709">
        <v>28200</v>
      </c>
      <c r="C210" s="708"/>
    </row>
    <row r="211" spans="1:16" ht="13.5" thickBot="1" x14ac:dyDescent="0.25">
      <c r="A211" s="722" t="s">
        <v>287</v>
      </c>
      <c r="B211" s="723">
        <f>O179+O188+O189+O190+O191+O193+O194+O196+O197+O198+O201+O183+O185</f>
        <v>0</v>
      </c>
      <c r="C211" s="708"/>
    </row>
    <row r="212" spans="1:16" ht="13.5" thickTop="1" x14ac:dyDescent="0.2">
      <c r="A212" s="708" t="s">
        <v>871</v>
      </c>
      <c r="B212" s="709">
        <f>B210-B211</f>
        <v>28200</v>
      </c>
      <c r="C212" s="708"/>
    </row>
    <row r="213" spans="1:16" x14ac:dyDescent="0.2">
      <c r="A213" s="708"/>
      <c r="B213" s="709"/>
      <c r="C213" s="708"/>
    </row>
    <row r="214" spans="1:16" x14ac:dyDescent="0.2">
      <c r="A214" s="708"/>
      <c r="B214" s="709"/>
      <c r="C214" s="708"/>
    </row>
    <row r="215" spans="1:16" x14ac:dyDescent="0.2">
      <c r="A215" s="708" t="s">
        <v>874</v>
      </c>
      <c r="B215" s="709">
        <v>9450</v>
      </c>
      <c r="C215" s="708"/>
    </row>
    <row r="216" spans="1:16" ht="13.5" thickBot="1" x14ac:dyDescent="0.25">
      <c r="A216" s="732" t="s">
        <v>287</v>
      </c>
      <c r="B216" s="733">
        <f>O176+O177+O178+O195+O200</f>
        <v>0</v>
      </c>
      <c r="C216" s="708"/>
    </row>
    <row r="217" spans="1:16" x14ac:dyDescent="0.2">
      <c r="A217" s="708" t="s">
        <v>871</v>
      </c>
      <c r="B217" s="709">
        <f>B215-B216</f>
        <v>9450</v>
      </c>
      <c r="C217" s="708"/>
    </row>
    <row r="218" spans="1:16" x14ac:dyDescent="0.2">
      <c r="B218" s="616"/>
    </row>
    <row r="219" spans="1:16" x14ac:dyDescent="0.2">
      <c r="B219" s="616"/>
    </row>
    <row r="220" spans="1:16" x14ac:dyDescent="0.2">
      <c r="B220" s="616"/>
    </row>
    <row r="221" spans="1:16" x14ac:dyDescent="0.2">
      <c r="B221" s="616"/>
    </row>
    <row r="222" spans="1:16" x14ac:dyDescent="0.2">
      <c r="B222" s="616"/>
    </row>
    <row r="223" spans="1:16" x14ac:dyDescent="0.2">
      <c r="B223" s="616"/>
    </row>
    <row r="224" spans="1:16" x14ac:dyDescent="0.2">
      <c r="B224" s="616"/>
    </row>
    <row r="225" spans="2:2" x14ac:dyDescent="0.2">
      <c r="B225" s="616"/>
    </row>
    <row r="226" spans="2:2" x14ac:dyDescent="0.2">
      <c r="B226" s="616"/>
    </row>
    <row r="227" spans="2:2" x14ac:dyDescent="0.2">
      <c r="B227" s="616"/>
    </row>
    <row r="228" spans="2:2" x14ac:dyDescent="0.2">
      <c r="B228" s="616"/>
    </row>
    <row r="229" spans="2:2" x14ac:dyDescent="0.2">
      <c r="B229" s="616"/>
    </row>
    <row r="230" spans="2:2" x14ac:dyDescent="0.2">
      <c r="B230" s="616"/>
    </row>
    <row r="231" spans="2:2" x14ac:dyDescent="0.2">
      <c r="B231" s="616"/>
    </row>
    <row r="232" spans="2:2" x14ac:dyDescent="0.2">
      <c r="B232" s="616"/>
    </row>
    <row r="233" spans="2:2" x14ac:dyDescent="0.2">
      <c r="B233" s="616"/>
    </row>
    <row r="234" spans="2:2" x14ac:dyDescent="0.2">
      <c r="B234" s="616"/>
    </row>
    <row r="235" spans="2:2" x14ac:dyDescent="0.2">
      <c r="B235" s="616"/>
    </row>
    <row r="236" spans="2:2" x14ac:dyDescent="0.2">
      <c r="B236" s="616"/>
    </row>
    <row r="237" spans="2:2" x14ac:dyDescent="0.2">
      <c r="B237" s="616"/>
    </row>
    <row r="238" spans="2:2" x14ac:dyDescent="0.2">
      <c r="B238" s="616"/>
    </row>
    <row r="239" spans="2:2" x14ac:dyDescent="0.2">
      <c r="B239" s="616"/>
    </row>
    <row r="240" spans="2:2" x14ac:dyDescent="0.2">
      <c r="B240" s="616"/>
    </row>
    <row r="241" spans="1:16" x14ac:dyDescent="0.2">
      <c r="B241" s="616"/>
    </row>
    <row r="242" spans="1:16" x14ac:dyDescent="0.2">
      <c r="B242" s="616"/>
    </row>
    <row r="243" spans="1:16" x14ac:dyDescent="0.2">
      <c r="B243" s="616"/>
    </row>
    <row r="244" spans="1:16" x14ac:dyDescent="0.2">
      <c r="B244" s="616"/>
    </row>
    <row r="245" spans="1:16" x14ac:dyDescent="0.2">
      <c r="B245" s="616"/>
    </row>
    <row r="246" spans="1:16" x14ac:dyDescent="0.2">
      <c r="B246" s="616"/>
    </row>
    <row r="247" spans="1:16" x14ac:dyDescent="0.2">
      <c r="B247" s="616"/>
    </row>
    <row r="248" spans="1:16" x14ac:dyDescent="0.2">
      <c r="B248" s="616"/>
    </row>
    <row r="249" spans="1:16" x14ac:dyDescent="0.2">
      <c r="B249" s="616"/>
    </row>
    <row r="250" spans="1:16" x14ac:dyDescent="0.2">
      <c r="B250" s="616"/>
    </row>
    <row r="251" spans="1:16" x14ac:dyDescent="0.2">
      <c r="B251" s="616"/>
    </row>
    <row r="252" spans="1:16" x14ac:dyDescent="0.2">
      <c r="B252" s="616"/>
    </row>
    <row r="254" spans="1:16" ht="13.5" thickBot="1" x14ac:dyDescent="0.25"/>
    <row r="255" spans="1:16" ht="14.25" thickTop="1" thickBot="1" x14ac:dyDescent="0.25">
      <c r="A255" s="749"/>
      <c r="B255" s="749"/>
      <c r="C255" s="749"/>
      <c r="D255" s="749"/>
      <c r="E255" s="749"/>
      <c r="G255" s="749"/>
      <c r="H255" s="749"/>
      <c r="I255" s="749"/>
      <c r="J255" s="749"/>
      <c r="K255" s="749"/>
      <c r="L255" s="749"/>
      <c r="M255" s="749"/>
      <c r="N255" s="749"/>
      <c r="O255" s="749"/>
      <c r="P255" s="750"/>
    </row>
    <row r="256" spans="1:16" ht="13.5" thickTop="1" x14ac:dyDescent="0.2"/>
    <row r="257" spans="2:17" ht="23.25" x14ac:dyDescent="0.2">
      <c r="C257" s="1118" t="s">
        <v>891</v>
      </c>
      <c r="D257" s="1118"/>
    </row>
    <row r="260" spans="2:17" x14ac:dyDescent="0.2">
      <c r="B260" s="683" t="s">
        <v>892</v>
      </c>
      <c r="C260" s="683" t="s">
        <v>893</v>
      </c>
      <c r="D260" s="683" t="s">
        <v>894</v>
      </c>
      <c r="E260" s="683" t="s">
        <v>895</v>
      </c>
      <c r="G260" s="683" t="s">
        <v>790</v>
      </c>
      <c r="H260" s="683" t="s">
        <v>896</v>
      </c>
      <c r="J260" s="683" t="s">
        <v>897</v>
      </c>
      <c r="K260" s="683" t="s">
        <v>895</v>
      </c>
      <c r="L260" s="683" t="s">
        <v>898</v>
      </c>
      <c r="N260" s="683" t="s">
        <v>899</v>
      </c>
      <c r="Q260" s="683" t="s">
        <v>871</v>
      </c>
    </row>
    <row r="261" spans="2:17" x14ac:dyDescent="0.2">
      <c r="N261" s="683" t="s">
        <v>900</v>
      </c>
      <c r="O261" s="616">
        <f>C262+C263+C264</f>
        <v>0</v>
      </c>
      <c r="Q261" s="616">
        <f>28200-O261</f>
        <v>28200</v>
      </c>
    </row>
    <row r="262" spans="2:17" x14ac:dyDescent="0.2">
      <c r="B262" s="683" t="s">
        <v>610</v>
      </c>
      <c r="C262" s="616"/>
      <c r="D262" s="616">
        <v>8.33</v>
      </c>
      <c r="E262" s="616">
        <f>C262*D262/100</f>
        <v>0</v>
      </c>
      <c r="G262" s="616"/>
      <c r="H262" s="616">
        <v>6</v>
      </c>
      <c r="I262" s="616"/>
      <c r="J262" s="616">
        <v>5.5</v>
      </c>
      <c r="K262" s="616">
        <f>C262*J262/100</f>
        <v>0</v>
      </c>
      <c r="L262" s="683" t="s">
        <v>610</v>
      </c>
      <c r="N262" s="683" t="s">
        <v>901</v>
      </c>
      <c r="O262" s="616">
        <f>C268</f>
        <v>0</v>
      </c>
      <c r="Q262" s="616">
        <f>9450-O262</f>
        <v>9450</v>
      </c>
    </row>
    <row r="263" spans="2:17" x14ac:dyDescent="0.2">
      <c r="B263" s="683" t="s">
        <v>902</v>
      </c>
      <c r="C263" s="616"/>
      <c r="D263" s="616">
        <v>8.33</v>
      </c>
      <c r="E263" s="616">
        <f t="shared" ref="E263:E303" si="9">C263*D263/100</f>
        <v>0</v>
      </c>
      <c r="G263" s="616"/>
      <c r="H263" s="616">
        <v>5</v>
      </c>
      <c r="I263" s="616"/>
      <c r="J263" s="616">
        <v>5</v>
      </c>
      <c r="K263" s="616">
        <f t="shared" ref="K263:K303" si="10">C263*J263/100</f>
        <v>0</v>
      </c>
      <c r="L263" s="683" t="s">
        <v>607</v>
      </c>
    </row>
    <row r="264" spans="2:17" x14ac:dyDescent="0.2">
      <c r="B264" s="683" t="s">
        <v>903</v>
      </c>
      <c r="C264" s="616"/>
      <c r="D264" s="616">
        <v>8.33</v>
      </c>
      <c r="E264" s="616">
        <f t="shared" si="9"/>
        <v>0</v>
      </c>
      <c r="G264" s="616"/>
      <c r="H264" s="616">
        <v>5</v>
      </c>
      <c r="I264" s="616"/>
      <c r="J264" s="616">
        <v>5</v>
      </c>
      <c r="K264" s="616">
        <f t="shared" si="10"/>
        <v>0</v>
      </c>
      <c r="L264" s="683" t="s">
        <v>607</v>
      </c>
    </row>
    <row r="265" spans="2:17" x14ac:dyDescent="0.2">
      <c r="B265" s="683" t="s">
        <v>904</v>
      </c>
      <c r="C265" s="616"/>
      <c r="D265" s="616">
        <v>0</v>
      </c>
      <c r="E265" s="616">
        <f t="shared" si="9"/>
        <v>0</v>
      </c>
      <c r="G265" s="616"/>
      <c r="H265" s="616">
        <v>1</v>
      </c>
      <c r="I265" s="616"/>
      <c r="J265" s="616">
        <v>0.5</v>
      </c>
      <c r="K265" s="616">
        <f t="shared" si="10"/>
        <v>0</v>
      </c>
      <c r="L265" s="683" t="s">
        <v>268</v>
      </c>
    </row>
    <row r="266" spans="2:17" x14ac:dyDescent="0.2">
      <c r="B266" s="683" t="s">
        <v>905</v>
      </c>
      <c r="C266" s="616"/>
      <c r="D266" s="616">
        <v>0</v>
      </c>
      <c r="E266" s="616">
        <f t="shared" si="9"/>
        <v>0</v>
      </c>
      <c r="G266" s="616"/>
      <c r="H266" s="616">
        <v>1</v>
      </c>
      <c r="I266" s="616"/>
      <c r="J266" s="616">
        <v>0.5</v>
      </c>
      <c r="K266" s="616">
        <f t="shared" si="10"/>
        <v>0</v>
      </c>
      <c r="L266" s="683" t="s">
        <v>268</v>
      </c>
    </row>
    <row r="267" spans="2:17" x14ac:dyDescent="0.2">
      <c r="B267" s="683" t="s">
        <v>904</v>
      </c>
      <c r="C267" s="616"/>
      <c r="D267" s="616">
        <v>8.33</v>
      </c>
      <c r="E267" s="751">
        <f t="shared" si="9"/>
        <v>0</v>
      </c>
      <c r="G267" s="616" t="s">
        <v>906</v>
      </c>
      <c r="H267" s="616">
        <v>6</v>
      </c>
      <c r="I267" s="616" t="s">
        <v>906</v>
      </c>
      <c r="J267" s="616">
        <v>5.5</v>
      </c>
      <c r="K267" s="616">
        <f t="shared" si="10"/>
        <v>0</v>
      </c>
      <c r="L267" s="683" t="s">
        <v>268</v>
      </c>
    </row>
    <row r="268" spans="2:17" x14ac:dyDescent="0.2">
      <c r="B268" s="683" t="s">
        <v>907</v>
      </c>
      <c r="C268" s="616"/>
      <c r="D268" s="616">
        <v>8.33</v>
      </c>
      <c r="E268" s="616">
        <f t="shared" si="9"/>
        <v>0</v>
      </c>
      <c r="G268" s="616"/>
      <c r="H268" s="616">
        <v>5</v>
      </c>
      <c r="I268" s="616"/>
      <c r="J268" s="616">
        <v>5</v>
      </c>
      <c r="K268" s="616">
        <f t="shared" si="10"/>
        <v>0</v>
      </c>
      <c r="L268" s="683" t="s">
        <v>268</v>
      </c>
    </row>
    <row r="269" spans="2:17" x14ac:dyDescent="0.2">
      <c r="B269" s="683" t="s">
        <v>908</v>
      </c>
      <c r="C269" s="616"/>
      <c r="D269" s="616">
        <v>8.33</v>
      </c>
      <c r="E269" s="616">
        <f t="shared" si="9"/>
        <v>0</v>
      </c>
      <c r="G269" s="616"/>
      <c r="H269" s="616">
        <v>0</v>
      </c>
      <c r="I269" s="616"/>
      <c r="J269" s="616">
        <v>0</v>
      </c>
      <c r="K269" s="616">
        <f t="shared" si="10"/>
        <v>0</v>
      </c>
      <c r="L269" s="683" t="s">
        <v>607</v>
      </c>
    </row>
    <row r="270" spans="2:17" x14ac:dyDescent="0.2">
      <c r="C270" s="616">
        <v>0</v>
      </c>
      <c r="D270" s="616">
        <v>8.33</v>
      </c>
      <c r="E270" s="616">
        <f t="shared" si="9"/>
        <v>0</v>
      </c>
      <c r="G270" s="616"/>
      <c r="H270" s="616">
        <v>0</v>
      </c>
      <c r="I270" s="616"/>
      <c r="J270" s="616">
        <v>0</v>
      </c>
      <c r="K270" s="616">
        <f t="shared" si="10"/>
        <v>0</v>
      </c>
    </row>
    <row r="271" spans="2:17" x14ac:dyDescent="0.2">
      <c r="C271" s="616">
        <v>0</v>
      </c>
      <c r="D271" s="616">
        <v>8.33</v>
      </c>
      <c r="E271" s="616">
        <f t="shared" si="9"/>
        <v>0</v>
      </c>
      <c r="G271" s="616"/>
      <c r="H271" s="616">
        <v>0</v>
      </c>
      <c r="I271" s="616"/>
      <c r="J271" s="616">
        <v>0</v>
      </c>
      <c r="K271" s="616">
        <f t="shared" si="10"/>
        <v>0</v>
      </c>
    </row>
    <row r="272" spans="2:17" x14ac:dyDescent="0.2">
      <c r="C272" s="616">
        <v>0</v>
      </c>
      <c r="D272" s="616">
        <v>8.33</v>
      </c>
      <c r="E272" s="616">
        <f t="shared" si="9"/>
        <v>0</v>
      </c>
      <c r="G272" s="616"/>
      <c r="H272" s="616">
        <v>0</v>
      </c>
      <c r="I272" s="616"/>
      <c r="J272" s="616">
        <v>0</v>
      </c>
      <c r="K272" s="616">
        <f t="shared" si="10"/>
        <v>0</v>
      </c>
    </row>
    <row r="273" spans="3:11" x14ac:dyDescent="0.2">
      <c r="C273" s="616">
        <v>0</v>
      </c>
      <c r="D273" s="616">
        <v>8.33</v>
      </c>
      <c r="E273" s="616">
        <f t="shared" si="9"/>
        <v>0</v>
      </c>
      <c r="G273" s="616"/>
      <c r="H273" s="616">
        <v>0</v>
      </c>
      <c r="I273" s="616"/>
      <c r="J273" s="616">
        <v>0</v>
      </c>
      <c r="K273" s="616">
        <f t="shared" si="10"/>
        <v>0</v>
      </c>
    </row>
    <row r="274" spans="3:11" x14ac:dyDescent="0.2">
      <c r="C274" s="616">
        <v>0</v>
      </c>
      <c r="D274" s="616">
        <v>8.33</v>
      </c>
      <c r="E274" s="616">
        <f t="shared" si="9"/>
        <v>0</v>
      </c>
      <c r="G274" s="616"/>
      <c r="H274" s="616">
        <v>0</v>
      </c>
      <c r="I274" s="616"/>
      <c r="J274" s="616">
        <v>0</v>
      </c>
      <c r="K274" s="616">
        <f t="shared" si="10"/>
        <v>0</v>
      </c>
    </row>
    <row r="275" spans="3:11" x14ac:dyDescent="0.2">
      <c r="C275" s="616">
        <v>0</v>
      </c>
      <c r="D275" s="616">
        <v>8.33</v>
      </c>
      <c r="E275" s="616">
        <f t="shared" si="9"/>
        <v>0</v>
      </c>
      <c r="G275" s="616"/>
      <c r="H275" s="616">
        <v>0</v>
      </c>
      <c r="I275" s="616"/>
      <c r="J275" s="616">
        <v>0</v>
      </c>
      <c r="K275" s="616">
        <f t="shared" si="10"/>
        <v>0</v>
      </c>
    </row>
    <row r="276" spans="3:11" x14ac:dyDescent="0.2">
      <c r="C276" s="616">
        <v>0</v>
      </c>
      <c r="D276" s="616">
        <v>8.33</v>
      </c>
      <c r="E276" s="616">
        <f t="shared" si="9"/>
        <v>0</v>
      </c>
      <c r="G276" s="616"/>
      <c r="H276" s="616">
        <v>0</v>
      </c>
      <c r="I276" s="616"/>
      <c r="J276" s="616">
        <v>0</v>
      </c>
      <c r="K276" s="616">
        <f t="shared" si="10"/>
        <v>0</v>
      </c>
    </row>
    <row r="277" spans="3:11" x14ac:dyDescent="0.2">
      <c r="C277" s="616">
        <v>0</v>
      </c>
      <c r="D277" s="616">
        <v>8.33</v>
      </c>
      <c r="E277" s="616">
        <f t="shared" si="9"/>
        <v>0</v>
      </c>
      <c r="G277" s="616"/>
      <c r="H277" s="616">
        <v>0</v>
      </c>
      <c r="I277" s="616"/>
      <c r="J277" s="616">
        <v>0</v>
      </c>
      <c r="K277" s="616">
        <f t="shared" si="10"/>
        <v>0</v>
      </c>
    </row>
    <row r="278" spans="3:11" x14ac:dyDescent="0.2">
      <c r="C278" s="616">
        <v>0</v>
      </c>
      <c r="D278" s="616">
        <v>8.33</v>
      </c>
      <c r="E278" s="616">
        <f t="shared" si="9"/>
        <v>0</v>
      </c>
      <c r="G278" s="616"/>
      <c r="H278" s="616">
        <v>0</v>
      </c>
      <c r="I278" s="616"/>
      <c r="J278" s="616">
        <v>0</v>
      </c>
      <c r="K278" s="616">
        <f t="shared" si="10"/>
        <v>0</v>
      </c>
    </row>
    <row r="279" spans="3:11" x14ac:dyDescent="0.2">
      <c r="C279" s="616">
        <v>0</v>
      </c>
      <c r="D279" s="616">
        <v>8.33</v>
      </c>
      <c r="E279" s="616">
        <f t="shared" si="9"/>
        <v>0</v>
      </c>
      <c r="G279" s="616"/>
      <c r="H279" s="616">
        <v>0</v>
      </c>
      <c r="I279" s="616"/>
      <c r="J279" s="616">
        <v>0</v>
      </c>
      <c r="K279" s="616">
        <f t="shared" si="10"/>
        <v>0</v>
      </c>
    </row>
    <row r="280" spans="3:11" x14ac:dyDescent="0.2">
      <c r="C280" s="616">
        <v>0</v>
      </c>
      <c r="D280" s="616">
        <v>8.33</v>
      </c>
      <c r="E280" s="616">
        <f t="shared" si="9"/>
        <v>0</v>
      </c>
      <c r="G280" s="616"/>
      <c r="H280" s="616">
        <v>0</v>
      </c>
      <c r="I280" s="616"/>
      <c r="J280" s="616">
        <v>0</v>
      </c>
      <c r="K280" s="616">
        <f t="shared" si="10"/>
        <v>0</v>
      </c>
    </row>
    <row r="281" spans="3:11" x14ac:dyDescent="0.2">
      <c r="C281" s="616">
        <v>0</v>
      </c>
      <c r="D281" s="616">
        <v>8.33</v>
      </c>
      <c r="E281" s="616">
        <f t="shared" si="9"/>
        <v>0</v>
      </c>
      <c r="G281" s="616"/>
      <c r="H281" s="616">
        <v>0</v>
      </c>
      <c r="I281" s="616"/>
      <c r="J281" s="616">
        <v>0</v>
      </c>
      <c r="K281" s="616">
        <f t="shared" si="10"/>
        <v>0</v>
      </c>
    </row>
    <row r="282" spans="3:11" x14ac:dyDescent="0.2">
      <c r="C282" s="616">
        <v>0</v>
      </c>
      <c r="D282" s="616">
        <v>8.33</v>
      </c>
      <c r="E282" s="616">
        <f t="shared" si="9"/>
        <v>0</v>
      </c>
      <c r="G282" s="616"/>
      <c r="H282" s="616">
        <v>0</v>
      </c>
      <c r="I282" s="616"/>
      <c r="J282" s="616">
        <v>0</v>
      </c>
      <c r="K282" s="616">
        <f t="shared" si="10"/>
        <v>0</v>
      </c>
    </row>
    <row r="283" spans="3:11" x14ac:dyDescent="0.2">
      <c r="C283" s="616">
        <v>0</v>
      </c>
      <c r="D283" s="616">
        <v>8.33</v>
      </c>
      <c r="E283" s="616">
        <f t="shared" si="9"/>
        <v>0</v>
      </c>
      <c r="G283" s="616"/>
      <c r="H283" s="616">
        <v>0</v>
      </c>
      <c r="I283" s="616"/>
      <c r="J283" s="616">
        <v>0</v>
      </c>
      <c r="K283" s="616">
        <f t="shared" si="10"/>
        <v>0</v>
      </c>
    </row>
    <row r="284" spans="3:11" x14ac:dyDescent="0.2">
      <c r="C284" s="616">
        <v>0</v>
      </c>
      <c r="D284" s="616">
        <v>8.33</v>
      </c>
      <c r="E284" s="616">
        <f t="shared" si="9"/>
        <v>0</v>
      </c>
      <c r="G284" s="616"/>
      <c r="H284" s="616">
        <v>0</v>
      </c>
      <c r="I284" s="616"/>
      <c r="J284" s="616">
        <v>0</v>
      </c>
      <c r="K284" s="616">
        <f t="shared" si="10"/>
        <v>0</v>
      </c>
    </row>
    <row r="285" spans="3:11" x14ac:dyDescent="0.2">
      <c r="C285" s="616">
        <v>0</v>
      </c>
      <c r="D285" s="616">
        <v>8.33</v>
      </c>
      <c r="E285" s="616">
        <f t="shared" si="9"/>
        <v>0</v>
      </c>
      <c r="G285" s="616"/>
      <c r="H285" s="616">
        <v>0</v>
      </c>
      <c r="I285" s="616"/>
      <c r="J285" s="616">
        <v>0</v>
      </c>
      <c r="K285" s="616">
        <f t="shared" si="10"/>
        <v>0</v>
      </c>
    </row>
    <row r="286" spans="3:11" x14ac:dyDescent="0.2">
      <c r="C286" s="616">
        <v>0</v>
      </c>
      <c r="D286" s="616">
        <v>8.33</v>
      </c>
      <c r="E286" s="616">
        <f t="shared" si="9"/>
        <v>0</v>
      </c>
      <c r="G286" s="616"/>
      <c r="H286" s="616">
        <v>0</v>
      </c>
      <c r="I286" s="616"/>
      <c r="J286" s="616">
        <v>0</v>
      </c>
      <c r="K286" s="616">
        <f t="shared" si="10"/>
        <v>0</v>
      </c>
    </row>
    <row r="287" spans="3:11" x14ac:dyDescent="0.2">
      <c r="C287" s="616">
        <v>0</v>
      </c>
      <c r="D287" s="616">
        <v>8.33</v>
      </c>
      <c r="E287" s="616">
        <f t="shared" si="9"/>
        <v>0</v>
      </c>
      <c r="G287" s="616"/>
      <c r="H287" s="616">
        <v>0</v>
      </c>
      <c r="I287" s="616"/>
      <c r="J287" s="616">
        <v>0</v>
      </c>
      <c r="K287" s="616">
        <f t="shared" si="10"/>
        <v>0</v>
      </c>
    </row>
    <row r="288" spans="3:11" x14ac:dyDescent="0.2">
      <c r="C288" s="616">
        <v>0</v>
      </c>
      <c r="D288" s="616">
        <v>8.33</v>
      </c>
      <c r="E288" s="616">
        <f t="shared" si="9"/>
        <v>0</v>
      </c>
      <c r="G288" s="616"/>
      <c r="H288" s="616">
        <v>0</v>
      </c>
      <c r="I288" s="616"/>
      <c r="J288" s="616">
        <v>0</v>
      </c>
      <c r="K288" s="616">
        <f t="shared" si="10"/>
        <v>0</v>
      </c>
    </row>
    <row r="289" spans="3:11" x14ac:dyDescent="0.2">
      <c r="C289" s="616">
        <v>0</v>
      </c>
      <c r="D289" s="616">
        <v>8.33</v>
      </c>
      <c r="E289" s="616">
        <f t="shared" si="9"/>
        <v>0</v>
      </c>
      <c r="G289" s="616"/>
      <c r="H289" s="616">
        <v>0</v>
      </c>
      <c r="I289" s="616"/>
      <c r="J289" s="616">
        <v>0</v>
      </c>
      <c r="K289" s="616">
        <f t="shared" si="10"/>
        <v>0</v>
      </c>
    </row>
    <row r="290" spans="3:11" x14ac:dyDescent="0.2">
      <c r="C290" s="616">
        <v>0</v>
      </c>
      <c r="D290" s="616">
        <v>8.33</v>
      </c>
      <c r="E290" s="616">
        <f t="shared" si="9"/>
        <v>0</v>
      </c>
      <c r="G290" s="616"/>
      <c r="H290" s="616">
        <v>0</v>
      </c>
      <c r="I290" s="616"/>
      <c r="J290" s="616">
        <v>0</v>
      </c>
      <c r="K290" s="616">
        <f t="shared" si="10"/>
        <v>0</v>
      </c>
    </row>
    <row r="291" spans="3:11" x14ac:dyDescent="0.2">
      <c r="C291" s="616">
        <v>0</v>
      </c>
      <c r="D291" s="616">
        <v>8.33</v>
      </c>
      <c r="E291" s="616">
        <f t="shared" si="9"/>
        <v>0</v>
      </c>
      <c r="G291" s="616"/>
      <c r="H291" s="616">
        <v>0</v>
      </c>
      <c r="I291" s="616"/>
      <c r="J291" s="616">
        <v>0</v>
      </c>
      <c r="K291" s="616">
        <f t="shared" si="10"/>
        <v>0</v>
      </c>
    </row>
    <row r="292" spans="3:11" x14ac:dyDescent="0.2">
      <c r="C292" s="616">
        <v>0</v>
      </c>
      <c r="D292" s="616">
        <v>8.33</v>
      </c>
      <c r="E292" s="616">
        <f t="shared" si="9"/>
        <v>0</v>
      </c>
      <c r="G292" s="616"/>
      <c r="H292" s="616">
        <v>0</v>
      </c>
      <c r="I292" s="616"/>
      <c r="J292" s="616">
        <v>0</v>
      </c>
      <c r="K292" s="616">
        <f t="shared" si="10"/>
        <v>0</v>
      </c>
    </row>
    <row r="293" spans="3:11" x14ac:dyDescent="0.2">
      <c r="C293" s="616">
        <v>0</v>
      </c>
      <c r="D293" s="616">
        <v>8.33</v>
      </c>
      <c r="E293" s="616">
        <f t="shared" si="9"/>
        <v>0</v>
      </c>
      <c r="G293" s="616"/>
      <c r="H293" s="616">
        <v>0</v>
      </c>
      <c r="I293" s="616"/>
      <c r="J293" s="616">
        <v>0</v>
      </c>
      <c r="K293" s="616">
        <f t="shared" si="10"/>
        <v>0</v>
      </c>
    </row>
    <row r="294" spans="3:11" x14ac:dyDescent="0.2">
      <c r="C294" s="616">
        <v>0</v>
      </c>
      <c r="D294" s="616">
        <v>8.33</v>
      </c>
      <c r="E294" s="616">
        <f t="shared" si="9"/>
        <v>0</v>
      </c>
      <c r="G294" s="616"/>
      <c r="H294" s="616">
        <v>0</v>
      </c>
      <c r="I294" s="616"/>
      <c r="J294" s="616">
        <v>0</v>
      </c>
      <c r="K294" s="616">
        <f t="shared" si="10"/>
        <v>0</v>
      </c>
    </row>
    <row r="295" spans="3:11" x14ac:dyDescent="0.2">
      <c r="C295" s="616">
        <v>0</v>
      </c>
      <c r="D295" s="616">
        <v>8.33</v>
      </c>
      <c r="E295" s="616">
        <f t="shared" si="9"/>
        <v>0</v>
      </c>
      <c r="G295" s="616"/>
      <c r="H295" s="616">
        <v>0</v>
      </c>
      <c r="I295" s="616"/>
      <c r="J295" s="616">
        <v>0</v>
      </c>
      <c r="K295" s="616">
        <f t="shared" si="10"/>
        <v>0</v>
      </c>
    </row>
    <row r="296" spans="3:11" x14ac:dyDescent="0.2">
      <c r="C296" s="616">
        <v>0</v>
      </c>
      <c r="D296" s="616">
        <v>8.33</v>
      </c>
      <c r="E296" s="616">
        <f t="shared" si="9"/>
        <v>0</v>
      </c>
      <c r="G296" s="616"/>
      <c r="H296" s="616">
        <v>0</v>
      </c>
      <c r="I296" s="616"/>
      <c r="J296" s="616">
        <v>0</v>
      </c>
      <c r="K296" s="616">
        <f t="shared" si="10"/>
        <v>0</v>
      </c>
    </row>
    <row r="297" spans="3:11" x14ac:dyDescent="0.2">
      <c r="C297" s="616">
        <v>0</v>
      </c>
      <c r="D297" s="616">
        <v>8.33</v>
      </c>
      <c r="E297" s="616">
        <f t="shared" si="9"/>
        <v>0</v>
      </c>
      <c r="G297" s="616"/>
      <c r="H297" s="616">
        <v>0</v>
      </c>
      <c r="I297" s="616"/>
      <c r="J297" s="616">
        <v>0</v>
      </c>
      <c r="K297" s="616">
        <f t="shared" si="10"/>
        <v>0</v>
      </c>
    </row>
    <row r="298" spans="3:11" x14ac:dyDescent="0.2">
      <c r="C298" s="616">
        <v>0</v>
      </c>
      <c r="D298" s="616">
        <v>8.33</v>
      </c>
      <c r="E298" s="616">
        <f t="shared" si="9"/>
        <v>0</v>
      </c>
      <c r="G298" s="616"/>
      <c r="H298" s="616">
        <v>0</v>
      </c>
      <c r="I298" s="616"/>
      <c r="J298" s="616">
        <v>0</v>
      </c>
      <c r="K298" s="616">
        <f t="shared" si="10"/>
        <v>0</v>
      </c>
    </row>
    <row r="299" spans="3:11" x14ac:dyDescent="0.2">
      <c r="C299" s="616">
        <v>0</v>
      </c>
      <c r="D299" s="616">
        <v>8.33</v>
      </c>
      <c r="E299" s="616">
        <f t="shared" si="9"/>
        <v>0</v>
      </c>
      <c r="G299" s="616"/>
      <c r="H299" s="616">
        <v>0</v>
      </c>
      <c r="I299" s="616"/>
      <c r="J299" s="616">
        <v>0</v>
      </c>
      <c r="K299" s="616">
        <f t="shared" si="10"/>
        <v>0</v>
      </c>
    </row>
    <row r="300" spans="3:11" x14ac:dyDescent="0.2">
      <c r="C300" s="616">
        <v>0</v>
      </c>
      <c r="D300" s="616">
        <v>8.33</v>
      </c>
      <c r="E300" s="616">
        <f t="shared" si="9"/>
        <v>0</v>
      </c>
      <c r="G300" s="616"/>
      <c r="H300" s="616">
        <v>0</v>
      </c>
      <c r="I300" s="616"/>
      <c r="J300" s="616">
        <v>0</v>
      </c>
      <c r="K300" s="616">
        <f t="shared" si="10"/>
        <v>0</v>
      </c>
    </row>
    <row r="301" spans="3:11" x14ac:dyDescent="0.2">
      <c r="C301" s="616">
        <v>0</v>
      </c>
      <c r="D301" s="616">
        <v>8.33</v>
      </c>
      <c r="E301" s="616">
        <f t="shared" si="9"/>
        <v>0</v>
      </c>
      <c r="G301" s="616"/>
      <c r="H301" s="616">
        <v>0</v>
      </c>
      <c r="I301" s="616"/>
      <c r="J301" s="616">
        <v>0</v>
      </c>
      <c r="K301" s="616">
        <f t="shared" si="10"/>
        <v>0</v>
      </c>
    </row>
    <row r="302" spans="3:11" x14ac:dyDescent="0.2">
      <c r="C302" s="616">
        <v>0</v>
      </c>
      <c r="D302" s="616">
        <v>8.33</v>
      </c>
      <c r="E302" s="616">
        <f t="shared" si="9"/>
        <v>0</v>
      </c>
      <c r="G302" s="616"/>
      <c r="H302" s="616">
        <v>0</v>
      </c>
      <c r="I302" s="616"/>
      <c r="J302" s="616">
        <v>0</v>
      </c>
      <c r="K302" s="616">
        <f t="shared" si="10"/>
        <v>0</v>
      </c>
    </row>
    <row r="303" spans="3:11" x14ac:dyDescent="0.2">
      <c r="C303" s="616">
        <v>0</v>
      </c>
      <c r="D303" s="616">
        <v>8.33</v>
      </c>
      <c r="E303" s="616">
        <f t="shared" si="9"/>
        <v>0</v>
      </c>
      <c r="G303" s="616"/>
      <c r="H303" s="616">
        <v>0</v>
      </c>
      <c r="I303" s="616"/>
      <c r="J303" s="616">
        <v>0</v>
      </c>
      <c r="K303" s="616">
        <f t="shared" si="10"/>
        <v>0</v>
      </c>
    </row>
    <row r="304" spans="3:11" x14ac:dyDescent="0.2">
      <c r="C304" s="616"/>
      <c r="D304" s="616"/>
      <c r="E304" s="616"/>
      <c r="G304" s="616"/>
      <c r="H304" s="616"/>
      <c r="I304" s="616"/>
      <c r="J304" s="616"/>
      <c r="K304" s="616"/>
    </row>
    <row r="306" spans="1:18" ht="13.5" thickBot="1" x14ac:dyDescent="0.25"/>
    <row r="307" spans="1:18" ht="14.25" thickTop="1" thickBot="1" x14ac:dyDescent="0.25">
      <c r="B307" s="752"/>
      <c r="C307" s="753"/>
      <c r="D307" s="753"/>
      <c r="E307" s="753"/>
      <c r="G307" s="753"/>
      <c r="H307" s="753"/>
      <c r="I307" s="753"/>
      <c r="J307" s="753"/>
      <c r="K307" s="753"/>
      <c r="L307" s="753"/>
      <c r="M307" s="753"/>
      <c r="N307" s="753"/>
      <c r="O307" s="753"/>
      <c r="P307" s="753"/>
      <c r="Q307" s="753"/>
      <c r="R307" s="754"/>
    </row>
    <row r="308" spans="1:18" ht="13.5" thickTop="1" x14ac:dyDescent="0.2"/>
    <row r="310" spans="1:18" x14ac:dyDescent="0.2">
      <c r="C310" s="683" t="s">
        <v>909</v>
      </c>
    </row>
    <row r="312" spans="1:18" x14ac:dyDescent="0.2">
      <c r="A312" s="683" t="s">
        <v>835</v>
      </c>
      <c r="B312" s="683" t="s">
        <v>910</v>
      </c>
      <c r="C312" s="683" t="s">
        <v>287</v>
      </c>
      <c r="D312" s="683" t="s">
        <v>894</v>
      </c>
      <c r="E312" s="683" t="s">
        <v>895</v>
      </c>
      <c r="G312" s="683" t="s">
        <v>790</v>
      </c>
      <c r="H312" s="683" t="s">
        <v>896</v>
      </c>
      <c r="J312" s="683" t="s">
        <v>897</v>
      </c>
      <c r="K312" s="683" t="s">
        <v>895</v>
      </c>
      <c r="L312" s="683" t="s">
        <v>898</v>
      </c>
    </row>
    <row r="313" spans="1:18" x14ac:dyDescent="0.2">
      <c r="A313" s="683" t="s">
        <v>911</v>
      </c>
      <c r="C313" s="616"/>
      <c r="D313" s="616">
        <v>8.33</v>
      </c>
      <c r="E313" s="616">
        <f>C313*D313/100</f>
        <v>0</v>
      </c>
      <c r="G313" s="616"/>
      <c r="H313" s="616">
        <v>5</v>
      </c>
      <c r="I313" s="616"/>
      <c r="J313" s="616">
        <v>5</v>
      </c>
      <c r="K313" s="616">
        <f>C313*J313/100</f>
        <v>0</v>
      </c>
      <c r="L313" s="683" t="s">
        <v>607</v>
      </c>
    </row>
    <row r="314" spans="1:18" x14ac:dyDescent="0.2">
      <c r="A314" s="683" t="s">
        <v>911</v>
      </c>
      <c r="C314" s="616"/>
      <c r="D314" s="616"/>
      <c r="E314" s="616"/>
      <c r="G314" s="616"/>
      <c r="H314" s="616"/>
      <c r="I314" s="616"/>
      <c r="J314" s="616"/>
      <c r="K314" s="616"/>
    </row>
    <row r="315" spans="1:18" x14ac:dyDescent="0.2">
      <c r="A315" s="683" t="s">
        <v>911</v>
      </c>
      <c r="C315" s="616"/>
      <c r="D315" s="616"/>
      <c r="E315" s="616"/>
      <c r="G315" s="616"/>
      <c r="H315" s="616"/>
      <c r="I315" s="616"/>
      <c r="J315" s="616"/>
      <c r="K315" s="616"/>
    </row>
    <row r="316" spans="1:18" x14ac:dyDescent="0.2">
      <c r="A316" s="683" t="s">
        <v>912</v>
      </c>
      <c r="C316" s="616"/>
      <c r="D316" s="616">
        <v>8.33</v>
      </c>
      <c r="E316" s="616">
        <f t="shared" ref="E316:E347" si="11">C316*D316/100</f>
        <v>0</v>
      </c>
      <c r="G316" s="616"/>
      <c r="H316" s="616"/>
      <c r="I316" s="616"/>
      <c r="J316" s="616"/>
      <c r="K316" s="616">
        <f t="shared" ref="K316:K347" si="12">C316*J316/100</f>
        <v>0</v>
      </c>
    </row>
    <row r="317" spans="1:18" x14ac:dyDescent="0.2">
      <c r="A317" s="683" t="s">
        <v>912</v>
      </c>
      <c r="C317" s="616"/>
      <c r="D317" s="616"/>
      <c r="E317" s="616">
        <f t="shared" si="11"/>
        <v>0</v>
      </c>
      <c r="G317" s="616"/>
      <c r="H317" s="616">
        <v>7.5</v>
      </c>
      <c r="I317" s="616"/>
      <c r="J317" s="616">
        <v>7.5</v>
      </c>
      <c r="K317" s="616">
        <f t="shared" si="12"/>
        <v>0</v>
      </c>
    </row>
    <row r="318" spans="1:18" x14ac:dyDescent="0.2">
      <c r="A318" s="683" t="s">
        <v>912</v>
      </c>
      <c r="C318" s="616"/>
      <c r="D318" s="616">
        <v>8.33</v>
      </c>
      <c r="E318" s="616">
        <f t="shared" si="11"/>
        <v>0</v>
      </c>
      <c r="G318" s="616"/>
      <c r="H318" s="616"/>
      <c r="I318" s="616"/>
      <c r="J318" s="616"/>
      <c r="K318" s="616">
        <f t="shared" si="12"/>
        <v>0</v>
      </c>
    </row>
    <row r="319" spans="1:18" x14ac:dyDescent="0.2">
      <c r="A319" s="683" t="s">
        <v>912</v>
      </c>
      <c r="C319" s="616"/>
      <c r="D319" s="616"/>
      <c r="E319" s="616">
        <f t="shared" si="11"/>
        <v>0</v>
      </c>
      <c r="G319" s="616"/>
      <c r="H319" s="616"/>
      <c r="I319" s="616"/>
      <c r="J319" s="616">
        <v>5</v>
      </c>
      <c r="K319" s="616">
        <f t="shared" si="12"/>
        <v>0</v>
      </c>
    </row>
    <row r="320" spans="1:18" x14ac:dyDescent="0.2">
      <c r="A320" s="683" t="s">
        <v>912</v>
      </c>
      <c r="C320" s="616"/>
      <c r="D320" s="616"/>
      <c r="E320" s="616">
        <f t="shared" si="11"/>
        <v>0</v>
      </c>
      <c r="G320" s="616"/>
      <c r="H320" s="616">
        <v>7.5</v>
      </c>
      <c r="I320" s="616"/>
      <c r="J320" s="616">
        <v>7.5</v>
      </c>
      <c r="K320" s="616">
        <f t="shared" si="12"/>
        <v>0</v>
      </c>
    </row>
    <row r="321" spans="3:11" x14ac:dyDescent="0.2">
      <c r="C321" s="616">
        <v>0</v>
      </c>
      <c r="D321" s="616"/>
      <c r="E321" s="616">
        <f t="shared" si="11"/>
        <v>0</v>
      </c>
      <c r="G321" s="616"/>
      <c r="H321" s="616"/>
      <c r="I321" s="616"/>
      <c r="J321" s="616"/>
      <c r="K321" s="616">
        <f t="shared" si="12"/>
        <v>0</v>
      </c>
    </row>
    <row r="322" spans="3:11" x14ac:dyDescent="0.2">
      <c r="C322" s="616">
        <v>0</v>
      </c>
      <c r="D322" s="616"/>
      <c r="E322" s="616">
        <f t="shared" si="11"/>
        <v>0</v>
      </c>
      <c r="G322" s="616"/>
      <c r="H322" s="616"/>
      <c r="I322" s="616"/>
      <c r="J322" s="616"/>
      <c r="K322" s="616">
        <f t="shared" si="12"/>
        <v>0</v>
      </c>
    </row>
    <row r="323" spans="3:11" x14ac:dyDescent="0.2">
      <c r="C323" s="616">
        <v>0</v>
      </c>
      <c r="D323" s="616"/>
      <c r="E323" s="616">
        <f t="shared" si="11"/>
        <v>0</v>
      </c>
      <c r="G323" s="616"/>
      <c r="H323" s="616"/>
      <c r="I323" s="616"/>
      <c r="J323" s="616"/>
      <c r="K323" s="616">
        <f t="shared" si="12"/>
        <v>0</v>
      </c>
    </row>
    <row r="324" spans="3:11" x14ac:dyDescent="0.2">
      <c r="C324" s="616">
        <v>0</v>
      </c>
      <c r="D324" s="616"/>
      <c r="E324" s="616">
        <f t="shared" si="11"/>
        <v>0</v>
      </c>
      <c r="G324" s="616"/>
      <c r="H324" s="616"/>
      <c r="I324" s="616"/>
      <c r="J324" s="616"/>
      <c r="K324" s="616">
        <f t="shared" si="12"/>
        <v>0</v>
      </c>
    </row>
    <row r="325" spans="3:11" x14ac:dyDescent="0.2">
      <c r="C325" s="616">
        <v>0</v>
      </c>
      <c r="D325" s="616"/>
      <c r="E325" s="616">
        <f t="shared" si="11"/>
        <v>0</v>
      </c>
      <c r="G325" s="616"/>
      <c r="H325" s="616"/>
      <c r="I325" s="616"/>
      <c r="J325" s="616"/>
      <c r="K325" s="616">
        <f t="shared" si="12"/>
        <v>0</v>
      </c>
    </row>
    <row r="326" spans="3:11" x14ac:dyDescent="0.2">
      <c r="C326" s="616">
        <v>0</v>
      </c>
      <c r="D326" s="616"/>
      <c r="E326" s="616">
        <f t="shared" si="11"/>
        <v>0</v>
      </c>
      <c r="G326" s="616"/>
      <c r="H326" s="616"/>
      <c r="I326" s="616"/>
      <c r="J326" s="616"/>
      <c r="K326" s="616">
        <f t="shared" si="12"/>
        <v>0</v>
      </c>
    </row>
    <row r="327" spans="3:11" x14ac:dyDescent="0.2">
      <c r="C327" s="616">
        <v>0</v>
      </c>
      <c r="D327" s="616"/>
      <c r="E327" s="616">
        <f t="shared" si="11"/>
        <v>0</v>
      </c>
      <c r="G327" s="616"/>
      <c r="H327" s="616"/>
      <c r="I327" s="616"/>
      <c r="J327" s="616"/>
      <c r="K327" s="616">
        <f t="shared" si="12"/>
        <v>0</v>
      </c>
    </row>
    <row r="328" spans="3:11" x14ac:dyDescent="0.2">
      <c r="C328" s="616">
        <v>0</v>
      </c>
      <c r="D328" s="616"/>
      <c r="E328" s="616">
        <f t="shared" si="11"/>
        <v>0</v>
      </c>
      <c r="G328" s="616"/>
      <c r="H328" s="616"/>
      <c r="I328" s="616"/>
      <c r="J328" s="616"/>
      <c r="K328" s="616">
        <f t="shared" si="12"/>
        <v>0</v>
      </c>
    </row>
    <row r="329" spans="3:11" x14ac:dyDescent="0.2">
      <c r="C329" s="616">
        <v>0</v>
      </c>
      <c r="D329" s="616"/>
      <c r="E329" s="616">
        <f t="shared" si="11"/>
        <v>0</v>
      </c>
      <c r="G329" s="616"/>
      <c r="H329" s="616"/>
      <c r="I329" s="616"/>
      <c r="J329" s="616"/>
      <c r="K329" s="616">
        <f t="shared" si="12"/>
        <v>0</v>
      </c>
    </row>
    <row r="330" spans="3:11" x14ac:dyDescent="0.2">
      <c r="C330" s="616">
        <v>0</v>
      </c>
      <c r="D330" s="616"/>
      <c r="E330" s="616">
        <f t="shared" si="11"/>
        <v>0</v>
      </c>
      <c r="G330" s="616"/>
      <c r="H330" s="616"/>
      <c r="I330" s="616"/>
      <c r="J330" s="616"/>
      <c r="K330" s="616">
        <f t="shared" si="12"/>
        <v>0</v>
      </c>
    </row>
    <row r="331" spans="3:11" x14ac:dyDescent="0.2">
      <c r="C331" s="616">
        <v>0</v>
      </c>
      <c r="D331" s="616"/>
      <c r="E331" s="616">
        <f t="shared" si="11"/>
        <v>0</v>
      </c>
      <c r="G331" s="616"/>
      <c r="H331" s="616"/>
      <c r="I331" s="616"/>
      <c r="J331" s="616"/>
      <c r="K331" s="616">
        <f t="shared" si="12"/>
        <v>0</v>
      </c>
    </row>
    <row r="332" spans="3:11" x14ac:dyDescent="0.2">
      <c r="C332" s="616">
        <v>0</v>
      </c>
      <c r="D332" s="616"/>
      <c r="E332" s="616">
        <f t="shared" si="11"/>
        <v>0</v>
      </c>
      <c r="G332" s="616"/>
      <c r="H332" s="616"/>
      <c r="I332" s="616"/>
      <c r="J332" s="616"/>
      <c r="K332" s="616">
        <f t="shared" si="12"/>
        <v>0</v>
      </c>
    </row>
    <row r="333" spans="3:11" x14ac:dyDescent="0.2">
      <c r="C333" s="616">
        <v>0</v>
      </c>
      <c r="D333" s="616"/>
      <c r="E333" s="616">
        <f t="shared" si="11"/>
        <v>0</v>
      </c>
      <c r="G333" s="616"/>
      <c r="H333" s="616"/>
      <c r="I333" s="616"/>
      <c r="J333" s="616"/>
      <c r="K333" s="616">
        <f t="shared" si="12"/>
        <v>0</v>
      </c>
    </row>
    <row r="334" spans="3:11" x14ac:dyDescent="0.2">
      <c r="C334" s="616">
        <v>0</v>
      </c>
      <c r="D334" s="616"/>
      <c r="E334" s="616">
        <f t="shared" si="11"/>
        <v>0</v>
      </c>
      <c r="G334" s="616"/>
      <c r="H334" s="616"/>
      <c r="I334" s="616"/>
      <c r="J334" s="616"/>
      <c r="K334" s="616">
        <f t="shared" si="12"/>
        <v>0</v>
      </c>
    </row>
    <row r="335" spans="3:11" x14ac:dyDescent="0.2">
      <c r="C335" s="616">
        <v>0</v>
      </c>
      <c r="D335" s="616"/>
      <c r="E335" s="616">
        <f t="shared" si="11"/>
        <v>0</v>
      </c>
      <c r="G335" s="616"/>
      <c r="H335" s="616"/>
      <c r="I335" s="616"/>
      <c r="J335" s="616"/>
      <c r="K335" s="616">
        <f t="shared" si="12"/>
        <v>0</v>
      </c>
    </row>
    <row r="336" spans="3:11" x14ac:dyDescent="0.2">
      <c r="C336" s="616">
        <v>0</v>
      </c>
      <c r="D336" s="616"/>
      <c r="E336" s="616">
        <f t="shared" si="11"/>
        <v>0</v>
      </c>
      <c r="G336" s="616"/>
      <c r="H336" s="616"/>
      <c r="I336" s="616"/>
      <c r="J336" s="616"/>
      <c r="K336" s="616">
        <f t="shared" si="12"/>
        <v>0</v>
      </c>
    </row>
    <row r="337" spans="3:12" x14ac:dyDescent="0.2">
      <c r="C337" s="616">
        <v>0</v>
      </c>
      <c r="D337" s="616"/>
      <c r="E337" s="616">
        <f t="shared" si="11"/>
        <v>0</v>
      </c>
      <c r="G337" s="616"/>
      <c r="H337" s="616"/>
      <c r="I337" s="616"/>
      <c r="J337" s="616"/>
      <c r="K337" s="616">
        <f t="shared" si="12"/>
        <v>0</v>
      </c>
    </row>
    <row r="338" spans="3:12" x14ac:dyDescent="0.2">
      <c r="C338" s="616">
        <v>0</v>
      </c>
      <c r="D338" s="616"/>
      <c r="E338" s="616">
        <f t="shared" si="11"/>
        <v>0</v>
      </c>
      <c r="G338" s="616"/>
      <c r="H338" s="616"/>
      <c r="I338" s="616"/>
      <c r="J338" s="616"/>
      <c r="K338" s="616">
        <f t="shared" si="12"/>
        <v>0</v>
      </c>
    </row>
    <row r="339" spans="3:12" x14ac:dyDescent="0.2">
      <c r="C339" s="616">
        <v>0</v>
      </c>
      <c r="D339" s="616"/>
      <c r="E339" s="616">
        <f t="shared" si="11"/>
        <v>0</v>
      </c>
      <c r="G339" s="616"/>
      <c r="H339" s="616"/>
      <c r="I339" s="616"/>
      <c r="J339" s="616"/>
      <c r="K339" s="616">
        <f t="shared" si="12"/>
        <v>0</v>
      </c>
    </row>
    <row r="340" spans="3:12" x14ac:dyDescent="0.2">
      <c r="C340" s="616">
        <v>0</v>
      </c>
      <c r="D340" s="616"/>
      <c r="E340" s="616">
        <f t="shared" si="11"/>
        <v>0</v>
      </c>
      <c r="G340" s="616"/>
      <c r="H340" s="616"/>
      <c r="I340" s="616"/>
      <c r="J340" s="616"/>
      <c r="K340" s="616">
        <f t="shared" si="12"/>
        <v>0</v>
      </c>
    </row>
    <row r="341" spans="3:12" x14ac:dyDescent="0.2">
      <c r="C341" s="616">
        <v>0</v>
      </c>
      <c r="D341" s="616"/>
      <c r="E341" s="616">
        <f t="shared" si="11"/>
        <v>0</v>
      </c>
      <c r="G341" s="616"/>
      <c r="H341" s="616"/>
      <c r="I341" s="616"/>
      <c r="J341" s="616"/>
      <c r="K341" s="616">
        <f t="shared" si="12"/>
        <v>0</v>
      </c>
    </row>
    <row r="342" spans="3:12" x14ac:dyDescent="0.2">
      <c r="C342" s="616">
        <v>0</v>
      </c>
      <c r="D342" s="616"/>
      <c r="E342" s="616">
        <f t="shared" si="11"/>
        <v>0</v>
      </c>
      <c r="G342" s="616"/>
      <c r="H342" s="616"/>
      <c r="I342" s="616"/>
      <c r="J342" s="616"/>
      <c r="K342" s="616">
        <f t="shared" si="12"/>
        <v>0</v>
      </c>
    </row>
    <row r="343" spans="3:12" x14ac:dyDescent="0.2">
      <c r="C343" s="616">
        <v>0</v>
      </c>
      <c r="D343" s="616"/>
      <c r="E343" s="616">
        <f t="shared" si="11"/>
        <v>0</v>
      </c>
      <c r="G343" s="616"/>
      <c r="H343" s="616"/>
      <c r="I343" s="616"/>
      <c r="J343" s="616"/>
      <c r="K343" s="616">
        <f t="shared" si="12"/>
        <v>0</v>
      </c>
    </row>
    <row r="344" spans="3:12" x14ac:dyDescent="0.2">
      <c r="C344" s="616">
        <v>0</v>
      </c>
      <c r="D344" s="616"/>
      <c r="E344" s="616">
        <f t="shared" si="11"/>
        <v>0</v>
      </c>
      <c r="G344" s="616"/>
      <c r="H344" s="616"/>
      <c r="I344" s="616"/>
      <c r="J344" s="616"/>
      <c r="K344" s="616">
        <f t="shared" si="12"/>
        <v>0</v>
      </c>
    </row>
    <row r="345" spans="3:12" x14ac:dyDescent="0.2">
      <c r="C345" s="616">
        <v>0</v>
      </c>
      <c r="D345" s="616"/>
      <c r="E345" s="616">
        <f t="shared" si="11"/>
        <v>0</v>
      </c>
      <c r="G345" s="616"/>
      <c r="H345" s="616"/>
      <c r="I345" s="616"/>
      <c r="J345" s="616"/>
      <c r="K345" s="616">
        <f t="shared" si="12"/>
        <v>0</v>
      </c>
    </row>
    <row r="346" spans="3:12" x14ac:dyDescent="0.2">
      <c r="C346" s="616">
        <v>0</v>
      </c>
      <c r="D346" s="616"/>
      <c r="E346" s="616">
        <f t="shared" si="11"/>
        <v>0</v>
      </c>
      <c r="G346" s="616"/>
      <c r="H346" s="616"/>
      <c r="I346" s="616"/>
      <c r="J346" s="616"/>
      <c r="K346" s="616">
        <f t="shared" si="12"/>
        <v>0</v>
      </c>
    </row>
    <row r="347" spans="3:12" x14ac:dyDescent="0.2">
      <c r="C347" s="616">
        <v>0</v>
      </c>
      <c r="D347" s="616"/>
      <c r="E347" s="616">
        <f t="shared" si="11"/>
        <v>0</v>
      </c>
      <c r="G347" s="616"/>
      <c r="H347" s="616"/>
      <c r="I347" s="616"/>
      <c r="J347" s="616"/>
      <c r="K347" s="616">
        <f t="shared" si="12"/>
        <v>0</v>
      </c>
    </row>
    <row r="348" spans="3:12" x14ac:dyDescent="0.2">
      <c r="L348" s="683" t="s">
        <v>535</v>
      </c>
    </row>
  </sheetData>
  <mergeCells count="7">
    <mergeCell ref="C257:D257"/>
    <mergeCell ref="B1:C1"/>
    <mergeCell ref="D1:H1"/>
    <mergeCell ref="D72:D78"/>
    <mergeCell ref="D83:D96"/>
    <mergeCell ref="B173:C173"/>
    <mergeCell ref="D173:H173"/>
  </mergeCells>
  <dataValidations count="1">
    <dataValidation type="list" allowBlank="1" showInputMessage="1" showErrorMessage="1" sqref="L313:L347 L261:L306 C176:C251 C4:C57 C59:C63 C65:C172">
      <formula1>$Y$1:$AB$1</formula1>
    </dataValidation>
  </dataValidations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63">
    <tabColor indexed="40"/>
  </sheetPr>
  <dimension ref="A2:W33"/>
  <sheetViews>
    <sheetView rightToLeft="1" workbookViewId="0">
      <selection activeCell="AL8" sqref="AL8"/>
    </sheetView>
  </sheetViews>
  <sheetFormatPr defaultRowHeight="15" x14ac:dyDescent="0.2"/>
  <cols>
    <col min="1" max="3" width="12.7109375" style="755" customWidth="1"/>
    <col min="4" max="4" width="17" style="755" customWidth="1"/>
    <col min="5" max="6" width="12.7109375" style="755" customWidth="1"/>
    <col min="7" max="7" width="16.42578125" style="755" customWidth="1"/>
    <col min="8" max="8" width="12.7109375" style="755" customWidth="1"/>
    <col min="9" max="9" width="15.5703125" style="755" customWidth="1"/>
    <col min="10" max="17" width="12.7109375" style="755" customWidth="1"/>
    <col min="18" max="16384" width="9.140625" style="702"/>
  </cols>
  <sheetData>
    <row r="2" spans="2:23" x14ac:dyDescent="0.2">
      <c r="D2" s="1124" t="s">
        <v>913</v>
      </c>
      <c r="E2" s="1124"/>
      <c r="F2" s="1124"/>
      <c r="G2" s="1124"/>
      <c r="H2" s="1124"/>
      <c r="I2" s="1124"/>
      <c r="J2" s="1124"/>
    </row>
    <row r="3" spans="2:23" x14ac:dyDescent="0.2">
      <c r="D3" s="1124"/>
      <c r="E3" s="1124"/>
      <c r="F3" s="1124"/>
      <c r="G3" s="1124"/>
      <c r="H3" s="1124"/>
      <c r="I3" s="1124"/>
      <c r="J3" s="1124"/>
    </row>
    <row r="4" spans="2:23" x14ac:dyDescent="0.2">
      <c r="C4" s="755" t="s">
        <v>914</v>
      </c>
      <c r="E4" s="755" t="s">
        <v>915</v>
      </c>
      <c r="G4" s="755" t="s">
        <v>916</v>
      </c>
      <c r="I4" s="755" t="s">
        <v>917</v>
      </c>
    </row>
    <row r="5" spans="2:23" x14ac:dyDescent="0.2">
      <c r="B5" s="756" t="s">
        <v>918</v>
      </c>
      <c r="C5" s="757">
        <v>78000</v>
      </c>
      <c r="D5" s="758" t="s">
        <v>878</v>
      </c>
      <c r="E5" s="757">
        <v>-56000</v>
      </c>
      <c r="F5" s="758" t="s">
        <v>878</v>
      </c>
      <c r="G5" s="757">
        <v>24560</v>
      </c>
      <c r="H5" s="758" t="s">
        <v>878</v>
      </c>
      <c r="I5" s="757">
        <v>256.32</v>
      </c>
      <c r="J5" s="758" t="s">
        <v>628</v>
      </c>
      <c r="K5" s="758">
        <f>C5+E5+G5+I5</f>
        <v>46816.32</v>
      </c>
    </row>
    <row r="7" spans="2:23" x14ac:dyDescent="0.2">
      <c r="B7" s="759" t="s">
        <v>919</v>
      </c>
      <c r="C7" s="760">
        <v>1</v>
      </c>
      <c r="D7" s="755" t="s">
        <v>535</v>
      </c>
      <c r="E7" s="760">
        <v>0</v>
      </c>
      <c r="F7" s="755" t="s">
        <v>535</v>
      </c>
      <c r="G7" s="760">
        <v>0</v>
      </c>
      <c r="H7" s="755" t="s">
        <v>535</v>
      </c>
      <c r="I7" s="761">
        <v>0</v>
      </c>
      <c r="J7" s="755" t="s">
        <v>628</v>
      </c>
      <c r="K7" s="755">
        <f>W7*V7*U7*T7</f>
        <v>1</v>
      </c>
      <c r="T7" s="702">
        <f>IF(I7=0,1,I7)</f>
        <v>1</v>
      </c>
      <c r="U7" s="702">
        <f>IF(G7=0,1,G7)</f>
        <v>1</v>
      </c>
      <c r="V7" s="702">
        <f>IF(E7=0,1,E7)</f>
        <v>1</v>
      </c>
      <c r="W7" s="702">
        <f>IF(C7=0,1,C7)</f>
        <v>1</v>
      </c>
    </row>
    <row r="9" spans="2:23" x14ac:dyDescent="0.2">
      <c r="B9" s="762" t="s">
        <v>920</v>
      </c>
    </row>
    <row r="10" spans="2:23" x14ac:dyDescent="0.2">
      <c r="C10" s="755" t="s">
        <v>36</v>
      </c>
      <c r="D10" s="757">
        <v>3500000</v>
      </c>
      <c r="H10" s="763" t="s">
        <v>921</v>
      </c>
      <c r="I10" s="764">
        <v>85000000</v>
      </c>
    </row>
    <row r="11" spans="2:23" x14ac:dyDescent="0.2">
      <c r="D11" s="765" t="s">
        <v>922</v>
      </c>
      <c r="E11" s="755" t="s">
        <v>628</v>
      </c>
      <c r="F11" s="766">
        <f>D10/D12</f>
        <v>11666.666666666666</v>
      </c>
      <c r="I11" s="764">
        <v>1000000</v>
      </c>
      <c r="J11" s="755" t="s">
        <v>373</v>
      </c>
    </row>
    <row r="12" spans="2:23" x14ac:dyDescent="0.2">
      <c r="C12" s="755" t="s">
        <v>923</v>
      </c>
      <c r="D12" s="767">
        <v>300</v>
      </c>
      <c r="I12" s="764">
        <v>100000</v>
      </c>
      <c r="J12" s="755" t="s">
        <v>373</v>
      </c>
    </row>
    <row r="13" spans="2:23" x14ac:dyDescent="0.2">
      <c r="I13" s="764">
        <v>10000</v>
      </c>
      <c r="J13" s="755" t="s">
        <v>373</v>
      </c>
    </row>
    <row r="14" spans="2:23" x14ac:dyDescent="0.2">
      <c r="I14" s="764">
        <v>100</v>
      </c>
      <c r="J14" s="755" t="s">
        <v>373</v>
      </c>
    </row>
    <row r="15" spans="2:23" x14ac:dyDescent="0.2">
      <c r="I15" s="764">
        <v>10</v>
      </c>
      <c r="J15" s="755" t="s">
        <v>373</v>
      </c>
    </row>
    <row r="16" spans="2:23" x14ac:dyDescent="0.2">
      <c r="I16" s="768" t="s">
        <v>924</v>
      </c>
    </row>
    <row r="17" spans="2:9" x14ac:dyDescent="0.2">
      <c r="H17" s="755" t="s">
        <v>925</v>
      </c>
      <c r="I17" s="769">
        <f>I10-I11-I12-I13-I14-I15</f>
        <v>83889890</v>
      </c>
    </row>
    <row r="20" spans="2:9" x14ac:dyDescent="0.2">
      <c r="B20" s="755" t="s">
        <v>926</v>
      </c>
      <c r="C20" s="755" t="s">
        <v>927</v>
      </c>
      <c r="D20" s="770">
        <v>0</v>
      </c>
      <c r="F20" s="755" t="s">
        <v>245</v>
      </c>
      <c r="G20" s="755" t="s">
        <v>928</v>
      </c>
      <c r="H20" s="771">
        <v>0</v>
      </c>
    </row>
    <row r="21" spans="2:9" x14ac:dyDescent="0.2">
      <c r="C21" s="755" t="s">
        <v>929</v>
      </c>
      <c r="D21" s="770">
        <v>1000</v>
      </c>
      <c r="G21" s="755" t="s">
        <v>929</v>
      </c>
      <c r="H21" s="771">
        <v>1000</v>
      </c>
    </row>
    <row r="22" spans="2:9" x14ac:dyDescent="0.2">
      <c r="C22" s="755" t="s">
        <v>231</v>
      </c>
      <c r="D22" s="770">
        <v>3.8</v>
      </c>
      <c r="G22" s="755" t="s">
        <v>231</v>
      </c>
      <c r="H22" s="771">
        <v>3.8</v>
      </c>
    </row>
    <row r="23" spans="2:9" x14ac:dyDescent="0.2">
      <c r="C23" s="755" t="s">
        <v>629</v>
      </c>
      <c r="D23" s="770">
        <v>10</v>
      </c>
      <c r="G23" s="755" t="s">
        <v>629</v>
      </c>
      <c r="H23" s="771">
        <v>10</v>
      </c>
    </row>
    <row r="25" spans="2:9" x14ac:dyDescent="0.2">
      <c r="C25" s="755" t="s">
        <v>930</v>
      </c>
      <c r="D25" s="766">
        <f>FV(D22/100/12,D23*12,D21,D20,0)*(-1)</f>
        <v>145707.44148025557</v>
      </c>
      <c r="G25" s="755" t="s">
        <v>931</v>
      </c>
      <c r="H25" s="766">
        <f>PV(H22/100/12,H23*12,H21,H20)*(-1)</f>
        <v>99703.54025123865</v>
      </c>
    </row>
    <row r="28" spans="2:9" x14ac:dyDescent="0.2">
      <c r="B28" s="755" t="s">
        <v>932</v>
      </c>
      <c r="C28" s="755" t="s">
        <v>927</v>
      </c>
      <c r="D28" s="772">
        <v>100000</v>
      </c>
      <c r="F28" s="755" t="s">
        <v>933</v>
      </c>
      <c r="G28" s="755" t="s">
        <v>927</v>
      </c>
      <c r="H28" s="757">
        <v>100000</v>
      </c>
    </row>
    <row r="29" spans="2:9" x14ac:dyDescent="0.2">
      <c r="C29" s="755" t="s">
        <v>629</v>
      </c>
      <c r="D29" s="772">
        <v>10</v>
      </c>
      <c r="G29" s="755" t="s">
        <v>629</v>
      </c>
      <c r="H29" s="757">
        <v>10</v>
      </c>
    </row>
    <row r="30" spans="2:9" x14ac:dyDescent="0.2">
      <c r="C30" s="755" t="s">
        <v>934</v>
      </c>
      <c r="D30" s="772">
        <v>0</v>
      </c>
      <c r="G30" s="755" t="s">
        <v>231</v>
      </c>
      <c r="H30" s="757">
        <v>3.8</v>
      </c>
    </row>
    <row r="31" spans="2:9" x14ac:dyDescent="0.2">
      <c r="C31" s="755" t="s">
        <v>929</v>
      </c>
      <c r="D31" s="772">
        <v>1000</v>
      </c>
      <c r="G31" s="755" t="s">
        <v>935</v>
      </c>
      <c r="H31" s="757">
        <v>0</v>
      </c>
    </row>
    <row r="32" spans="2:9" x14ac:dyDescent="0.2">
      <c r="H32" s="758"/>
    </row>
    <row r="33" spans="3:8" x14ac:dyDescent="0.2">
      <c r="C33" s="755" t="s">
        <v>231</v>
      </c>
      <c r="D33" s="773">
        <f>E33*12*100</f>
        <v>3.8041628817572994</v>
      </c>
      <c r="E33" s="774">
        <f>RATE(D29*12,-D31,D28,D30,1)</f>
        <v>3.1701357347977497E-3</v>
      </c>
      <c r="G33" s="755" t="s">
        <v>936</v>
      </c>
      <c r="H33" s="766">
        <f>PMT(H30/100/12,H29*12,H28,H31)*(-1)</f>
        <v>1002.9734124587396</v>
      </c>
    </row>
  </sheetData>
  <mergeCells count="1">
    <mergeCell ref="D2:J3"/>
  </mergeCells>
  <dataValidations count="1">
    <dataValidation type="decimal" operator="notEqual" allowBlank="1" showInputMessage="1" showErrorMessage="1" sqref="C7 D12">
      <formula1>0</formula1>
    </dataValidation>
  </dataValidation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72">
    <tabColor indexed="45"/>
  </sheetPr>
  <dimension ref="A1:AL60"/>
  <sheetViews>
    <sheetView rightToLeft="1" workbookViewId="0">
      <selection activeCell="AL8" sqref="AL8"/>
    </sheetView>
  </sheetViews>
  <sheetFormatPr defaultRowHeight="12.75" x14ac:dyDescent="0.2"/>
  <cols>
    <col min="1" max="3" width="9.140625" style="776"/>
    <col min="4" max="4" width="16.28515625" style="776" customWidth="1"/>
    <col min="5" max="5" width="14.28515625" style="776" customWidth="1"/>
    <col min="6" max="6" width="13.28515625" style="776" customWidth="1"/>
    <col min="7" max="7" width="14.28515625" style="776" customWidth="1"/>
    <col min="8" max="8" width="12.7109375" style="776" customWidth="1"/>
    <col min="9" max="9" width="13.28515625" style="776" customWidth="1"/>
    <col min="10" max="10" width="19.28515625" style="776" customWidth="1"/>
    <col min="11" max="11" width="15.42578125" style="776" customWidth="1"/>
    <col min="12" max="12" width="13" style="776" customWidth="1"/>
    <col min="13" max="13" width="9.140625" style="776"/>
    <col min="14" max="14" width="14.140625" style="776" customWidth="1"/>
    <col min="15" max="16" width="9.140625" style="776"/>
    <col min="17" max="17" width="15.7109375" style="776" customWidth="1"/>
    <col min="18" max="18" width="16.140625" style="776" customWidth="1"/>
    <col min="19" max="19" width="15.42578125" style="776" customWidth="1"/>
    <col min="20" max="20" width="14.85546875" style="776" customWidth="1"/>
    <col min="21" max="21" width="14.140625" style="776" customWidth="1"/>
    <col min="22" max="22" width="13.5703125" style="776" customWidth="1"/>
    <col min="23" max="23" width="9.140625" style="776"/>
    <col min="24" max="24" width="14.85546875" style="776" customWidth="1"/>
    <col min="25" max="16384" width="9.140625" style="776"/>
  </cols>
  <sheetData>
    <row r="1" spans="1:38" x14ac:dyDescent="0.2">
      <c r="J1" s="781" t="s">
        <v>938</v>
      </c>
      <c r="K1" s="782">
        <f>'[1]נתוני יסוד'!B26</f>
        <v>0</v>
      </c>
    </row>
    <row r="2" spans="1:38" ht="25.5" x14ac:dyDescent="0.2">
      <c r="E2" s="1126" t="s">
        <v>645</v>
      </c>
      <c r="F2" s="1126"/>
      <c r="G2" s="1126"/>
      <c r="H2" s="335">
        <f>'[1]פיצויים פטורים והוני'!H2</f>
        <v>0</v>
      </c>
      <c r="J2" s="781" t="s">
        <v>939</v>
      </c>
      <c r="K2" s="782">
        <f>'[1]חישובי מקורות א'!BH6+'[1]חישובי מקורות א'!BN6</f>
        <v>0</v>
      </c>
      <c r="L2" s="779"/>
    </row>
    <row r="3" spans="1:38" ht="38.25" x14ac:dyDescent="0.2">
      <c r="B3" s="777"/>
      <c r="C3" s="777"/>
      <c r="D3" s="777"/>
      <c r="E3" s="777"/>
      <c r="F3" s="777"/>
      <c r="G3" s="777"/>
      <c r="H3" s="777"/>
      <c r="I3" s="777"/>
      <c r="J3" s="781" t="s">
        <v>462</v>
      </c>
      <c r="K3" s="783">
        <f>'[1]נתוני יסוד'!B36</f>
        <v>0</v>
      </c>
      <c r="L3" s="60"/>
      <c r="M3" s="777"/>
      <c r="N3" s="777"/>
      <c r="O3" s="777"/>
      <c r="P3" s="777"/>
      <c r="Q3" s="777"/>
      <c r="R3" s="777"/>
      <c r="S3" s="777"/>
      <c r="T3" s="777"/>
      <c r="U3" s="777"/>
      <c r="V3" s="777"/>
      <c r="W3" s="777"/>
      <c r="X3" s="777"/>
      <c r="Y3" s="777"/>
      <c r="Z3" s="777"/>
      <c r="AA3" s="777"/>
      <c r="AB3" s="777"/>
      <c r="AC3" s="777"/>
      <c r="AD3" s="777"/>
      <c r="AE3" s="777"/>
      <c r="AF3" s="777"/>
      <c r="AG3" s="777"/>
      <c r="AH3" s="777"/>
      <c r="AI3" s="777"/>
      <c r="AJ3" s="777"/>
      <c r="AK3" s="777"/>
      <c r="AL3" s="777"/>
    </row>
    <row r="4" spans="1:38" ht="25.5" x14ac:dyDescent="0.2">
      <c r="B4" s="777"/>
      <c r="C4" s="777"/>
      <c r="D4" s="777"/>
      <c r="E4" s="777"/>
      <c r="F4" s="777"/>
      <c r="G4" s="777"/>
      <c r="H4" s="777"/>
      <c r="I4" s="777"/>
      <c r="J4" s="784" t="s">
        <v>450</v>
      </c>
      <c r="K4" s="782">
        <f>'[1]נתוני יסוד'!B28</f>
        <v>0</v>
      </c>
      <c r="O4" s="1127"/>
      <c r="P4" s="1128"/>
      <c r="Q4" s="777"/>
      <c r="R4" s="777"/>
      <c r="S4" s="777"/>
      <c r="T4" s="777"/>
      <c r="U4" s="777"/>
      <c r="V4" s="777"/>
      <c r="W4" s="777"/>
      <c r="X4" s="777"/>
      <c r="Y4" s="777"/>
      <c r="Z4" s="777"/>
      <c r="AA4" s="777"/>
      <c r="AB4" s="777"/>
      <c r="AC4" s="777"/>
      <c r="AD4" s="777"/>
      <c r="AE4" s="777"/>
      <c r="AF4" s="777"/>
      <c r="AG4" s="777"/>
      <c r="AH4" s="777"/>
      <c r="AI4" s="777"/>
      <c r="AJ4" s="777"/>
      <c r="AK4" s="777"/>
      <c r="AL4" s="777"/>
    </row>
    <row r="5" spans="1:38" x14ac:dyDescent="0.2">
      <c r="B5" s="1129" t="s">
        <v>642</v>
      </c>
      <c r="C5" s="1053"/>
      <c r="D5" s="336">
        <f>'[1]נתוני יסוד'!B4</f>
        <v>0</v>
      </c>
      <c r="E5" s="777" t="s">
        <v>643</v>
      </c>
      <c r="F5" s="777"/>
      <c r="G5" s="777"/>
      <c r="H5" s="777"/>
      <c r="I5" s="777"/>
      <c r="J5" s="784" t="s">
        <v>452</v>
      </c>
      <c r="K5" s="782">
        <f>'[1]נתוני יסוד'!B29</f>
        <v>0</v>
      </c>
      <c r="L5" s="104"/>
      <c r="M5" s="777"/>
      <c r="N5" s="777"/>
      <c r="O5" s="777"/>
      <c r="P5" s="777"/>
      <c r="Q5" s="777"/>
      <c r="R5" s="777"/>
      <c r="S5" s="777"/>
      <c r="T5" s="777"/>
      <c r="U5" s="777"/>
      <c r="V5" s="777"/>
      <c r="W5" s="777"/>
      <c r="X5" s="777"/>
      <c r="Y5" s="777"/>
      <c r="Z5" s="777"/>
      <c r="AA5" s="777"/>
      <c r="AB5" s="777"/>
      <c r="AC5" s="777"/>
      <c r="AD5" s="777"/>
      <c r="AE5" s="777"/>
      <c r="AF5" s="777"/>
      <c r="AG5" s="777"/>
      <c r="AH5" s="777"/>
      <c r="AI5" s="777"/>
      <c r="AJ5" s="777"/>
      <c r="AK5" s="777"/>
      <c r="AL5" s="777"/>
    </row>
    <row r="6" spans="1:38" ht="25.5" x14ac:dyDescent="0.2">
      <c r="B6" s="1129" t="s">
        <v>644</v>
      </c>
      <c r="C6" s="1053"/>
      <c r="D6" s="336">
        <f>'[1]נתוני יסוד'!B6</f>
        <v>45874.826249999998</v>
      </c>
      <c r="E6" s="777"/>
      <c r="F6" s="1129" t="s">
        <v>646</v>
      </c>
      <c r="G6" s="1053"/>
      <c r="H6" s="333">
        <f>(D6-D5)/365.25</f>
        <v>125.59842915811087</v>
      </c>
      <c r="I6" s="777"/>
      <c r="J6" s="784" t="s">
        <v>583</v>
      </c>
      <c r="K6" s="782">
        <f>'[1]נתוני יסוד'!B30</f>
        <v>0</v>
      </c>
      <c r="L6" s="777"/>
      <c r="M6" s="777"/>
      <c r="N6" s="777"/>
      <c r="O6" s="777"/>
      <c r="P6" s="777"/>
      <c r="Q6" s="777"/>
      <c r="R6" s="777"/>
      <c r="S6" s="777"/>
      <c r="T6" s="777"/>
      <c r="U6" s="777"/>
      <c r="V6" s="777"/>
      <c r="W6" s="777"/>
      <c r="X6" s="777"/>
      <c r="Y6" s="777"/>
      <c r="Z6" s="777"/>
      <c r="AA6" s="777"/>
      <c r="AB6" s="777"/>
      <c r="AC6" s="777"/>
      <c r="AD6" s="777"/>
      <c r="AE6" s="777"/>
      <c r="AF6" s="777"/>
      <c r="AG6" s="777"/>
      <c r="AH6" s="777"/>
      <c r="AI6" s="777"/>
      <c r="AJ6" s="777"/>
      <c r="AK6" s="777"/>
      <c r="AL6" s="777"/>
    </row>
    <row r="7" spans="1:38" x14ac:dyDescent="0.2">
      <c r="B7" s="777"/>
      <c r="C7" s="777"/>
      <c r="D7" s="777"/>
      <c r="E7" s="777"/>
      <c r="F7" s="777"/>
      <c r="G7" s="777"/>
      <c r="H7" s="777"/>
      <c r="I7" s="777"/>
      <c r="L7" s="777"/>
      <c r="M7" s="777"/>
      <c r="N7" s="777"/>
      <c r="O7" s="777"/>
      <c r="P7" s="777"/>
      <c r="Q7" s="777"/>
      <c r="R7" s="777"/>
      <c r="S7" s="777"/>
      <c r="T7" s="777"/>
      <c r="U7" s="777"/>
      <c r="V7" s="777"/>
      <c r="W7" s="777"/>
      <c r="X7" s="777"/>
      <c r="Y7" s="777"/>
      <c r="Z7" s="777"/>
      <c r="AA7" s="777"/>
      <c r="AB7" s="777"/>
    </row>
    <row r="8" spans="1:38" ht="26.25" x14ac:dyDescent="0.2">
      <c r="B8" s="1130" t="s">
        <v>940</v>
      </c>
      <c r="C8" s="1131"/>
      <c r="D8" s="1131"/>
      <c r="E8" s="1131"/>
      <c r="F8" s="1131"/>
      <c r="G8" s="1131"/>
      <c r="H8" s="1131"/>
      <c r="I8" s="1131"/>
      <c r="J8" s="1131"/>
      <c r="K8" s="1132"/>
      <c r="L8" s="777"/>
      <c r="M8" s="777"/>
      <c r="N8" s="777"/>
      <c r="O8" s="777"/>
      <c r="P8" s="777"/>
      <c r="Q8" s="1133"/>
      <c r="R8" s="1052"/>
      <c r="S8" s="1053"/>
      <c r="T8" s="777"/>
      <c r="U8" s="777"/>
      <c r="V8" s="777"/>
      <c r="W8" s="777"/>
      <c r="X8" s="777"/>
      <c r="Y8" s="777"/>
      <c r="Z8" s="777"/>
      <c r="AA8" s="777"/>
      <c r="AB8" s="777"/>
    </row>
    <row r="9" spans="1:38" ht="26.25" x14ac:dyDescent="0.2">
      <c r="B9" s="777"/>
      <c r="C9" s="777"/>
      <c r="D9" s="777"/>
      <c r="E9" s="777"/>
      <c r="F9" s="777"/>
      <c r="G9" s="1134" t="s">
        <v>647</v>
      </c>
      <c r="H9" s="1135"/>
      <c r="I9" s="1135"/>
      <c r="J9" s="1135"/>
      <c r="K9" s="1136"/>
      <c r="L9" s="777"/>
      <c r="M9" s="777"/>
      <c r="N9" s="777"/>
      <c r="O9" s="777"/>
      <c r="P9" s="777"/>
      <c r="Q9" s="1137" t="s">
        <v>648</v>
      </c>
      <c r="R9" s="1138"/>
      <c r="S9" s="1138"/>
      <c r="T9" s="1138"/>
      <c r="U9" s="1139"/>
      <c r="V9" s="777"/>
      <c r="W9" s="777"/>
      <c r="X9" s="777"/>
      <c r="Y9" s="777"/>
      <c r="Z9" s="777"/>
      <c r="AA9" s="777"/>
      <c r="AB9" s="777"/>
    </row>
    <row r="10" spans="1:38" ht="25.5" x14ac:dyDescent="0.2">
      <c r="A10" s="1125" t="s">
        <v>649</v>
      </c>
      <c r="B10" s="1092"/>
      <c r="C10" s="1092"/>
      <c r="D10" s="337">
        <f>K1+K2+K4+K6+K5</f>
        <v>0</v>
      </c>
      <c r="E10" s="777"/>
      <c r="F10" s="777"/>
      <c r="G10" s="777" t="s">
        <v>650</v>
      </c>
      <c r="H10" s="777" t="s">
        <v>636</v>
      </c>
      <c r="I10" s="330" t="s">
        <v>637</v>
      </c>
      <c r="J10" s="777" t="s">
        <v>638</v>
      </c>
      <c r="K10" s="777"/>
      <c r="L10" s="777"/>
      <c r="M10" s="777"/>
      <c r="N10" s="777"/>
      <c r="O10" s="777"/>
      <c r="P10" s="777"/>
      <c r="Q10" s="777" t="s">
        <v>651</v>
      </c>
      <c r="R10" s="777" t="s">
        <v>639</v>
      </c>
      <c r="S10" s="330" t="s">
        <v>640</v>
      </c>
      <c r="T10" s="777" t="s">
        <v>641</v>
      </c>
      <c r="U10" s="777"/>
      <c r="V10" s="777"/>
      <c r="W10" s="777"/>
      <c r="X10" s="777"/>
      <c r="Y10" s="777"/>
      <c r="Z10" s="777"/>
      <c r="AA10" s="777"/>
      <c r="AB10" s="777"/>
    </row>
    <row r="11" spans="1:38" ht="24" customHeight="1" x14ac:dyDescent="0.2">
      <c r="A11" s="1125" t="s">
        <v>652</v>
      </c>
      <c r="B11" s="1092"/>
      <c r="C11" s="1092"/>
      <c r="D11" s="337">
        <f>K1+K2+K3+K4+K5+K6</f>
        <v>0</v>
      </c>
      <c r="E11" s="777"/>
      <c r="F11" s="777"/>
      <c r="G11" s="329" t="e">
        <f>Q11/12</f>
        <v>#DIV/0!</v>
      </c>
      <c r="H11" s="76">
        <f>D11</f>
        <v>0</v>
      </c>
      <c r="I11" s="76">
        <f>D20+K5</f>
        <v>0</v>
      </c>
      <c r="J11" s="338" t="e">
        <f>H11-I11+G11</f>
        <v>#DIV/0!</v>
      </c>
      <c r="K11" s="331"/>
      <c r="L11" s="331"/>
      <c r="M11" s="331"/>
      <c r="N11" s="777"/>
      <c r="O11" s="777"/>
      <c r="P11" s="777"/>
      <c r="Q11" s="339" t="e">
        <f>D22/D23</f>
        <v>#DIV/0!</v>
      </c>
      <c r="R11" s="339">
        <f>H11*12</f>
        <v>0</v>
      </c>
      <c r="S11" s="339">
        <f>I11*12</f>
        <v>0</v>
      </c>
      <c r="T11" s="339" t="e">
        <f>R11-S11+Q11</f>
        <v>#DIV/0!</v>
      </c>
      <c r="U11" s="331"/>
      <c r="V11" s="331"/>
      <c r="W11" s="331"/>
      <c r="X11" s="777"/>
      <c r="Y11" s="777"/>
      <c r="Z11" s="777"/>
      <c r="AA11" s="777"/>
      <c r="AB11" s="777"/>
    </row>
    <row r="12" spans="1:38" ht="24" customHeight="1" x14ac:dyDescent="0.2">
      <c r="A12" s="1125" t="s">
        <v>653</v>
      </c>
      <c r="B12" s="1092"/>
      <c r="C12" s="1092"/>
      <c r="D12" s="64">
        <f>'[1]פיצויים פטורים והוני'!D12</f>
        <v>0</v>
      </c>
      <c r="E12" s="777"/>
      <c r="F12" s="777"/>
      <c r="G12" s="331" t="s">
        <v>631</v>
      </c>
      <c r="H12" s="331" t="s">
        <v>632</v>
      </c>
      <c r="I12" s="331" t="s">
        <v>542</v>
      </c>
      <c r="J12" s="331" t="s">
        <v>632</v>
      </c>
      <c r="K12" s="331" t="s">
        <v>633</v>
      </c>
      <c r="L12" s="331" t="s">
        <v>634</v>
      </c>
      <c r="M12" s="331"/>
      <c r="N12" s="777"/>
      <c r="O12" s="777"/>
      <c r="P12" s="777"/>
      <c r="Q12" s="331" t="s">
        <v>631</v>
      </c>
      <c r="R12" s="331" t="s">
        <v>632</v>
      </c>
      <c r="S12" s="331" t="s">
        <v>542</v>
      </c>
      <c r="T12" s="331" t="s">
        <v>632</v>
      </c>
      <c r="U12" s="331" t="s">
        <v>633</v>
      </c>
      <c r="V12" s="331" t="s">
        <v>634</v>
      </c>
      <c r="W12" s="331"/>
      <c r="X12" s="777"/>
      <c r="Y12" s="777"/>
      <c r="Z12" s="777"/>
      <c r="AA12" s="777"/>
      <c r="AB12" s="777"/>
    </row>
    <row r="13" spans="1:38" ht="24" customHeight="1" x14ac:dyDescent="0.2">
      <c r="A13" s="1092" t="s">
        <v>941</v>
      </c>
      <c r="B13" s="1092"/>
      <c r="C13" s="1092"/>
      <c r="D13" s="340">
        <f>D12-D14</f>
        <v>0</v>
      </c>
      <c r="E13" s="777"/>
      <c r="F13" s="777"/>
      <c r="G13" s="341">
        <f>H13</f>
        <v>5270</v>
      </c>
      <c r="H13" s="341">
        <f>'[1]חישובי מיסוי פנסיה פתוחים'!B6</f>
        <v>5270</v>
      </c>
      <c r="I13" s="342">
        <f>'[1]חישובי מיסוי פנסיה פתוחים'!C6</f>
        <v>0.1</v>
      </c>
      <c r="J13" s="331" t="e">
        <f>IF(J11&gt;G13,H13,J11)</f>
        <v>#DIV/0!</v>
      </c>
      <c r="K13" s="331" t="e">
        <f t="shared" ref="K13:K18" si="0">J13*I13</f>
        <v>#DIV/0!</v>
      </c>
      <c r="L13" s="331" t="e">
        <f>K13</f>
        <v>#DIV/0!</v>
      </c>
      <c r="M13" s="331"/>
      <c r="N13" s="777"/>
      <c r="O13" s="777"/>
      <c r="P13" s="777"/>
      <c r="Q13" s="341">
        <f>R13</f>
        <v>63240</v>
      </c>
      <c r="R13" s="341">
        <f>H13*12</f>
        <v>63240</v>
      </c>
      <c r="S13" s="342">
        <f t="shared" ref="S13:S18" si="1">I13</f>
        <v>0.1</v>
      </c>
      <c r="T13" s="80" t="e">
        <f>IF(T11&gt;Q13,R13,T11)</f>
        <v>#DIV/0!</v>
      </c>
      <c r="U13" s="80" t="e">
        <f t="shared" ref="U13:U18" si="2">T13*S13</f>
        <v>#DIV/0!</v>
      </c>
      <c r="V13" s="80" t="e">
        <f>U13</f>
        <v>#DIV/0!</v>
      </c>
      <c r="W13" s="331"/>
      <c r="X13" s="777"/>
      <c r="Y13" s="777"/>
      <c r="Z13" s="777"/>
      <c r="AA13" s="777"/>
      <c r="AB13" s="777"/>
    </row>
    <row r="14" spans="1:38" x14ac:dyDescent="0.2">
      <c r="A14" s="1142" t="s">
        <v>654</v>
      </c>
      <c r="B14" s="1116"/>
      <c r="C14" s="1116"/>
      <c r="D14" s="343">
        <f>'[1]פיצויים פטורים וקצבה'!D13</f>
        <v>0</v>
      </c>
      <c r="E14" s="337">
        <f>'[1]פיצויים פטורים וקצבה'!L4</f>
        <v>0</v>
      </c>
      <c r="G14" s="341">
        <f>G13+H14</f>
        <v>9000</v>
      </c>
      <c r="H14" s="341">
        <f>'[1]חישובי מיסוי פנסיה פתוחים'!B7</f>
        <v>3730</v>
      </c>
      <c r="I14" s="342">
        <f>'[1]חישובי מיסוי פנסיה פתוחים'!C7</f>
        <v>0.14000000000000001</v>
      </c>
      <c r="J14" s="331" t="e">
        <f>IF(J11&gt;G14,H14,IF(J11&lt;G13,0,J11-G13))</f>
        <v>#DIV/0!</v>
      </c>
      <c r="K14" s="331" t="e">
        <f t="shared" si="0"/>
        <v>#DIV/0!</v>
      </c>
      <c r="L14" s="331" t="e">
        <f>L13+K14</f>
        <v>#DIV/0!</v>
      </c>
      <c r="M14" s="331"/>
      <c r="N14" s="777"/>
      <c r="O14" s="777"/>
      <c r="P14" s="777"/>
      <c r="Q14" s="341">
        <f>Q13+R14</f>
        <v>108000</v>
      </c>
      <c r="R14" s="341">
        <f>H14*12</f>
        <v>44760</v>
      </c>
      <c r="S14" s="342">
        <f t="shared" si="1"/>
        <v>0.14000000000000001</v>
      </c>
      <c r="T14" s="80" t="e">
        <f>IF(T11&gt;Q14,R14,IF(T11&lt;Q13,0,T11-Q13))</f>
        <v>#DIV/0!</v>
      </c>
      <c r="U14" s="80" t="e">
        <f t="shared" si="2"/>
        <v>#DIV/0!</v>
      </c>
      <c r="V14" s="80" t="e">
        <f>V13+U14</f>
        <v>#DIV/0!</v>
      </c>
      <c r="W14" s="80"/>
      <c r="X14" s="80"/>
      <c r="Y14" s="777"/>
      <c r="Z14" s="777"/>
      <c r="AA14" s="777"/>
      <c r="AB14" s="777"/>
    </row>
    <row r="15" spans="1:38" x14ac:dyDescent="0.2">
      <c r="B15" s="1129" t="s">
        <v>655</v>
      </c>
      <c r="C15" s="1053"/>
      <c r="D15" s="344">
        <f>H6</f>
        <v>125.59842915811087</v>
      </c>
      <c r="E15" s="777"/>
      <c r="F15" s="777"/>
      <c r="G15" s="341">
        <f>G14+H15</f>
        <v>13990</v>
      </c>
      <c r="H15" s="341">
        <f>'[1]חישובי מיסוי פנסיה פתוחים'!B8</f>
        <v>4990</v>
      </c>
      <c r="I15" s="342">
        <f>'[1]חישובי מיסוי פנסיה פתוחים'!C8</f>
        <v>0.21</v>
      </c>
      <c r="J15" s="331" t="e">
        <f>IF(J11&gt;G15,H15,IF(J11&lt;G14,0,J11-G14))</f>
        <v>#DIV/0!</v>
      </c>
      <c r="K15" s="331" t="e">
        <f t="shared" si="0"/>
        <v>#DIV/0!</v>
      </c>
      <c r="L15" s="331" t="e">
        <f>L14+K15</f>
        <v>#DIV/0!</v>
      </c>
      <c r="Q15" s="341">
        <f>Q14+R15</f>
        <v>167880</v>
      </c>
      <c r="R15" s="341">
        <f>H15*12</f>
        <v>59880</v>
      </c>
      <c r="S15" s="342">
        <f t="shared" si="1"/>
        <v>0.21</v>
      </c>
      <c r="T15" s="80" t="e">
        <f>IF(T11&gt;Q15,R15,IF(T11&lt;Q14,0,T11-Q14))</f>
        <v>#DIV/0!</v>
      </c>
      <c r="U15" s="80" t="e">
        <f t="shared" si="2"/>
        <v>#DIV/0!</v>
      </c>
      <c r="V15" s="80" t="e">
        <f>V14+U15</f>
        <v>#DIV/0!</v>
      </c>
      <c r="W15" s="80"/>
      <c r="X15" s="80"/>
      <c r="Y15" s="777"/>
      <c r="Z15" s="777"/>
      <c r="AA15" s="777"/>
      <c r="AB15" s="777"/>
    </row>
    <row r="16" spans="1:38" x14ac:dyDescent="0.2">
      <c r="B16" s="1129" t="s">
        <v>656</v>
      </c>
      <c r="C16" s="1053"/>
      <c r="D16" s="345">
        <f>IF(D15&lt;=3,0,IF(D15&lt;=7,1,IF(D15&lt;=11,2,IF(D15&lt;=15,3,IF(D15&lt;=19,4,IF(D15&lt;=23,5,IF(D15&lt;=99,6,0)))))))</f>
        <v>0</v>
      </c>
      <c r="E16" s="777"/>
      <c r="F16" s="777"/>
      <c r="G16" s="341">
        <f>G15+H16</f>
        <v>19980</v>
      </c>
      <c r="H16" s="341">
        <f>'[1]חישובי מיסוי פנסיה פתוחים'!B9</f>
        <v>5990</v>
      </c>
      <c r="I16" s="342">
        <f>'[1]חישובי מיסוי פנסיה פתוחים'!C9</f>
        <v>0.31</v>
      </c>
      <c r="J16" s="331" t="e">
        <f>IF(J11&gt;G16,H16,IF(J11&lt;G15,0,J11-G15))</f>
        <v>#DIV/0!</v>
      </c>
      <c r="K16" s="331" t="e">
        <f t="shared" si="0"/>
        <v>#DIV/0!</v>
      </c>
      <c r="L16" s="331" t="e">
        <f>L15+K16</f>
        <v>#DIV/0!</v>
      </c>
      <c r="M16" s="331"/>
      <c r="N16" s="777"/>
      <c r="O16" s="777"/>
      <c r="P16" s="777"/>
      <c r="Q16" s="341">
        <f>Q15+R16</f>
        <v>239760</v>
      </c>
      <c r="R16" s="341">
        <f>H16*12</f>
        <v>71880</v>
      </c>
      <c r="S16" s="342">
        <f t="shared" si="1"/>
        <v>0.31</v>
      </c>
      <c r="T16" s="80" t="e">
        <f>IF(T11&gt;Q16,R16,IF(T11&lt;Q15,0,T11-Q15))</f>
        <v>#DIV/0!</v>
      </c>
      <c r="U16" s="80" t="e">
        <f t="shared" si="2"/>
        <v>#DIV/0!</v>
      </c>
      <c r="V16" s="80" t="e">
        <f>V15+U16</f>
        <v>#DIV/0!</v>
      </c>
      <c r="W16" s="80"/>
      <c r="X16" s="80"/>
      <c r="Y16" s="777"/>
      <c r="Z16" s="777"/>
      <c r="AA16" s="777"/>
      <c r="AB16" s="777"/>
    </row>
    <row r="17" spans="2:28" x14ac:dyDescent="0.2">
      <c r="B17" s="777"/>
      <c r="C17" s="777"/>
      <c r="D17" s="777"/>
      <c r="E17" s="777"/>
      <c r="F17" s="777"/>
      <c r="G17" s="341">
        <f>G16+H17</f>
        <v>41790</v>
      </c>
      <c r="H17" s="341">
        <f>'[1]חישובי מיסוי פנסיה פתוחים'!B10</f>
        <v>21810</v>
      </c>
      <c r="I17" s="342">
        <f>'[1]חישובי מיסוי פנסיה פתוחים'!C10</f>
        <v>0.34</v>
      </c>
      <c r="J17" s="331" t="e">
        <f>IF(J11&gt;G17,H17,IF(J11&lt;G16,0,J11-G16))</f>
        <v>#DIV/0!</v>
      </c>
      <c r="K17" s="331" t="e">
        <f t="shared" si="0"/>
        <v>#DIV/0!</v>
      </c>
      <c r="L17" s="331" t="e">
        <f>L16+K17</f>
        <v>#DIV/0!</v>
      </c>
      <c r="M17" s="331"/>
      <c r="N17" s="777"/>
      <c r="O17" s="777"/>
      <c r="P17" s="777"/>
      <c r="Q17" s="341">
        <f>Q16+R17</f>
        <v>501480</v>
      </c>
      <c r="R17" s="341">
        <f>H17*12</f>
        <v>261720</v>
      </c>
      <c r="S17" s="342">
        <f t="shared" si="1"/>
        <v>0.34</v>
      </c>
      <c r="T17" s="80" t="e">
        <f>IF(T11&gt;Q17,R17,IF(T11&lt;Q16,0,T11-Q16))</f>
        <v>#DIV/0!</v>
      </c>
      <c r="U17" s="80" t="e">
        <f t="shared" si="2"/>
        <v>#DIV/0!</v>
      </c>
      <c r="V17" s="80" t="e">
        <f>V16+U17</f>
        <v>#DIV/0!</v>
      </c>
      <c r="W17" s="80"/>
      <c r="X17" s="80"/>
      <c r="Y17" s="777"/>
      <c r="Z17" s="777"/>
      <c r="AA17" s="777"/>
      <c r="AB17" s="777"/>
    </row>
    <row r="18" spans="2:28" x14ac:dyDescent="0.2">
      <c r="B18" s="1129" t="s">
        <v>576</v>
      </c>
      <c r="C18" s="1053"/>
      <c r="D18" s="330">
        <v>0</v>
      </c>
      <c r="E18" s="777"/>
      <c r="F18" s="777"/>
      <c r="G18" s="341">
        <v>99999999</v>
      </c>
      <c r="H18" s="341" t="e">
        <f>IF(J11-G17&gt;=0,J11-G17,0)</f>
        <v>#DIV/0!</v>
      </c>
      <c r="I18" s="342">
        <f>'[1]חישובי מיסוי פנסיה פתוחים'!C11</f>
        <v>0.48</v>
      </c>
      <c r="J18" s="331" t="e">
        <f>IF(J11&gt;G18,H18,IF(J11&lt;G17,0,J11-G17))</f>
        <v>#DIV/0!</v>
      </c>
      <c r="K18" s="331" t="e">
        <f t="shared" si="0"/>
        <v>#DIV/0!</v>
      </c>
      <c r="L18" s="331" t="e">
        <f>L17+K18</f>
        <v>#DIV/0!</v>
      </c>
      <c r="M18" s="331"/>
      <c r="N18" s="777"/>
      <c r="O18" s="777"/>
      <c r="P18" s="777"/>
      <c r="Q18" s="341">
        <v>99999999</v>
      </c>
      <c r="R18" s="341" t="e">
        <f>IF(T11-Q17&gt;=0,T11-Q17,0)</f>
        <v>#DIV/0!</v>
      </c>
      <c r="S18" s="342">
        <f t="shared" si="1"/>
        <v>0.48</v>
      </c>
      <c r="T18" s="80" t="e">
        <f>IF(T11&gt;Q18,R18,IF(T11&lt;Q17,0,T11-Q17))</f>
        <v>#DIV/0!</v>
      </c>
      <c r="U18" s="80" t="e">
        <f t="shared" si="2"/>
        <v>#DIV/0!</v>
      </c>
      <c r="V18" s="80" t="e">
        <f>V17+U18</f>
        <v>#DIV/0!</v>
      </c>
      <c r="W18" s="80"/>
      <c r="X18" s="80"/>
      <c r="Y18" s="777"/>
      <c r="Z18" s="777"/>
      <c r="AA18" s="777"/>
      <c r="AB18" s="777"/>
    </row>
    <row r="19" spans="2:28" ht="25.5" x14ac:dyDescent="0.2">
      <c r="B19" s="777" t="s">
        <v>370</v>
      </c>
      <c r="C19" s="777" t="s">
        <v>376</v>
      </c>
      <c r="D19" s="777" t="s">
        <v>942</v>
      </c>
      <c r="E19" s="346"/>
      <c r="F19" s="777"/>
      <c r="G19" s="331"/>
      <c r="H19" s="331"/>
      <c r="I19" s="331"/>
      <c r="J19" s="331"/>
      <c r="K19" s="331"/>
      <c r="L19" s="331"/>
      <c r="M19" s="331" t="s">
        <v>635</v>
      </c>
      <c r="N19" s="331" t="e">
        <f>IF(L18-'[1]נתוני יסוד'!L2&gt;=0,L18-'[1]נתוני יסוד'!L2,0)</f>
        <v>#DIV/0!</v>
      </c>
      <c r="O19" s="777"/>
      <c r="P19" s="777"/>
      <c r="Q19" s="331"/>
      <c r="R19" s="331"/>
      <c r="S19" s="331"/>
      <c r="T19" s="80"/>
      <c r="U19" s="80"/>
      <c r="V19" s="80"/>
      <c r="W19" s="80" t="s">
        <v>635</v>
      </c>
      <c r="X19" s="80" t="e">
        <f>IF(V18-'[1]נתוני יסוד'!L1&gt;=0,V18-'[1]נתוני יסוד'!L1,0)</f>
        <v>#DIV/0!</v>
      </c>
      <c r="Y19" s="777"/>
      <c r="Z19" s="777"/>
      <c r="AA19" s="777"/>
      <c r="AB19" s="777"/>
    </row>
    <row r="20" spans="2:28" x14ac:dyDescent="0.2">
      <c r="B20" s="64">
        <f>'[1]פיצויים פטורים והוני'!B21</f>
        <v>7200</v>
      </c>
      <c r="C20" s="64">
        <f>'[1]פיצויים פטורים והוני'!C21</f>
        <v>7400</v>
      </c>
      <c r="D20" s="55">
        <f>'[1]חישובי מקורות א'!BU6+'[1]חישובי מקורות א'!CB6</f>
        <v>0</v>
      </c>
      <c r="E20" s="777"/>
      <c r="F20" s="777"/>
      <c r="G20" s="777"/>
      <c r="H20" s="777"/>
      <c r="I20" s="777"/>
      <c r="J20" s="777"/>
      <c r="K20" s="777"/>
      <c r="L20" s="777"/>
      <c r="M20" s="777" t="s">
        <v>586</v>
      </c>
      <c r="N20" s="331" t="e">
        <f>H11+G11-N19</f>
        <v>#DIV/0!</v>
      </c>
      <c r="O20" s="777"/>
      <c r="P20" s="777"/>
      <c r="Q20" s="777"/>
      <c r="R20" s="777"/>
      <c r="S20" s="777"/>
      <c r="T20" s="80"/>
      <c r="U20" s="80"/>
      <c r="V20" s="80"/>
      <c r="W20" s="80" t="s">
        <v>586</v>
      </c>
      <c r="X20" s="80" t="e">
        <f>R11+Q11-X19</f>
        <v>#DIV/0!</v>
      </c>
      <c r="Y20" s="777"/>
      <c r="Z20" s="777"/>
      <c r="AA20" s="777"/>
      <c r="AB20" s="777"/>
    </row>
    <row r="21" spans="2:28" x14ac:dyDescent="0.2">
      <c r="B21" s="778"/>
      <c r="C21" s="775"/>
      <c r="D21" s="777"/>
      <c r="E21" s="777"/>
      <c r="F21" s="777"/>
      <c r="G21" s="777"/>
      <c r="H21" s="777"/>
      <c r="I21" s="777"/>
      <c r="J21" s="777"/>
      <c r="K21" s="777"/>
      <c r="L21" s="777"/>
      <c r="M21" s="777"/>
      <c r="N21" s="777"/>
      <c r="O21" s="777"/>
      <c r="P21" s="777"/>
      <c r="Q21" s="777"/>
      <c r="R21" s="777"/>
      <c r="S21" s="777"/>
      <c r="T21" s="777"/>
      <c r="U21" s="777"/>
      <c r="V21" s="777"/>
      <c r="W21" s="777"/>
      <c r="X21" s="777"/>
      <c r="Y21" s="777"/>
      <c r="Z21" s="777"/>
      <c r="AA21" s="777"/>
      <c r="AB21" s="777"/>
    </row>
    <row r="22" spans="2:28" ht="33" x14ac:dyDescent="0.2">
      <c r="B22" s="1129" t="s">
        <v>657</v>
      </c>
      <c r="C22" s="1053"/>
      <c r="D22" s="347">
        <f>IF(H2=1,((D13-D18)/6)*5,D13-D18)</f>
        <v>0</v>
      </c>
      <c r="E22" s="777"/>
      <c r="F22" s="777"/>
      <c r="G22" s="1143" t="s">
        <v>658</v>
      </c>
      <c r="H22" s="1144"/>
      <c r="I22" s="1144"/>
      <c r="J22" s="1145"/>
      <c r="K22" s="777"/>
      <c r="L22" s="777"/>
      <c r="M22" s="777"/>
      <c r="N22" s="777"/>
      <c r="O22" s="777"/>
      <c r="P22" s="777"/>
      <c r="Q22" s="1146" t="s">
        <v>658</v>
      </c>
      <c r="R22" s="1146"/>
      <c r="S22" s="777"/>
      <c r="T22" s="777"/>
      <c r="U22" s="777"/>
      <c r="V22" s="777"/>
      <c r="W22" s="777"/>
      <c r="X22" s="777"/>
      <c r="Y22" s="777"/>
      <c r="Z22" s="777"/>
      <c r="AA22" s="777"/>
      <c r="AB22" s="777"/>
    </row>
    <row r="23" spans="2:28" x14ac:dyDescent="0.2">
      <c r="B23" s="1147" t="s">
        <v>659</v>
      </c>
      <c r="C23" s="1148"/>
      <c r="D23" s="348">
        <f>IF(H2=1,D16-1,D16)</f>
        <v>0</v>
      </c>
      <c r="E23" s="777"/>
      <c r="F23" s="777"/>
      <c r="G23" s="777"/>
      <c r="H23" s="777" t="s">
        <v>163</v>
      </c>
      <c r="I23" s="65">
        <v>67</v>
      </c>
      <c r="J23" s="1140" t="s">
        <v>433</v>
      </c>
      <c r="K23" s="1140"/>
      <c r="L23" s="65">
        <v>90</v>
      </c>
      <c r="M23" s="777" t="s">
        <v>231</v>
      </c>
      <c r="N23" s="82">
        <v>3</v>
      </c>
      <c r="O23" s="777"/>
      <c r="P23" s="777"/>
      <c r="Q23" s="777"/>
      <c r="R23" s="777" t="s">
        <v>163</v>
      </c>
      <c r="S23" s="65">
        <v>67</v>
      </c>
      <c r="T23" s="1140" t="s">
        <v>433</v>
      </c>
      <c r="U23" s="1140"/>
      <c r="V23" s="65">
        <v>90</v>
      </c>
      <c r="W23" s="777" t="s">
        <v>231</v>
      </c>
      <c r="X23" s="82">
        <v>3</v>
      </c>
      <c r="Y23" s="777"/>
      <c r="Z23" s="777"/>
      <c r="AA23" s="777"/>
      <c r="AB23" s="777"/>
    </row>
    <row r="24" spans="2:28" x14ac:dyDescent="0.2">
      <c r="B24" s="104"/>
      <c r="C24" s="104"/>
      <c r="D24" s="104"/>
      <c r="E24" s="777"/>
      <c r="F24" s="777"/>
      <c r="G24" s="777"/>
      <c r="H24" s="777"/>
      <c r="I24" s="777"/>
      <c r="J24" s="777"/>
      <c r="K24" s="777"/>
      <c r="L24" s="777"/>
      <c r="M24" s="777"/>
      <c r="N24" s="777"/>
      <c r="O24" s="777"/>
      <c r="P24" s="777"/>
      <c r="Q24" s="777"/>
      <c r="R24" s="777"/>
      <c r="S24" s="777"/>
      <c r="T24" s="777"/>
      <c r="U24" s="777"/>
      <c r="V24" s="777"/>
      <c r="W24" s="777"/>
      <c r="X24" s="777"/>
      <c r="Y24" s="777"/>
      <c r="Z24" s="777"/>
      <c r="AA24" s="777"/>
      <c r="AB24" s="777"/>
    </row>
    <row r="25" spans="2:28" x14ac:dyDescent="0.2">
      <c r="B25" s="104"/>
      <c r="C25" s="104"/>
      <c r="D25" s="104"/>
      <c r="E25" s="777"/>
      <c r="F25" s="777"/>
      <c r="G25" s="777"/>
      <c r="H25" s="777" t="s">
        <v>245</v>
      </c>
      <c r="I25" s="1141" t="e">
        <f>PV(N23/100/12,(L23-I23)*12,N20,,1)*(-1)</f>
        <v>#DIV/0!</v>
      </c>
      <c r="J25" s="1141"/>
      <c r="K25" s="777"/>
      <c r="L25" s="777"/>
      <c r="M25" s="777"/>
      <c r="N25" s="777"/>
      <c r="O25" s="777"/>
      <c r="P25" s="777"/>
      <c r="Q25" s="777"/>
      <c r="R25" s="777" t="s">
        <v>245</v>
      </c>
      <c r="S25" s="1141" t="e">
        <f>PV(X23/100,(V23-S23),X20,,1)*(-1)</f>
        <v>#DIV/0!</v>
      </c>
      <c r="T25" s="1141"/>
      <c r="U25" s="777"/>
      <c r="V25" s="777"/>
      <c r="W25" s="777"/>
      <c r="X25" s="777"/>
      <c r="Y25" s="777"/>
      <c r="Z25" s="777"/>
      <c r="AA25" s="777"/>
      <c r="AB25" s="777"/>
    </row>
    <row r="26" spans="2:28" x14ac:dyDescent="0.2">
      <c r="B26" s="104"/>
      <c r="C26" s="104"/>
      <c r="D26" s="104"/>
      <c r="E26" s="777"/>
      <c r="F26" s="777"/>
      <c r="G26" s="777"/>
      <c r="H26" s="777"/>
      <c r="I26" s="777"/>
      <c r="J26" s="777"/>
      <c r="K26" s="777"/>
      <c r="L26" s="777"/>
      <c r="M26" s="777"/>
      <c r="N26" s="777"/>
      <c r="O26" s="777"/>
      <c r="P26" s="777"/>
      <c r="Q26" s="777"/>
      <c r="R26" s="777"/>
      <c r="S26" s="777"/>
      <c r="T26" s="777"/>
      <c r="U26" s="777"/>
      <c r="V26" s="777"/>
      <c r="W26" s="777"/>
      <c r="X26" s="777"/>
      <c r="Y26" s="777"/>
      <c r="Z26" s="777"/>
      <c r="AA26" s="777"/>
      <c r="AB26" s="777"/>
    </row>
    <row r="27" spans="2:28" x14ac:dyDescent="0.2">
      <c r="B27" s="104"/>
      <c r="C27" s="104"/>
      <c r="D27" s="104"/>
      <c r="E27" s="777"/>
      <c r="F27" s="777"/>
      <c r="G27" s="1140" t="s">
        <v>660</v>
      </c>
      <c r="H27" s="1140"/>
      <c r="I27" s="1141">
        <f>PV(N23/100/12,(L23-I23)*12,I11,,1)*(-1)</f>
        <v>0</v>
      </c>
      <c r="J27" s="1141"/>
      <c r="K27" s="777"/>
      <c r="L27" s="777"/>
      <c r="M27" s="777"/>
      <c r="N27" s="777"/>
      <c r="O27" s="777"/>
      <c r="P27" s="777"/>
      <c r="Q27" s="1140" t="s">
        <v>660</v>
      </c>
      <c r="R27" s="1140"/>
      <c r="S27" s="1141">
        <f>PV(X23/100,(V23-S23),S11,,1)*(-1)</f>
        <v>0</v>
      </c>
      <c r="T27" s="1141"/>
      <c r="U27" s="777"/>
      <c r="V27" s="777"/>
      <c r="W27" s="777"/>
      <c r="X27" s="777"/>
      <c r="Y27" s="777"/>
      <c r="Z27" s="777"/>
      <c r="AA27" s="777"/>
      <c r="AB27" s="777"/>
    </row>
    <row r="28" spans="2:28" x14ac:dyDescent="0.2">
      <c r="B28" s="777"/>
      <c r="C28" s="777"/>
      <c r="D28" s="777"/>
      <c r="E28" s="777"/>
      <c r="F28" s="777"/>
      <c r="G28" s="777"/>
      <c r="H28" s="777"/>
      <c r="I28" s="777"/>
      <c r="J28" s="777"/>
      <c r="K28" s="777"/>
      <c r="L28" s="777"/>
      <c r="M28" s="777"/>
      <c r="N28" s="777"/>
      <c r="O28" s="777"/>
      <c r="P28" s="777"/>
      <c r="Q28" s="777"/>
      <c r="R28" s="777"/>
      <c r="S28" s="777"/>
      <c r="T28" s="777"/>
      <c r="U28" s="777"/>
      <c r="V28" s="777"/>
      <c r="W28" s="777"/>
      <c r="X28" s="777"/>
      <c r="Y28" s="777"/>
      <c r="Z28" s="777"/>
      <c r="AA28" s="777"/>
      <c r="AB28" s="777"/>
    </row>
    <row r="29" spans="2:28" x14ac:dyDescent="0.2">
      <c r="B29" s="777"/>
      <c r="C29" s="777"/>
      <c r="D29" s="777"/>
      <c r="E29" s="777"/>
      <c r="F29" s="777"/>
      <c r="G29" s="777" t="s">
        <v>943</v>
      </c>
      <c r="H29" s="777" t="s">
        <v>944</v>
      </c>
      <c r="I29" s="777"/>
      <c r="J29" s="777"/>
      <c r="K29" s="777"/>
      <c r="L29" s="777"/>
      <c r="M29" s="777"/>
      <c r="N29" s="777"/>
      <c r="O29" s="777"/>
      <c r="P29" s="777"/>
      <c r="Q29" s="777"/>
      <c r="R29" s="777"/>
      <c r="S29" s="777"/>
      <c r="T29" s="777"/>
      <c r="U29" s="777"/>
      <c r="V29" s="777"/>
      <c r="W29" s="777"/>
      <c r="X29" s="777"/>
      <c r="Y29" s="777"/>
      <c r="Z29" s="777"/>
      <c r="AA29" s="777"/>
      <c r="AB29" s="777"/>
    </row>
    <row r="30" spans="2:28" ht="20.25" customHeight="1" x14ac:dyDescent="0.2">
      <c r="B30" s="1129" t="s">
        <v>269</v>
      </c>
      <c r="C30" s="1053"/>
      <c r="D30" s="785">
        <f>D12</f>
        <v>0</v>
      </c>
      <c r="E30" s="80"/>
      <c r="F30" s="786" t="s">
        <v>945</v>
      </c>
      <c r="G30" s="787">
        <f>'[1]חישובי מקורות א'!BW6</f>
        <v>0</v>
      </c>
      <c r="H30" s="788">
        <f>'[1]חישובי מקורות א'!CD6</f>
        <v>0</v>
      </c>
      <c r="I30" s="789"/>
      <c r="J30" s="40"/>
      <c r="K30" s="40"/>
      <c r="L30" s="40"/>
      <c r="M30" s="40"/>
      <c r="N30" s="40"/>
      <c r="O30" s="777"/>
      <c r="P30" s="777"/>
      <c r="Q30" s="777"/>
      <c r="R30" s="777"/>
      <c r="S30" s="777"/>
      <c r="T30" s="777"/>
      <c r="U30" s="777"/>
      <c r="V30" s="777"/>
      <c r="W30" s="777"/>
      <c r="X30" s="777"/>
      <c r="Y30" s="777"/>
      <c r="Z30" s="777"/>
      <c r="AA30" s="777"/>
      <c r="AB30" s="777"/>
    </row>
    <row r="31" spans="2:28" ht="20.100000000000001" customHeight="1" x14ac:dyDescent="0.2">
      <c r="B31" s="1129" t="s">
        <v>661</v>
      </c>
      <c r="C31" s="1053"/>
      <c r="D31" s="785">
        <f>D18</f>
        <v>0</v>
      </c>
      <c r="E31" s="80"/>
      <c r="F31" s="40" t="s">
        <v>946</v>
      </c>
      <c r="G31" s="790">
        <f>'[1]חישובי מקורות א'!BJ6</f>
        <v>0</v>
      </c>
      <c r="H31" s="791">
        <f>'[1]חישובי מקורות א'!BP6</f>
        <v>0</v>
      </c>
      <c r="I31" s="792"/>
      <c r="J31" s="40"/>
      <c r="K31" s="40"/>
      <c r="L31" s="40"/>
      <c r="M31" s="40"/>
      <c r="N31" s="40"/>
      <c r="O31" s="777"/>
      <c r="P31" s="777"/>
      <c r="Q31" s="777"/>
      <c r="R31" s="777"/>
      <c r="S31" s="777"/>
      <c r="T31" s="777"/>
      <c r="U31" s="777"/>
      <c r="V31" s="777"/>
      <c r="W31" s="777"/>
      <c r="X31" s="777"/>
      <c r="Y31" s="777"/>
      <c r="Z31" s="777"/>
      <c r="AA31" s="777"/>
      <c r="AB31" s="777"/>
    </row>
    <row r="32" spans="2:28" ht="20.100000000000001" customHeight="1" thickBot="1" x14ac:dyDescent="0.25">
      <c r="B32" s="1129" t="s">
        <v>662</v>
      </c>
      <c r="C32" s="1053"/>
      <c r="D32" s="793">
        <f>D14</f>
        <v>0</v>
      </c>
      <c r="E32" s="80"/>
      <c r="F32" s="40"/>
      <c r="G32" s="790"/>
      <c r="H32" s="791"/>
      <c r="I32" s="792"/>
      <c r="J32" s="40"/>
      <c r="K32" s="40"/>
      <c r="L32" s="40"/>
      <c r="M32" s="40"/>
      <c r="N32" s="40"/>
      <c r="O32" s="777"/>
      <c r="P32" s="777"/>
      <c r="Q32" s="777"/>
      <c r="R32" s="777"/>
      <c r="S32" s="777"/>
      <c r="T32" s="777"/>
      <c r="U32" s="777"/>
      <c r="V32" s="777"/>
      <c r="W32" s="777"/>
      <c r="X32" s="777"/>
      <c r="Y32" s="777"/>
      <c r="Z32" s="777"/>
      <c r="AA32" s="777"/>
      <c r="AB32" s="777"/>
    </row>
    <row r="33" spans="2:38" ht="20.100000000000001" customHeight="1" x14ac:dyDescent="0.2">
      <c r="B33" s="1129" t="s">
        <v>663</v>
      </c>
      <c r="C33" s="1053"/>
      <c r="D33" s="794">
        <f>D30-D31-D32</f>
        <v>0</v>
      </c>
      <c r="E33" s="80"/>
      <c r="F33" s="40"/>
      <c r="G33" s="40"/>
      <c r="H33" s="40"/>
      <c r="I33" s="40"/>
      <c r="J33" s="40"/>
      <c r="K33" s="40"/>
      <c r="L33" s="40"/>
      <c r="M33" s="40"/>
      <c r="N33" s="40"/>
      <c r="O33" s="777"/>
      <c r="P33" s="777"/>
      <c r="Q33" s="777"/>
      <c r="R33" s="777"/>
      <c r="S33" s="777"/>
      <c r="T33" s="777"/>
      <c r="U33" s="777"/>
      <c r="V33" s="777"/>
      <c r="W33" s="777"/>
      <c r="X33" s="777"/>
      <c r="Y33" s="777"/>
      <c r="Z33" s="777"/>
      <c r="AA33" s="777"/>
      <c r="AB33" s="777"/>
    </row>
    <row r="34" spans="2:38" ht="30.75" customHeight="1" x14ac:dyDescent="0.2">
      <c r="B34" s="1129" t="s">
        <v>664</v>
      </c>
      <c r="C34" s="1053"/>
      <c r="D34" s="785" t="e">
        <f>IF(H2=1,((X19-X50)*D23)+(Q11*50/100),(X19-X50)*D23)</f>
        <v>#DIV/0!</v>
      </c>
      <c r="E34" s="80"/>
      <c r="F34" s="40"/>
      <c r="G34" s="40"/>
      <c r="H34" s="40"/>
      <c r="I34" s="40"/>
      <c r="J34" s="40"/>
      <c r="K34" s="40"/>
      <c r="L34" s="40"/>
      <c r="M34" s="40"/>
      <c r="N34" s="40"/>
      <c r="O34" s="777"/>
      <c r="P34" s="777"/>
      <c r="Q34" s="777"/>
      <c r="R34" s="777"/>
      <c r="S34" s="777"/>
      <c r="T34" s="777"/>
      <c r="U34" s="777"/>
      <c r="V34" s="777"/>
      <c r="W34" s="777"/>
      <c r="X34" s="777"/>
      <c r="Y34" s="777"/>
      <c r="Z34" s="777"/>
      <c r="AA34" s="777"/>
      <c r="AB34" s="777"/>
    </row>
    <row r="35" spans="2:38" ht="24.95" customHeight="1" x14ac:dyDescent="0.2">
      <c r="B35" s="1129" t="s">
        <v>625</v>
      </c>
      <c r="C35" s="1053"/>
      <c r="D35" s="349" t="e">
        <f>D30-D32-D34</f>
        <v>#DIV/0!</v>
      </c>
      <c r="E35" s="80" t="e">
        <f>D31+D33-D34</f>
        <v>#DIV/0!</v>
      </c>
      <c r="F35" s="40"/>
      <c r="G35" s="40"/>
      <c r="H35" s="40"/>
      <c r="I35" s="40"/>
      <c r="J35" s="40"/>
      <c r="K35" s="40"/>
      <c r="L35" s="40"/>
      <c r="M35" s="40"/>
      <c r="N35" s="40"/>
      <c r="O35" s="777"/>
      <c r="P35" s="777"/>
      <c r="Q35" s="777"/>
      <c r="R35" s="777"/>
      <c r="S35" s="777"/>
      <c r="T35" s="777"/>
      <c r="U35" s="777"/>
      <c r="V35" s="777"/>
      <c r="W35" s="777"/>
      <c r="X35" s="777"/>
      <c r="Y35" s="777"/>
      <c r="Z35" s="777"/>
      <c r="AA35" s="777"/>
      <c r="AB35" s="777"/>
    </row>
    <row r="36" spans="2:38" x14ac:dyDescent="0.2">
      <c r="B36" s="777"/>
      <c r="C36" s="777"/>
      <c r="D36" s="777"/>
      <c r="E36" s="777"/>
      <c r="F36" s="40"/>
      <c r="G36" s="40"/>
      <c r="H36" s="40"/>
      <c r="I36" s="40"/>
      <c r="J36" s="40"/>
      <c r="K36" s="40"/>
      <c r="L36" s="40"/>
      <c r="M36" s="40"/>
      <c r="N36" s="40"/>
      <c r="O36" s="777"/>
      <c r="P36" s="777"/>
      <c r="Q36" s="777"/>
      <c r="R36" s="777"/>
      <c r="S36" s="777"/>
      <c r="T36" s="777"/>
      <c r="U36" s="777"/>
      <c r="V36" s="777"/>
      <c r="W36" s="777"/>
      <c r="X36" s="777"/>
      <c r="Y36" s="777"/>
      <c r="Z36" s="777"/>
      <c r="AA36" s="777"/>
      <c r="AB36" s="777"/>
    </row>
    <row r="37" spans="2:38" x14ac:dyDescent="0.2">
      <c r="B37" s="777"/>
      <c r="C37" s="777"/>
      <c r="D37" s="777"/>
      <c r="E37" s="777"/>
      <c r="F37" s="777"/>
      <c r="G37" s="777"/>
      <c r="H37" s="777"/>
      <c r="I37" s="777"/>
      <c r="J37" s="777"/>
      <c r="K37" s="777"/>
      <c r="L37" s="777"/>
      <c r="M37" s="777"/>
      <c r="N37" s="777"/>
      <c r="O37" s="777"/>
      <c r="P37" s="777"/>
      <c r="Q37" s="777"/>
      <c r="R37" s="777"/>
      <c r="S37" s="777"/>
      <c r="T37" s="777"/>
      <c r="U37" s="777"/>
      <c r="V37" s="777"/>
      <c r="W37" s="777"/>
      <c r="X37" s="777"/>
      <c r="Y37" s="777"/>
      <c r="Z37" s="777"/>
      <c r="AA37" s="777"/>
      <c r="AB37" s="777"/>
      <c r="AC37" s="777"/>
      <c r="AD37" s="777"/>
      <c r="AE37" s="777"/>
      <c r="AF37" s="777"/>
      <c r="AG37" s="777"/>
      <c r="AH37" s="777"/>
      <c r="AI37" s="777"/>
      <c r="AJ37" s="777"/>
      <c r="AK37" s="777"/>
      <c r="AL37" s="777"/>
    </row>
    <row r="38" spans="2:38" ht="26.25" customHeight="1" x14ac:dyDescent="0.2">
      <c r="B38" s="1149" t="s">
        <v>947</v>
      </c>
      <c r="C38" s="1150"/>
      <c r="D38" s="1150"/>
      <c r="E38" s="1150"/>
      <c r="F38" s="1150"/>
      <c r="G38" s="1150"/>
      <c r="H38" s="1150"/>
      <c r="I38" s="1150"/>
      <c r="J38" s="1150"/>
      <c r="K38" s="1151"/>
      <c r="L38" s="777"/>
      <c r="M38" s="777"/>
      <c r="N38" s="777"/>
      <c r="O38" s="777"/>
      <c r="P38" s="777"/>
      <c r="Q38" s="777"/>
      <c r="R38" s="777"/>
      <c r="S38" s="777"/>
      <c r="T38" s="777"/>
      <c r="U38" s="777"/>
      <c r="V38" s="777"/>
      <c r="W38" s="777"/>
      <c r="X38" s="777"/>
      <c r="Y38" s="777"/>
      <c r="Z38" s="777"/>
      <c r="AA38" s="777"/>
      <c r="AB38" s="777"/>
      <c r="AC38" s="777"/>
      <c r="AD38" s="777"/>
      <c r="AE38" s="777"/>
      <c r="AF38" s="777"/>
      <c r="AG38" s="777"/>
      <c r="AH38" s="777"/>
      <c r="AI38" s="777"/>
      <c r="AJ38" s="777"/>
      <c r="AK38" s="777"/>
      <c r="AL38" s="777"/>
    </row>
    <row r="39" spans="2:38" ht="26.25" customHeight="1" x14ac:dyDescent="0.2">
      <c r="B39" s="777"/>
      <c r="C39" s="777"/>
      <c r="D39" s="777"/>
      <c r="E39" s="777"/>
      <c r="F39" s="777"/>
      <c r="G39" s="1134" t="s">
        <v>665</v>
      </c>
      <c r="H39" s="1135"/>
      <c r="I39" s="1135"/>
      <c r="J39" s="1135"/>
      <c r="K39" s="1136"/>
      <c r="L39" s="777"/>
      <c r="M39" s="777"/>
      <c r="N39" s="777"/>
      <c r="O39" s="777"/>
      <c r="P39" s="777"/>
      <c r="Q39" s="1152" t="s">
        <v>666</v>
      </c>
      <c r="R39" s="1153"/>
      <c r="S39" s="1153"/>
      <c r="T39" s="1153"/>
      <c r="U39" s="1154"/>
      <c r="V39" s="777"/>
      <c r="W39" s="777"/>
      <c r="X39" s="777"/>
      <c r="Y39" s="777"/>
      <c r="Z39" s="777"/>
      <c r="AA39" s="777"/>
      <c r="AB39" s="777"/>
      <c r="AC39" s="777"/>
      <c r="AD39" s="777"/>
      <c r="AE39" s="777"/>
      <c r="AF39" s="777"/>
      <c r="AG39" s="777"/>
      <c r="AH39" s="777"/>
      <c r="AI39" s="777"/>
      <c r="AJ39" s="777"/>
      <c r="AK39" s="777"/>
      <c r="AL39" s="777"/>
    </row>
    <row r="40" spans="2:38" ht="25.5" x14ac:dyDescent="0.2">
      <c r="B40" s="777"/>
      <c r="C40" s="777"/>
      <c r="D40" s="777"/>
      <c r="E40" s="777"/>
      <c r="F40" s="777"/>
      <c r="G40" s="777" t="s">
        <v>650</v>
      </c>
      <c r="H40" s="777" t="s">
        <v>636</v>
      </c>
      <c r="I40" s="330" t="s">
        <v>637</v>
      </c>
      <c r="J40" s="777" t="s">
        <v>638</v>
      </c>
      <c r="K40" s="777"/>
      <c r="L40" s="777"/>
      <c r="M40" s="777"/>
      <c r="N40" s="777"/>
      <c r="O40" s="777"/>
      <c r="P40" s="777"/>
      <c r="Q40" s="777" t="s">
        <v>651</v>
      </c>
      <c r="R40" s="777" t="s">
        <v>639</v>
      </c>
      <c r="S40" s="330" t="s">
        <v>640</v>
      </c>
      <c r="T40" s="777" t="s">
        <v>641</v>
      </c>
      <c r="U40" s="777"/>
      <c r="V40" s="777"/>
      <c r="W40" s="777"/>
      <c r="X40" s="777"/>
      <c r="Y40" s="777"/>
      <c r="Z40" s="777"/>
      <c r="AA40" s="777"/>
      <c r="AB40" s="777"/>
      <c r="AC40" s="777"/>
      <c r="AD40" s="777"/>
      <c r="AE40" s="777"/>
      <c r="AF40" s="777"/>
      <c r="AG40" s="777"/>
      <c r="AH40" s="777"/>
      <c r="AI40" s="777"/>
      <c r="AJ40" s="777"/>
      <c r="AK40" s="777"/>
      <c r="AL40" s="777"/>
    </row>
    <row r="41" spans="2:38" ht="12.75" customHeight="1" x14ac:dyDescent="0.2">
      <c r="B41" s="777"/>
      <c r="C41" s="777"/>
      <c r="D41" s="777"/>
      <c r="E41" s="777"/>
      <c r="F41" s="777"/>
      <c r="G41" s="350" t="s">
        <v>667</v>
      </c>
      <c r="H41" s="339">
        <f>H11</f>
        <v>0</v>
      </c>
      <c r="I41" s="339">
        <f>K5+D20</f>
        <v>0</v>
      </c>
      <c r="J41" s="351">
        <f>H41-I41</f>
        <v>0</v>
      </c>
      <c r="K41" s="331"/>
      <c r="L41" s="331"/>
      <c r="M41" s="331"/>
      <c r="N41" s="777"/>
      <c r="O41" s="777"/>
      <c r="P41" s="777"/>
      <c r="Q41" s="76" t="s">
        <v>667</v>
      </c>
      <c r="R41" s="339">
        <f>H41*12</f>
        <v>0</v>
      </c>
      <c r="S41" s="339">
        <f>I41*12</f>
        <v>0</v>
      </c>
      <c r="T41" s="339">
        <f>R41-S41</f>
        <v>0</v>
      </c>
      <c r="U41" s="331"/>
      <c r="V41" s="331"/>
      <c r="W41" s="331"/>
      <c r="X41" s="777"/>
      <c r="Y41" s="777"/>
      <c r="Z41" s="777"/>
      <c r="AA41" s="777"/>
      <c r="AB41" s="777"/>
      <c r="AC41" s="777"/>
      <c r="AD41" s="777"/>
      <c r="AE41" s="777"/>
      <c r="AF41" s="777"/>
      <c r="AG41" s="777"/>
      <c r="AH41" s="777"/>
      <c r="AI41" s="777"/>
      <c r="AJ41" s="777"/>
      <c r="AK41" s="777"/>
      <c r="AL41" s="777"/>
    </row>
    <row r="42" spans="2:38" x14ac:dyDescent="0.2">
      <c r="B42" s="777"/>
      <c r="C42" s="777"/>
      <c r="D42" s="777"/>
      <c r="E42" s="777"/>
      <c r="F42" s="777"/>
      <c r="G42" s="331"/>
      <c r="H42" s="331"/>
      <c r="I42" s="331"/>
      <c r="J42" s="331"/>
      <c r="K42" s="331"/>
      <c r="L42" s="331"/>
      <c r="M42" s="331"/>
      <c r="N42" s="777"/>
      <c r="O42" s="777"/>
      <c r="P42" s="777"/>
      <c r="Q42" s="331"/>
      <c r="R42" s="331"/>
      <c r="S42" s="331"/>
      <c r="T42" s="331"/>
      <c r="U42" s="331"/>
      <c r="V42" s="331"/>
      <c r="W42" s="331"/>
      <c r="X42" s="777"/>
      <c r="Y42" s="777"/>
      <c r="Z42" s="777"/>
      <c r="AA42" s="777"/>
      <c r="AB42" s="777"/>
      <c r="AC42" s="777"/>
      <c r="AD42" s="777"/>
      <c r="AE42" s="777"/>
      <c r="AF42" s="777"/>
      <c r="AG42" s="777"/>
      <c r="AH42" s="777"/>
      <c r="AI42" s="777"/>
      <c r="AJ42" s="777"/>
      <c r="AK42" s="777"/>
      <c r="AL42" s="777"/>
    </row>
    <row r="43" spans="2:38" ht="12.75" customHeight="1" x14ac:dyDescent="0.2">
      <c r="B43" s="777"/>
      <c r="C43" s="777"/>
      <c r="D43" s="777"/>
      <c r="E43" s="777"/>
      <c r="F43" s="777"/>
      <c r="G43" s="331" t="s">
        <v>631</v>
      </c>
      <c r="H43" s="331" t="s">
        <v>632</v>
      </c>
      <c r="I43" s="331" t="s">
        <v>542</v>
      </c>
      <c r="J43" s="331" t="s">
        <v>632</v>
      </c>
      <c r="K43" s="331" t="s">
        <v>633</v>
      </c>
      <c r="L43" s="331" t="s">
        <v>634</v>
      </c>
      <c r="M43" s="331"/>
      <c r="N43" s="777"/>
      <c r="O43" s="777"/>
      <c r="P43" s="777"/>
      <c r="Q43" s="331" t="s">
        <v>631</v>
      </c>
      <c r="R43" s="331" t="s">
        <v>632</v>
      </c>
      <c r="S43" s="331" t="s">
        <v>542</v>
      </c>
      <c r="T43" s="331" t="s">
        <v>632</v>
      </c>
      <c r="U43" s="331" t="s">
        <v>633</v>
      </c>
      <c r="V43" s="331" t="s">
        <v>634</v>
      </c>
      <c r="W43" s="331"/>
      <c r="X43" s="777"/>
      <c r="Y43" s="777"/>
      <c r="Z43" s="777"/>
      <c r="AA43" s="777"/>
      <c r="AB43" s="777"/>
      <c r="AC43" s="777"/>
      <c r="AD43" s="777"/>
      <c r="AE43" s="777"/>
      <c r="AF43" s="777"/>
      <c r="AG43" s="777"/>
      <c r="AH43" s="777"/>
      <c r="AI43" s="777"/>
      <c r="AJ43" s="777"/>
      <c r="AK43" s="777"/>
      <c r="AL43" s="777"/>
    </row>
    <row r="44" spans="2:38" x14ac:dyDescent="0.2">
      <c r="F44" s="777"/>
      <c r="G44" s="341">
        <f>H44</f>
        <v>5270</v>
      </c>
      <c r="H44" s="341">
        <f t="shared" ref="H44:I48" si="3">H13</f>
        <v>5270</v>
      </c>
      <c r="I44" s="342">
        <f t="shared" si="3"/>
        <v>0.1</v>
      </c>
      <c r="J44" s="80">
        <f>IF(J41&gt;G44,H44,J41)</f>
        <v>0</v>
      </c>
      <c r="K44" s="80">
        <f t="shared" ref="K44:K49" si="4">J44*I44</f>
        <v>0</v>
      </c>
      <c r="L44" s="80">
        <f>K44</f>
        <v>0</v>
      </c>
      <c r="M44" s="331"/>
      <c r="N44" s="777"/>
      <c r="O44" s="777"/>
      <c r="P44" s="777"/>
      <c r="Q44" s="341">
        <f>R44</f>
        <v>63240</v>
      </c>
      <c r="R44" s="341">
        <f>H44*12</f>
        <v>63240</v>
      </c>
      <c r="S44" s="342">
        <f t="shared" ref="S44:S49" si="5">I13</f>
        <v>0.1</v>
      </c>
      <c r="T44" s="80">
        <f>IF(T41&gt;Q44,R44,T41)</f>
        <v>0</v>
      </c>
      <c r="U44" s="80">
        <f t="shared" ref="U44:U49" si="6">T44*S44</f>
        <v>0</v>
      </c>
      <c r="V44" s="80">
        <f>U44</f>
        <v>0</v>
      </c>
      <c r="W44" s="80"/>
      <c r="X44" s="80"/>
    </row>
    <row r="45" spans="2:38" x14ac:dyDescent="0.2">
      <c r="F45" s="777"/>
      <c r="G45" s="341">
        <f>G44+H45</f>
        <v>9000</v>
      </c>
      <c r="H45" s="341">
        <f t="shared" si="3"/>
        <v>3730</v>
      </c>
      <c r="I45" s="342">
        <f t="shared" si="3"/>
        <v>0.14000000000000001</v>
      </c>
      <c r="J45" s="80">
        <f>IF(J41&gt;G45,H45,IF(J41&lt;G44,0,J41-G44))</f>
        <v>0</v>
      </c>
      <c r="K45" s="80">
        <f t="shared" si="4"/>
        <v>0</v>
      </c>
      <c r="L45" s="80">
        <f>L44+K45</f>
        <v>0</v>
      </c>
      <c r="M45" s="331"/>
      <c r="N45" s="777"/>
      <c r="O45" s="777"/>
      <c r="P45" s="777"/>
      <c r="Q45" s="341">
        <f>Q44+R45</f>
        <v>108000</v>
      </c>
      <c r="R45" s="341">
        <f>H45*12</f>
        <v>44760</v>
      </c>
      <c r="S45" s="342">
        <f t="shared" si="5"/>
        <v>0.14000000000000001</v>
      </c>
      <c r="T45" s="80">
        <f>IF(T41&gt;Q45,R45,IF(T41&lt;Q44,0,T41-Q44))</f>
        <v>0</v>
      </c>
      <c r="U45" s="80">
        <f t="shared" si="6"/>
        <v>0</v>
      </c>
      <c r="V45" s="80">
        <f>V44+U45</f>
        <v>0</v>
      </c>
      <c r="W45" s="80"/>
      <c r="X45" s="80"/>
    </row>
    <row r="46" spans="2:38" x14ac:dyDescent="0.2">
      <c r="F46" s="777"/>
      <c r="G46" s="341">
        <f>G45+H46</f>
        <v>13990</v>
      </c>
      <c r="H46" s="341">
        <f t="shared" si="3"/>
        <v>4990</v>
      </c>
      <c r="I46" s="342">
        <f t="shared" si="3"/>
        <v>0.21</v>
      </c>
      <c r="J46" s="80">
        <f>IF(J41&gt;G46,H46,IF(J41&lt;G45,0,J41-G45))</f>
        <v>0</v>
      </c>
      <c r="K46" s="80">
        <f t="shared" si="4"/>
        <v>0</v>
      </c>
      <c r="L46" s="80">
        <f>L45+K46</f>
        <v>0</v>
      </c>
      <c r="M46" s="331"/>
      <c r="N46" s="777"/>
      <c r="O46" s="777"/>
      <c r="P46" s="777"/>
      <c r="Q46" s="341">
        <f>Q45+R46</f>
        <v>167880</v>
      </c>
      <c r="R46" s="341">
        <f>H46*12</f>
        <v>59880</v>
      </c>
      <c r="S46" s="342">
        <f t="shared" si="5"/>
        <v>0.21</v>
      </c>
      <c r="T46" s="80">
        <f>IF(T41&gt;Q46,R46,IF(T41&lt;Q45,0,T41-Q45))</f>
        <v>0</v>
      </c>
      <c r="U46" s="80">
        <f t="shared" si="6"/>
        <v>0</v>
      </c>
      <c r="V46" s="80">
        <f>V45+U46</f>
        <v>0</v>
      </c>
      <c r="W46" s="80"/>
      <c r="X46" s="80"/>
    </row>
    <row r="47" spans="2:38" x14ac:dyDescent="0.2">
      <c r="F47" s="777"/>
      <c r="G47" s="341">
        <f>G46+H47</f>
        <v>19980</v>
      </c>
      <c r="H47" s="341">
        <f t="shared" si="3"/>
        <v>5990</v>
      </c>
      <c r="I47" s="342">
        <f t="shared" si="3"/>
        <v>0.31</v>
      </c>
      <c r="J47" s="80">
        <f>IF(J41&gt;G47,H47,IF(J41&lt;G46,0,J41-G46))</f>
        <v>0</v>
      </c>
      <c r="K47" s="80">
        <f t="shared" si="4"/>
        <v>0</v>
      </c>
      <c r="L47" s="80">
        <f>L46+K47</f>
        <v>0</v>
      </c>
      <c r="M47" s="331"/>
      <c r="N47" s="777"/>
      <c r="O47" s="777"/>
      <c r="P47" s="777"/>
      <c r="Q47" s="341">
        <f>Q46+R47</f>
        <v>239760</v>
      </c>
      <c r="R47" s="341">
        <f>H47*12</f>
        <v>71880</v>
      </c>
      <c r="S47" s="342">
        <f t="shared" si="5"/>
        <v>0.31</v>
      </c>
      <c r="T47" s="80">
        <f>IF(T41&gt;Q47,R47,IF(T41&lt;Q46,0,T41-Q46))</f>
        <v>0</v>
      </c>
      <c r="U47" s="80">
        <f t="shared" si="6"/>
        <v>0</v>
      </c>
      <c r="V47" s="80">
        <f>V46+U47</f>
        <v>0</v>
      </c>
      <c r="W47" s="80"/>
      <c r="X47" s="80"/>
    </row>
    <row r="48" spans="2:38" x14ac:dyDescent="0.2">
      <c r="F48" s="777"/>
      <c r="G48" s="341">
        <f>G47+H48</f>
        <v>41790</v>
      </c>
      <c r="H48" s="341">
        <f t="shared" si="3"/>
        <v>21810</v>
      </c>
      <c r="I48" s="342">
        <f t="shared" si="3"/>
        <v>0.34</v>
      </c>
      <c r="J48" s="80">
        <f>IF(J41&gt;G48,H48,IF(J41&lt;G47,0,J41-G47))</f>
        <v>0</v>
      </c>
      <c r="K48" s="80">
        <f t="shared" si="4"/>
        <v>0</v>
      </c>
      <c r="L48" s="80">
        <f>L47+K48</f>
        <v>0</v>
      </c>
      <c r="M48" s="331"/>
      <c r="N48" s="777"/>
      <c r="O48" s="777"/>
      <c r="P48" s="777"/>
      <c r="Q48" s="341">
        <f>Q47+R48</f>
        <v>501480</v>
      </c>
      <c r="R48" s="341">
        <f>H48*12</f>
        <v>261720</v>
      </c>
      <c r="S48" s="342">
        <f t="shared" si="5"/>
        <v>0.34</v>
      </c>
      <c r="T48" s="80">
        <f>IF(T41&gt;Q48,R48,IF(T41&lt;Q47,0,T41-Q47))</f>
        <v>0</v>
      </c>
      <c r="U48" s="80">
        <f t="shared" si="6"/>
        <v>0</v>
      </c>
      <c r="V48" s="80">
        <f>V47+U48</f>
        <v>0</v>
      </c>
      <c r="W48" s="80"/>
      <c r="X48" s="80"/>
    </row>
    <row r="49" spans="4:24" x14ac:dyDescent="0.2">
      <c r="F49" s="777"/>
      <c r="G49" s="341">
        <v>99999999</v>
      </c>
      <c r="H49" s="341">
        <f>IF(J41-G48&gt;=0,J41-G48,0)</f>
        <v>0</v>
      </c>
      <c r="I49" s="342">
        <f>I18</f>
        <v>0.48</v>
      </c>
      <c r="J49" s="80">
        <f>IF(J41&gt;G49,H49,IF(J41&lt;G48,0,J41-G48))</f>
        <v>0</v>
      </c>
      <c r="K49" s="80">
        <f t="shared" si="4"/>
        <v>0</v>
      </c>
      <c r="L49" s="80">
        <f>L48+K49</f>
        <v>0</v>
      </c>
      <c r="M49" s="331"/>
      <c r="N49" s="777"/>
      <c r="O49" s="777"/>
      <c r="P49" s="777"/>
      <c r="Q49" s="341">
        <v>99999999</v>
      </c>
      <c r="R49" s="341">
        <f>IF(T41-Q48&gt;=0,T41-Q48,0)</f>
        <v>0</v>
      </c>
      <c r="S49" s="342">
        <f t="shared" si="5"/>
        <v>0.48</v>
      </c>
      <c r="T49" s="80">
        <f>IF(T41&gt;Q49,R49,IF(T41&lt;Q48,0,T41-Q48))</f>
        <v>0</v>
      </c>
      <c r="U49" s="80">
        <f t="shared" si="6"/>
        <v>0</v>
      </c>
      <c r="V49" s="80">
        <f>V48+U49</f>
        <v>0</v>
      </c>
      <c r="W49" s="80"/>
      <c r="X49" s="80"/>
    </row>
    <row r="50" spans="4:24" ht="25.5" x14ac:dyDescent="0.2">
      <c r="D50" s="352"/>
      <c r="E50" s="352"/>
      <c r="F50" s="80"/>
      <c r="G50" s="80"/>
      <c r="H50" s="80"/>
      <c r="I50" s="80"/>
      <c r="J50" s="80"/>
      <c r="K50" s="80"/>
      <c r="L50" s="80"/>
      <c r="M50" s="80" t="s">
        <v>635</v>
      </c>
      <c r="N50" s="80">
        <f>IF(L49-'[1]נתוני יסוד'!L2&gt;=0,L49-'[1]נתוני יסוד'!L2,0)</f>
        <v>0</v>
      </c>
      <c r="O50" s="777"/>
      <c r="P50" s="777"/>
      <c r="Q50" s="331"/>
      <c r="R50" s="331"/>
      <c r="S50" s="331"/>
      <c r="T50" s="80"/>
      <c r="U50" s="80"/>
      <c r="V50" s="80"/>
      <c r="W50" s="80" t="s">
        <v>635</v>
      </c>
      <c r="X50" s="80">
        <f>IF(V49-'[1]נתוני יסוד'!L1&gt;=0,V49-'[1]נתוני יסוד'!L1,0)</f>
        <v>0</v>
      </c>
    </row>
    <row r="51" spans="4:24" ht="27" customHeight="1" x14ac:dyDescent="0.2">
      <c r="D51" s="795" t="s">
        <v>638</v>
      </c>
      <c r="E51" s="795">
        <f>J41</f>
        <v>0</v>
      </c>
      <c r="F51" s="353" t="s">
        <v>948</v>
      </c>
      <c r="G51" s="353">
        <f>N50</f>
        <v>0</v>
      </c>
      <c r="H51" s="86" t="s">
        <v>949</v>
      </c>
      <c r="I51" s="796">
        <f>E51-G51</f>
        <v>0</v>
      </c>
      <c r="J51" s="797" t="s">
        <v>950</v>
      </c>
      <c r="K51" s="798">
        <f>I41</f>
        <v>0</v>
      </c>
      <c r="L51" s="799" t="s">
        <v>951</v>
      </c>
      <c r="M51" s="799" t="s">
        <v>586</v>
      </c>
      <c r="N51" s="349">
        <f>H41-N50</f>
        <v>0</v>
      </c>
      <c r="O51" s="777"/>
      <c r="P51" s="777"/>
      <c r="Q51" s="777"/>
      <c r="R51" s="777"/>
      <c r="S51" s="777"/>
      <c r="T51" s="80"/>
      <c r="U51" s="80"/>
      <c r="V51" s="80"/>
      <c r="W51" s="80" t="s">
        <v>586</v>
      </c>
      <c r="X51" s="80">
        <f>R41-X50</f>
        <v>0</v>
      </c>
    </row>
    <row r="52" spans="4:24" x14ac:dyDescent="0.2">
      <c r="F52" s="777"/>
      <c r="G52" s="777"/>
      <c r="H52" s="777"/>
      <c r="I52" s="777"/>
      <c r="J52" s="777"/>
      <c r="K52" s="777"/>
      <c r="L52" s="777"/>
      <c r="M52" s="777"/>
      <c r="N52" s="777"/>
      <c r="O52" s="777"/>
      <c r="P52" s="777"/>
      <c r="Q52" s="777"/>
      <c r="R52" s="777"/>
      <c r="S52" s="777"/>
      <c r="T52" s="777"/>
      <c r="U52" s="777"/>
      <c r="V52" s="777"/>
      <c r="W52" s="777"/>
      <c r="X52" s="777"/>
    </row>
    <row r="53" spans="4:24" ht="33" x14ac:dyDescent="0.2">
      <c r="F53" s="777"/>
      <c r="G53" s="1143" t="s">
        <v>658</v>
      </c>
      <c r="H53" s="1144"/>
      <c r="I53" s="1144"/>
      <c r="J53" s="1145"/>
      <c r="K53" s="777"/>
      <c r="L53" s="777"/>
      <c r="M53" s="777"/>
      <c r="N53" s="777"/>
      <c r="O53" s="777"/>
      <c r="P53" s="777"/>
      <c r="Q53" s="1146" t="s">
        <v>658</v>
      </c>
      <c r="R53" s="1146"/>
      <c r="S53" s="777"/>
      <c r="T53" s="777"/>
      <c r="U53" s="777"/>
      <c r="V53" s="777"/>
      <c r="W53" s="777"/>
      <c r="X53" s="777"/>
    </row>
    <row r="54" spans="4:24" x14ac:dyDescent="0.2">
      <c r="F54" s="777"/>
      <c r="G54" s="777"/>
      <c r="H54" s="777" t="s">
        <v>163</v>
      </c>
      <c r="I54" s="65">
        <v>67</v>
      </c>
      <c r="J54" s="1140" t="s">
        <v>433</v>
      </c>
      <c r="K54" s="1140"/>
      <c r="L54" s="65">
        <v>90</v>
      </c>
      <c r="M54" s="777" t="s">
        <v>231</v>
      </c>
      <c r="N54" s="82">
        <v>3</v>
      </c>
      <c r="O54" s="777"/>
      <c r="P54" s="777"/>
      <c r="Q54" s="777"/>
      <c r="R54" s="777" t="s">
        <v>163</v>
      </c>
      <c r="S54" s="65">
        <v>67</v>
      </c>
      <c r="T54" s="1140" t="s">
        <v>433</v>
      </c>
      <c r="U54" s="1140"/>
      <c r="V54" s="65">
        <v>90</v>
      </c>
      <c r="W54" s="777" t="s">
        <v>231</v>
      </c>
      <c r="X54" s="82">
        <v>3</v>
      </c>
    </row>
    <row r="55" spans="4:24" x14ac:dyDescent="0.2">
      <c r="F55" s="777"/>
      <c r="G55" s="777"/>
      <c r="H55" s="777"/>
      <c r="I55" s="777"/>
      <c r="J55" s="777"/>
      <c r="K55" s="777"/>
      <c r="L55" s="777"/>
      <c r="M55" s="777"/>
      <c r="N55" s="777"/>
      <c r="O55" s="777"/>
      <c r="P55" s="777"/>
      <c r="Q55" s="777"/>
      <c r="R55" s="777"/>
      <c r="S55" s="777"/>
      <c r="T55" s="777"/>
      <c r="U55" s="777"/>
      <c r="V55" s="777"/>
      <c r="W55" s="777"/>
      <c r="X55" s="777"/>
    </row>
    <row r="56" spans="4:24" x14ac:dyDescent="0.2">
      <c r="F56" s="777"/>
      <c r="G56" s="777"/>
      <c r="H56" s="777" t="s">
        <v>245</v>
      </c>
      <c r="I56" s="1141">
        <f>PV(N54/100/12,(L54-I54)*12,N51,,1)*(-1)</f>
        <v>0</v>
      </c>
      <c r="J56" s="1141"/>
      <c r="K56" s="777"/>
      <c r="L56" s="777"/>
      <c r="M56" s="777"/>
      <c r="N56" s="777"/>
      <c r="O56" s="777"/>
      <c r="P56" s="777"/>
      <c r="Q56" s="777"/>
      <c r="R56" s="777" t="s">
        <v>245</v>
      </c>
      <c r="S56" s="1141">
        <f>PV(X54/100,(V54-S54),X51,,1)*(-1)</f>
        <v>0</v>
      </c>
      <c r="T56" s="1141"/>
      <c r="U56" s="777"/>
      <c r="V56" s="777"/>
      <c r="W56" s="777"/>
      <c r="X56" s="777"/>
    </row>
    <row r="57" spans="4:24" x14ac:dyDescent="0.2">
      <c r="F57" s="777"/>
      <c r="G57" s="777"/>
      <c r="H57" s="777"/>
      <c r="I57" s="777"/>
      <c r="J57" s="777"/>
      <c r="K57" s="777"/>
      <c r="L57" s="777"/>
      <c r="M57" s="777"/>
      <c r="N57" s="777"/>
      <c r="O57" s="777"/>
      <c r="P57" s="777"/>
      <c r="Q57" s="777"/>
      <c r="R57" s="777"/>
      <c r="S57" s="777"/>
      <c r="T57" s="777"/>
      <c r="U57" s="777"/>
      <c r="V57" s="777"/>
      <c r="W57" s="777"/>
      <c r="X57" s="777"/>
    </row>
    <row r="58" spans="4:24" x14ac:dyDescent="0.2">
      <c r="F58" s="777"/>
      <c r="G58" s="1140" t="s">
        <v>660</v>
      </c>
      <c r="H58" s="1140"/>
      <c r="I58" s="1141">
        <f>PV(N54/100/12,(L54-I54)*12,I41,,1)*(-1)</f>
        <v>0</v>
      </c>
      <c r="J58" s="1141"/>
      <c r="K58" s="777"/>
      <c r="L58" s="777"/>
      <c r="M58" s="777"/>
      <c r="N58" s="777"/>
      <c r="O58" s="777"/>
      <c r="P58" s="777"/>
      <c r="Q58" s="1140" t="s">
        <v>660</v>
      </c>
      <c r="R58" s="1140"/>
      <c r="S58" s="1141">
        <f>PV(X54/100,(V54-S54),S41,,1)*(-1)</f>
        <v>0</v>
      </c>
      <c r="T58" s="1141"/>
      <c r="U58" s="777"/>
      <c r="V58" s="777"/>
      <c r="W58" s="777"/>
      <c r="X58" s="777"/>
    </row>
    <row r="59" spans="4:24" x14ac:dyDescent="0.2">
      <c r="F59" s="777"/>
      <c r="G59" s="777"/>
      <c r="H59" s="777"/>
      <c r="I59" s="777"/>
      <c r="J59" s="777"/>
      <c r="K59" s="777"/>
      <c r="L59" s="777"/>
      <c r="M59" s="777"/>
      <c r="N59" s="777"/>
      <c r="O59" s="777"/>
      <c r="P59" s="777"/>
      <c r="Q59" s="777"/>
      <c r="R59" s="777"/>
      <c r="S59" s="777"/>
      <c r="T59" s="777"/>
      <c r="U59" s="777"/>
      <c r="V59" s="777"/>
      <c r="W59" s="777"/>
      <c r="X59" s="777"/>
    </row>
    <row r="60" spans="4:24" x14ac:dyDescent="0.2">
      <c r="F60" s="777"/>
      <c r="G60" s="777"/>
      <c r="H60" s="777"/>
      <c r="I60" s="777"/>
      <c r="J60" s="777"/>
      <c r="K60" s="777"/>
      <c r="L60" s="777"/>
      <c r="M60" s="777"/>
      <c r="N60" s="777"/>
      <c r="O60" s="777"/>
      <c r="P60" s="777"/>
      <c r="Q60" s="777"/>
      <c r="R60" s="777"/>
      <c r="S60" s="777"/>
      <c r="T60" s="777"/>
      <c r="U60" s="777"/>
      <c r="V60" s="777"/>
      <c r="W60" s="777"/>
      <c r="X60" s="777"/>
    </row>
  </sheetData>
  <sheetProtection password="83F6" sheet="1" objects="1" scenarios="1"/>
  <mergeCells count="48">
    <mergeCell ref="B38:K38"/>
    <mergeCell ref="G58:H58"/>
    <mergeCell ref="I58:J58"/>
    <mergeCell ref="Q58:R58"/>
    <mergeCell ref="S58:T58"/>
    <mergeCell ref="Q39:U39"/>
    <mergeCell ref="G53:J53"/>
    <mergeCell ref="Q53:R53"/>
    <mergeCell ref="J54:K54"/>
    <mergeCell ref="T54:U54"/>
    <mergeCell ref="I56:J56"/>
    <mergeCell ref="S56:T56"/>
    <mergeCell ref="G39:K39"/>
    <mergeCell ref="B32:C32"/>
    <mergeCell ref="B33:C33"/>
    <mergeCell ref="B34:C34"/>
    <mergeCell ref="B31:C31"/>
    <mergeCell ref="B35:C35"/>
    <mergeCell ref="G27:H27"/>
    <mergeCell ref="I27:J27"/>
    <mergeCell ref="Q27:R27"/>
    <mergeCell ref="S27:T27"/>
    <mergeCell ref="B30:C30"/>
    <mergeCell ref="T23:U23"/>
    <mergeCell ref="I25:J25"/>
    <mergeCell ref="S25:T25"/>
    <mergeCell ref="A13:C13"/>
    <mergeCell ref="A14:C14"/>
    <mergeCell ref="B15:C15"/>
    <mergeCell ref="B16:C16"/>
    <mergeCell ref="B18:C18"/>
    <mergeCell ref="B22:C22"/>
    <mergeCell ref="G22:J22"/>
    <mergeCell ref="Q22:R22"/>
    <mergeCell ref="B23:C23"/>
    <mergeCell ref="J23:K23"/>
    <mergeCell ref="Q8:S8"/>
    <mergeCell ref="G9:K9"/>
    <mergeCell ref="Q9:U9"/>
    <mergeCell ref="A10:C10"/>
    <mergeCell ref="A11:C11"/>
    <mergeCell ref="A12:C12"/>
    <mergeCell ref="E2:G2"/>
    <mergeCell ref="O4:P4"/>
    <mergeCell ref="B5:C5"/>
    <mergeCell ref="B6:C6"/>
    <mergeCell ref="F6:G6"/>
    <mergeCell ref="B8:K8"/>
  </mergeCells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82">
    <tabColor indexed="45"/>
  </sheetPr>
  <dimension ref="A1:X59"/>
  <sheetViews>
    <sheetView rightToLeft="1" workbookViewId="0">
      <selection activeCell="AL8" sqref="AL8"/>
    </sheetView>
  </sheetViews>
  <sheetFormatPr defaultRowHeight="15" x14ac:dyDescent="0.2"/>
  <cols>
    <col min="1" max="1" width="45.28515625" style="801" customWidth="1"/>
    <col min="2" max="2" width="22.85546875" style="801" customWidth="1"/>
    <col min="3" max="3" width="16.85546875" style="801" customWidth="1"/>
    <col min="4" max="4" width="17.85546875" style="801" customWidth="1"/>
    <col min="5" max="5" width="13.28515625" style="801" customWidth="1"/>
    <col min="6" max="6" width="13.85546875" style="801" customWidth="1"/>
    <col min="7" max="7" width="19.85546875" style="801" customWidth="1"/>
    <col min="8" max="8" width="13.7109375" style="801" customWidth="1"/>
    <col min="9" max="9" width="25.28515625" style="801" customWidth="1"/>
    <col min="10" max="10" width="22.28515625" style="801" customWidth="1"/>
    <col min="11" max="11" width="9.140625" style="801"/>
    <col min="12" max="12" width="16.5703125" style="801" customWidth="1"/>
    <col min="13" max="20" width="17.28515625" style="801" customWidth="1"/>
    <col min="21" max="16384" width="9.140625" style="801"/>
  </cols>
  <sheetData>
    <row r="1" spans="1:11" ht="45.75" customHeight="1" x14ac:dyDescent="0.2">
      <c r="C1" s="1155" t="s">
        <v>952</v>
      </c>
      <c r="D1" s="1156"/>
      <c r="E1" s="1156"/>
      <c r="F1" s="1156"/>
      <c r="G1" s="1156"/>
      <c r="H1" s="1156"/>
    </row>
    <row r="2" spans="1:11" ht="14.1" customHeight="1" thickBot="1" x14ac:dyDescent="0.25">
      <c r="A2" s="802" t="s">
        <v>938</v>
      </c>
      <c r="B2" s="803">
        <v>0</v>
      </c>
    </row>
    <row r="3" spans="1:11" ht="16.5" thickTop="1" thickBot="1" x14ac:dyDescent="0.25">
      <c r="A3" s="802" t="s">
        <v>447</v>
      </c>
      <c r="B3" s="803">
        <v>0</v>
      </c>
      <c r="I3" s="804" t="s">
        <v>625</v>
      </c>
      <c r="J3" s="805">
        <f>B31</f>
        <v>0</v>
      </c>
    </row>
    <row r="4" spans="1:11" ht="15.75" thickBot="1" x14ac:dyDescent="0.25">
      <c r="A4" s="806" t="s">
        <v>582</v>
      </c>
      <c r="B4" s="807">
        <v>0</v>
      </c>
      <c r="D4" s="808" t="s">
        <v>953</v>
      </c>
      <c r="E4" s="809">
        <f>SUM(B2:B6)</f>
        <v>0</v>
      </c>
      <c r="I4" s="810" t="s">
        <v>954</v>
      </c>
      <c r="J4" s="811">
        <f>B28</f>
        <v>0</v>
      </c>
    </row>
    <row r="5" spans="1:11" ht="24.75" customHeight="1" x14ac:dyDescent="0.2">
      <c r="A5" s="812" t="s">
        <v>450</v>
      </c>
      <c r="B5" s="803">
        <v>0</v>
      </c>
      <c r="I5" s="810" t="s">
        <v>955</v>
      </c>
      <c r="J5" s="813"/>
    </row>
    <row r="6" spans="1:11" ht="24" customHeight="1" x14ac:dyDescent="0.2">
      <c r="A6" s="802" t="s">
        <v>462</v>
      </c>
      <c r="B6" s="814">
        <v>0</v>
      </c>
      <c r="I6" s="810" t="s">
        <v>956</v>
      </c>
      <c r="J6" s="811">
        <f>SUM(J3:J5)</f>
        <v>0</v>
      </c>
    </row>
    <row r="7" spans="1:11" x14ac:dyDescent="0.2">
      <c r="A7" s="812" t="s">
        <v>452</v>
      </c>
      <c r="B7" s="803">
        <v>0</v>
      </c>
      <c r="C7" s="815"/>
      <c r="D7" s="815"/>
      <c r="I7" s="810"/>
      <c r="J7" s="816"/>
      <c r="K7" s="817"/>
    </row>
    <row r="8" spans="1:11" x14ac:dyDescent="0.2">
      <c r="A8" s="812" t="s">
        <v>583</v>
      </c>
      <c r="B8" s="803">
        <v>0</v>
      </c>
      <c r="C8" s="818"/>
      <c r="D8" s="815"/>
      <c r="I8" s="810" t="s">
        <v>668</v>
      </c>
      <c r="J8" s="819">
        <f>J26</f>
        <v>0</v>
      </c>
    </row>
    <row r="9" spans="1:11" x14ac:dyDescent="0.2">
      <c r="C9" s="815"/>
      <c r="D9" s="815"/>
      <c r="I9" s="810"/>
      <c r="J9" s="816"/>
    </row>
    <row r="10" spans="1:11" x14ac:dyDescent="0.2">
      <c r="I10" s="810" t="s">
        <v>957</v>
      </c>
      <c r="J10" s="816"/>
    </row>
    <row r="11" spans="1:11" x14ac:dyDescent="0.2">
      <c r="A11" s="802" t="s">
        <v>459</v>
      </c>
      <c r="B11" s="814">
        <v>0</v>
      </c>
      <c r="I11" s="810"/>
      <c r="J11" s="816"/>
    </row>
    <row r="12" spans="1:11" ht="15.75" thickBot="1" x14ac:dyDescent="0.25">
      <c r="A12" s="802" t="s">
        <v>267</v>
      </c>
      <c r="B12" s="814">
        <v>0</v>
      </c>
      <c r="I12" s="820"/>
      <c r="J12" s="821"/>
    </row>
    <row r="13" spans="1:11" ht="15.75" thickTop="1" x14ac:dyDescent="0.2">
      <c r="A13" s="806" t="s">
        <v>958</v>
      </c>
      <c r="B13" s="807">
        <f>B11-B12</f>
        <v>0</v>
      </c>
    </row>
    <row r="14" spans="1:11" ht="18.95" customHeight="1" x14ac:dyDescent="0.2"/>
    <row r="15" spans="1:11" ht="33" customHeight="1" x14ac:dyDescent="0.2">
      <c r="C15" s="822" t="s">
        <v>959</v>
      </c>
      <c r="D15" s="801" t="s">
        <v>382</v>
      </c>
      <c r="E15" s="823" t="s">
        <v>637</v>
      </c>
      <c r="F15" s="822" t="s">
        <v>638</v>
      </c>
      <c r="G15" s="822"/>
      <c r="H15" s="822"/>
      <c r="I15" s="822"/>
      <c r="J15" s="822"/>
    </row>
    <row r="16" spans="1:11" ht="18.95" customHeight="1" x14ac:dyDescent="0.2">
      <c r="C16" s="824">
        <f>SUM(B2:B8)</f>
        <v>0</v>
      </c>
      <c r="D16" s="825">
        <v>0</v>
      </c>
      <c r="E16" s="824">
        <f>B7</f>
        <v>0</v>
      </c>
      <c r="F16" s="826">
        <f>IF(C16-D16-E16&lt;=0,0,C16-D16-E16)</f>
        <v>0</v>
      </c>
      <c r="G16" s="827"/>
      <c r="H16" s="827"/>
      <c r="I16" s="827"/>
      <c r="J16" s="822"/>
    </row>
    <row r="17" spans="1:10" ht="18.95" customHeight="1" x14ac:dyDescent="0.2">
      <c r="C17" s="827"/>
      <c r="D17" s="827"/>
      <c r="E17" s="827"/>
      <c r="F17" s="827"/>
      <c r="G17" s="827"/>
      <c r="H17" s="827"/>
      <c r="I17" s="827"/>
      <c r="J17" s="822"/>
    </row>
    <row r="18" spans="1:10" ht="29.25" customHeight="1" x14ac:dyDescent="0.2">
      <c r="C18" s="827" t="s">
        <v>631</v>
      </c>
      <c r="D18" s="827" t="s">
        <v>632</v>
      </c>
      <c r="E18" s="827" t="s">
        <v>542</v>
      </c>
      <c r="F18" s="827" t="s">
        <v>632</v>
      </c>
      <c r="G18" s="827" t="s">
        <v>633</v>
      </c>
      <c r="H18" s="827" t="s">
        <v>634</v>
      </c>
      <c r="I18" s="827"/>
      <c r="J18" s="822"/>
    </row>
    <row r="19" spans="1:10" ht="18.95" customHeight="1" x14ac:dyDescent="0.2">
      <c r="C19" s="828">
        <f>D19</f>
        <v>5270</v>
      </c>
      <c r="D19" s="828">
        <v>5270</v>
      </c>
      <c r="E19" s="829">
        <v>0.1</v>
      </c>
      <c r="F19" s="827">
        <f>IF(F16&gt;C19,D19,F16)</f>
        <v>0</v>
      </c>
      <c r="G19" s="827">
        <f t="shared" ref="G19:G24" si="0">F19*E19</f>
        <v>0</v>
      </c>
      <c r="H19" s="827">
        <f>G19</f>
        <v>0</v>
      </c>
      <c r="I19" s="827"/>
      <c r="J19" s="822"/>
    </row>
    <row r="20" spans="1:10" ht="18.95" customHeight="1" x14ac:dyDescent="0.2">
      <c r="C20" s="828">
        <f>C19+D20</f>
        <v>9000</v>
      </c>
      <c r="D20" s="828">
        <v>3730</v>
      </c>
      <c r="E20" s="829">
        <v>0.14000000000000001</v>
      </c>
      <c r="F20" s="827">
        <f>IF(F16&gt;C20,D20,IF(F16&lt;C19,0,F16-C19))</f>
        <v>0</v>
      </c>
      <c r="G20" s="827">
        <f t="shared" si="0"/>
        <v>0</v>
      </c>
      <c r="H20" s="827">
        <f>H19+G20</f>
        <v>0</v>
      </c>
      <c r="I20" s="827"/>
      <c r="J20" s="822"/>
    </row>
    <row r="21" spans="1:10" ht="18.95" customHeight="1" x14ac:dyDescent="0.2">
      <c r="C21" s="828">
        <f>C20+D21</f>
        <v>13990</v>
      </c>
      <c r="D21" s="828">
        <v>4990</v>
      </c>
      <c r="E21" s="829">
        <v>0.21</v>
      </c>
      <c r="F21" s="827">
        <f>IF(F16&gt;C21,D21,IF(F16&lt;C20,0,F16-C20))</f>
        <v>0</v>
      </c>
      <c r="G21" s="827">
        <f t="shared" si="0"/>
        <v>0</v>
      </c>
      <c r="H21" s="827">
        <f>H20+G21</f>
        <v>0</v>
      </c>
      <c r="I21" s="827"/>
      <c r="J21" s="822"/>
    </row>
    <row r="22" spans="1:10" ht="18.95" customHeight="1" x14ac:dyDescent="0.2">
      <c r="C22" s="828">
        <f>C21+D22</f>
        <v>19980</v>
      </c>
      <c r="D22" s="828">
        <v>5990</v>
      </c>
      <c r="E22" s="829">
        <v>0.31</v>
      </c>
      <c r="F22" s="827">
        <f>IF(F17&gt;C22,D22,IF(F17&lt;C21,0,F17-C21))</f>
        <v>0</v>
      </c>
      <c r="G22" s="827">
        <f t="shared" si="0"/>
        <v>0</v>
      </c>
      <c r="H22" s="827">
        <f>H21+G22</f>
        <v>0</v>
      </c>
      <c r="I22" s="827"/>
      <c r="J22" s="822"/>
    </row>
    <row r="23" spans="1:10" ht="18.95" customHeight="1" x14ac:dyDescent="0.2">
      <c r="C23" s="828">
        <f>C22+D23</f>
        <v>41790</v>
      </c>
      <c r="D23" s="828">
        <v>21810</v>
      </c>
      <c r="E23" s="829">
        <v>0.34</v>
      </c>
      <c r="F23" s="827">
        <f>IF(F16&gt;C23,D23,IF(F16&lt;C21,0,F16-C21))</f>
        <v>0</v>
      </c>
      <c r="G23" s="827">
        <f t="shared" si="0"/>
        <v>0</v>
      </c>
      <c r="H23" s="827">
        <f>H21+G23</f>
        <v>0</v>
      </c>
      <c r="I23" s="827"/>
      <c r="J23" s="822"/>
    </row>
    <row r="24" spans="1:10" ht="18.95" customHeight="1" x14ac:dyDescent="0.2">
      <c r="C24" s="828">
        <v>99999999</v>
      </c>
      <c r="D24" s="828">
        <f>IF(F16-C23&gt;=0,F16-C23,0)</f>
        <v>0</v>
      </c>
      <c r="E24" s="829">
        <v>0.48</v>
      </c>
      <c r="F24" s="827">
        <f>IF(F16&gt;C24,D24,IF(F16&lt;C23,0,F16-C23))</f>
        <v>0</v>
      </c>
      <c r="G24" s="827">
        <f t="shared" si="0"/>
        <v>0</v>
      </c>
      <c r="H24" s="827">
        <f>H23+G24</f>
        <v>0</v>
      </c>
      <c r="I24" s="827"/>
      <c r="J24" s="822"/>
    </row>
    <row r="25" spans="1:10" x14ac:dyDescent="0.2">
      <c r="C25" s="827"/>
      <c r="D25" s="827"/>
      <c r="E25" s="827"/>
      <c r="F25" s="827"/>
      <c r="G25" s="827"/>
      <c r="H25" s="827"/>
      <c r="I25" s="827" t="s">
        <v>635</v>
      </c>
      <c r="J25" s="827">
        <v>0</v>
      </c>
    </row>
    <row r="26" spans="1:10" x14ac:dyDescent="0.2">
      <c r="C26" s="822"/>
      <c r="D26" s="822"/>
      <c r="E26" s="822"/>
      <c r="F26" s="822"/>
      <c r="G26" s="822"/>
      <c r="H26" s="822"/>
      <c r="I26" s="822" t="s">
        <v>960</v>
      </c>
      <c r="J26" s="354">
        <f>C16-J25</f>
        <v>0</v>
      </c>
    </row>
    <row r="27" spans="1:10" x14ac:dyDescent="0.2">
      <c r="A27" s="801" t="s">
        <v>961</v>
      </c>
    </row>
    <row r="28" spans="1:10" x14ac:dyDescent="0.2">
      <c r="A28" s="801" t="s">
        <v>962</v>
      </c>
      <c r="B28" s="830">
        <v>0</v>
      </c>
    </row>
    <row r="29" spans="1:10" x14ac:dyDescent="0.2">
      <c r="A29" s="801" t="s">
        <v>963</v>
      </c>
      <c r="B29" s="830">
        <f>B13</f>
        <v>0</v>
      </c>
    </row>
    <row r="30" spans="1:10" x14ac:dyDescent="0.2">
      <c r="A30" s="801" t="s">
        <v>964</v>
      </c>
      <c r="B30" s="831">
        <f>B55*K37</f>
        <v>0</v>
      </c>
    </row>
    <row r="31" spans="1:10" x14ac:dyDescent="0.2">
      <c r="A31" s="801" t="s">
        <v>965</v>
      </c>
      <c r="B31" s="830">
        <f>B29-B30</f>
        <v>0</v>
      </c>
    </row>
    <row r="37" spans="2:20" x14ac:dyDescent="0.2">
      <c r="I37" s="1157" t="s">
        <v>966</v>
      </c>
      <c r="J37" s="1157"/>
      <c r="K37" s="801">
        <v>0</v>
      </c>
    </row>
    <row r="38" spans="2:20" ht="42" customHeight="1" x14ac:dyDescent="0.2">
      <c r="C38" s="1134" t="s">
        <v>967</v>
      </c>
      <c r="D38" s="1135"/>
      <c r="E38" s="1135"/>
      <c r="F38" s="1135"/>
      <c r="G38" s="1135"/>
      <c r="H38" s="1135"/>
      <c r="I38" s="1135"/>
      <c r="J38" s="1136"/>
      <c r="K38" s="780"/>
      <c r="L38" s="780"/>
      <c r="M38" s="1152" t="s">
        <v>968</v>
      </c>
      <c r="N38" s="1153"/>
      <c r="O38" s="1153"/>
      <c r="P38" s="1153"/>
      <c r="Q38" s="1153"/>
      <c r="R38" s="1153"/>
      <c r="S38" s="1153"/>
      <c r="T38" s="1154"/>
    </row>
    <row r="39" spans="2:20" ht="30" x14ac:dyDescent="0.2">
      <c r="B39" s="832" t="s">
        <v>650</v>
      </c>
      <c r="C39" s="832" t="s">
        <v>636</v>
      </c>
      <c r="D39" s="801" t="s">
        <v>382</v>
      </c>
      <c r="E39" s="833" t="s">
        <v>637</v>
      </c>
      <c r="F39" s="832" t="s">
        <v>638</v>
      </c>
      <c r="G39" s="832"/>
      <c r="H39" s="832"/>
      <c r="I39" s="832"/>
      <c r="J39" s="832"/>
      <c r="K39" s="832"/>
      <c r="L39" s="832" t="s">
        <v>651</v>
      </c>
      <c r="M39" s="832" t="s">
        <v>639</v>
      </c>
      <c r="N39" s="801" t="s">
        <v>382</v>
      </c>
      <c r="O39" s="833" t="s">
        <v>640</v>
      </c>
      <c r="P39" s="832" t="s">
        <v>969</v>
      </c>
      <c r="Q39" s="832"/>
      <c r="R39" s="832"/>
      <c r="S39" s="832"/>
      <c r="T39" s="832"/>
    </row>
    <row r="40" spans="2:20" x14ac:dyDescent="0.2">
      <c r="B40" s="834" t="e">
        <f>L40/12</f>
        <v>#DIV/0!</v>
      </c>
      <c r="C40" s="835">
        <f>C16</f>
        <v>0</v>
      </c>
      <c r="D40" s="825">
        <f>D16</f>
        <v>0</v>
      </c>
      <c r="E40" s="835">
        <f>E16</f>
        <v>0</v>
      </c>
      <c r="F40" s="836" t="e">
        <f>B40+C40-D40-E40</f>
        <v>#DIV/0!</v>
      </c>
      <c r="G40" s="837"/>
      <c r="H40" s="837"/>
      <c r="I40" s="837"/>
      <c r="J40" s="832"/>
      <c r="K40" s="832"/>
      <c r="L40" s="835" t="e">
        <f>B29/K37</f>
        <v>#DIV/0!</v>
      </c>
      <c r="M40" s="835">
        <f>C40*12</f>
        <v>0</v>
      </c>
      <c r="N40" s="825">
        <f>D40*12</f>
        <v>0</v>
      </c>
      <c r="O40" s="835">
        <f>E40*12</f>
        <v>0</v>
      </c>
      <c r="P40" s="838" t="e">
        <f>L40+M40-N40-O40</f>
        <v>#DIV/0!</v>
      </c>
      <c r="Q40" s="837"/>
      <c r="R40" s="837"/>
      <c r="S40" s="837"/>
      <c r="T40" s="832"/>
    </row>
    <row r="41" spans="2:20" x14ac:dyDescent="0.2">
      <c r="C41" s="837"/>
      <c r="D41" s="837"/>
      <c r="E41" s="837"/>
      <c r="F41" s="837"/>
      <c r="G41" s="837"/>
      <c r="H41" s="837"/>
      <c r="I41" s="837"/>
      <c r="J41" s="832"/>
      <c r="K41" s="832"/>
      <c r="L41" s="832"/>
      <c r="M41" s="837"/>
      <c r="N41" s="837"/>
      <c r="O41" s="837"/>
      <c r="P41" s="837"/>
      <c r="Q41" s="837"/>
      <c r="R41" s="837"/>
      <c r="S41" s="837"/>
      <c r="T41" s="832"/>
    </row>
    <row r="42" spans="2:20" x14ac:dyDescent="0.2">
      <c r="C42" s="837" t="s">
        <v>631</v>
      </c>
      <c r="D42" s="837" t="s">
        <v>632</v>
      </c>
      <c r="E42" s="837" t="s">
        <v>542</v>
      </c>
      <c r="F42" s="837" t="s">
        <v>632</v>
      </c>
      <c r="G42" s="837" t="s">
        <v>633</v>
      </c>
      <c r="H42" s="837" t="s">
        <v>634</v>
      </c>
      <c r="I42" s="837"/>
      <c r="J42" s="832"/>
      <c r="K42" s="832"/>
      <c r="L42" s="832"/>
      <c r="M42" s="837" t="s">
        <v>631</v>
      </c>
      <c r="N42" s="837" t="s">
        <v>632</v>
      </c>
      <c r="O42" s="837" t="s">
        <v>542</v>
      </c>
      <c r="P42" s="837" t="s">
        <v>632</v>
      </c>
      <c r="Q42" s="837" t="s">
        <v>633</v>
      </c>
      <c r="R42" s="837" t="s">
        <v>634</v>
      </c>
      <c r="S42" s="837"/>
      <c r="T42" s="832"/>
    </row>
    <row r="43" spans="2:20" x14ac:dyDescent="0.2">
      <c r="C43" s="839">
        <f>D43</f>
        <v>5270</v>
      </c>
      <c r="D43" s="839">
        <v>5270</v>
      </c>
      <c r="E43" s="840">
        <v>0.1</v>
      </c>
      <c r="F43" s="837" t="e">
        <f>IF(F40&gt;C43,D43,F40)</f>
        <v>#DIV/0!</v>
      </c>
      <c r="G43" s="837" t="e">
        <f t="shared" ref="G43:G48" si="1">F43*E43</f>
        <v>#DIV/0!</v>
      </c>
      <c r="H43" s="837" t="e">
        <f>G43</f>
        <v>#DIV/0!</v>
      </c>
      <c r="I43" s="837"/>
      <c r="J43" s="832"/>
      <c r="K43" s="832"/>
      <c r="L43" s="832"/>
      <c r="M43" s="839">
        <f>N43</f>
        <v>63240</v>
      </c>
      <c r="N43" s="839">
        <f t="shared" ref="N43:N48" si="2">D43*12</f>
        <v>63240</v>
      </c>
      <c r="O43" s="840">
        <v>0.1</v>
      </c>
      <c r="P43" s="837" t="e">
        <f>IF(P40&gt;M43,N43,P40)</f>
        <v>#DIV/0!</v>
      </c>
      <c r="Q43" s="837" t="e">
        <f t="shared" ref="Q43:Q48" si="3">P43*O43</f>
        <v>#DIV/0!</v>
      </c>
      <c r="R43" s="837" t="e">
        <f>Q43</f>
        <v>#DIV/0!</v>
      </c>
      <c r="S43" s="837"/>
      <c r="T43" s="832"/>
    </row>
    <row r="44" spans="2:20" x14ac:dyDescent="0.2">
      <c r="C44" s="839">
        <f>C43+D44</f>
        <v>9000</v>
      </c>
      <c r="D44" s="839">
        <v>3730</v>
      </c>
      <c r="E44" s="840">
        <v>0.14000000000000001</v>
      </c>
      <c r="F44" s="837" t="e">
        <f>IF(F40&gt;C44,D44,IF(F40&lt;C43,0,F40-C43))</f>
        <v>#DIV/0!</v>
      </c>
      <c r="G44" s="837" t="e">
        <f t="shared" si="1"/>
        <v>#DIV/0!</v>
      </c>
      <c r="H44" s="837" t="e">
        <f>H43+G44</f>
        <v>#DIV/0!</v>
      </c>
      <c r="I44" s="837"/>
      <c r="J44" s="832"/>
      <c r="K44" s="832"/>
      <c r="L44" s="832"/>
      <c r="M44" s="839">
        <f>M43+N44</f>
        <v>108000</v>
      </c>
      <c r="N44" s="839">
        <f t="shared" si="2"/>
        <v>44760</v>
      </c>
      <c r="O44" s="840">
        <v>0.14000000000000001</v>
      </c>
      <c r="P44" s="837" t="e">
        <f>IF(P40&gt;M44,N44,IF(P40&lt;M43,0,P40-M43))</f>
        <v>#DIV/0!</v>
      </c>
      <c r="Q44" s="837" t="e">
        <f t="shared" si="3"/>
        <v>#DIV/0!</v>
      </c>
      <c r="R44" s="837" t="e">
        <f>R43+Q44</f>
        <v>#DIV/0!</v>
      </c>
      <c r="S44" s="837"/>
      <c r="T44" s="832"/>
    </row>
    <row r="45" spans="2:20" x14ac:dyDescent="0.2">
      <c r="C45" s="839">
        <f>C44+D45</f>
        <v>13990</v>
      </c>
      <c r="D45" s="839">
        <v>4990</v>
      </c>
      <c r="E45" s="840">
        <v>0.21</v>
      </c>
      <c r="F45" s="837" t="e">
        <f>IF(F40&gt;C45,D45,IF(F40&lt;C44,0,F40-C44))</f>
        <v>#DIV/0!</v>
      </c>
      <c r="G45" s="837" t="e">
        <f t="shared" si="1"/>
        <v>#DIV/0!</v>
      </c>
      <c r="H45" s="837" t="e">
        <f>H44+G45</f>
        <v>#DIV/0!</v>
      </c>
      <c r="I45" s="837"/>
      <c r="J45" s="832"/>
      <c r="K45" s="832"/>
      <c r="L45" s="832"/>
      <c r="M45" s="839">
        <f>M44+N45</f>
        <v>167880</v>
      </c>
      <c r="N45" s="839">
        <f t="shared" si="2"/>
        <v>59880</v>
      </c>
      <c r="O45" s="840">
        <v>0.21</v>
      </c>
      <c r="P45" s="837" t="e">
        <f>IF(P40&gt;M45,N45,IF(P40&lt;M44,0,P40-M44))</f>
        <v>#DIV/0!</v>
      </c>
      <c r="Q45" s="837" t="e">
        <f t="shared" si="3"/>
        <v>#DIV/0!</v>
      </c>
      <c r="R45" s="837" t="e">
        <f>R44+Q45</f>
        <v>#DIV/0!</v>
      </c>
      <c r="S45" s="837"/>
      <c r="T45" s="832"/>
    </row>
    <row r="46" spans="2:20" x14ac:dyDescent="0.2">
      <c r="C46" s="839">
        <f>C45+D46</f>
        <v>19980</v>
      </c>
      <c r="D46" s="839">
        <v>5990</v>
      </c>
      <c r="E46" s="840">
        <v>0.31</v>
      </c>
      <c r="F46" s="837" t="e">
        <f>IF(F40&gt;C46,D46,IF(F40&lt;C45,0,F40-C45))</f>
        <v>#DIV/0!</v>
      </c>
      <c r="G46" s="837" t="e">
        <f t="shared" si="1"/>
        <v>#DIV/0!</v>
      </c>
      <c r="H46" s="837" t="e">
        <f>H45+G46</f>
        <v>#DIV/0!</v>
      </c>
      <c r="I46" s="837"/>
      <c r="J46" s="832"/>
      <c r="K46" s="832"/>
      <c r="L46" s="832"/>
      <c r="M46" s="839">
        <f>M45+N46</f>
        <v>239760</v>
      </c>
      <c r="N46" s="839">
        <f t="shared" si="2"/>
        <v>71880</v>
      </c>
      <c r="O46" s="840">
        <v>0.31</v>
      </c>
      <c r="P46" s="837" t="e">
        <f>IF(P40&gt;M46,N46,IF(P40&lt;M45,0,P40-M45))</f>
        <v>#DIV/0!</v>
      </c>
      <c r="Q46" s="837" t="e">
        <f t="shared" si="3"/>
        <v>#DIV/0!</v>
      </c>
      <c r="R46" s="837" t="e">
        <f>R45+Q46</f>
        <v>#DIV/0!</v>
      </c>
      <c r="S46" s="837"/>
      <c r="T46" s="832"/>
    </row>
    <row r="47" spans="2:20" ht="26.25" customHeight="1" x14ac:dyDescent="0.2">
      <c r="C47" s="839">
        <f>C46+D47</f>
        <v>41790</v>
      </c>
      <c r="D47" s="839">
        <v>21810</v>
      </c>
      <c r="E47" s="840">
        <v>0.34</v>
      </c>
      <c r="F47" s="837" t="e">
        <f>IF(F40&gt;C47,D47,IF(F40&lt;C45,0,F40-C45))</f>
        <v>#DIV/0!</v>
      </c>
      <c r="G47" s="837" t="e">
        <f t="shared" si="1"/>
        <v>#DIV/0!</v>
      </c>
      <c r="H47" s="837" t="e">
        <f>H45+G47</f>
        <v>#DIV/0!</v>
      </c>
      <c r="I47" s="837"/>
      <c r="J47" s="832"/>
      <c r="K47" s="832"/>
      <c r="L47" s="832"/>
      <c r="M47" s="839">
        <f>M46+N47</f>
        <v>501480</v>
      </c>
      <c r="N47" s="839">
        <f t="shared" si="2"/>
        <v>261720</v>
      </c>
      <c r="O47" s="840">
        <v>0.34</v>
      </c>
      <c r="P47" s="837" t="e">
        <f>IF(P40&gt;M47,N47,IF(P40&lt;M46,0,P40-M46))</f>
        <v>#DIV/0!</v>
      </c>
      <c r="Q47" s="837" t="e">
        <f t="shared" si="3"/>
        <v>#DIV/0!</v>
      </c>
      <c r="R47" s="837" t="e">
        <f>R46+Q47</f>
        <v>#DIV/0!</v>
      </c>
      <c r="S47" s="837"/>
      <c r="T47" s="832"/>
    </row>
    <row r="48" spans="2:20" ht="30.75" customHeight="1" x14ac:dyDescent="0.2">
      <c r="C48" s="839">
        <v>99999999</v>
      </c>
      <c r="D48" s="839" t="e">
        <f>IF(F40-C47&gt;=0,F40-C47,0)</f>
        <v>#DIV/0!</v>
      </c>
      <c r="E48" s="840">
        <v>0.48</v>
      </c>
      <c r="F48" s="837" t="e">
        <f>IF(F40&gt;C48,D48,IF(F40&lt;C47,0,F40-C47))</f>
        <v>#DIV/0!</v>
      </c>
      <c r="G48" s="837" t="e">
        <f t="shared" si="1"/>
        <v>#DIV/0!</v>
      </c>
      <c r="H48" s="837" t="e">
        <f>H47+G48</f>
        <v>#DIV/0!</v>
      </c>
      <c r="I48" s="837"/>
      <c r="J48" s="832"/>
      <c r="K48" s="832"/>
      <c r="L48" s="832"/>
      <c r="M48" s="839">
        <v>99999999</v>
      </c>
      <c r="N48" s="839" t="e">
        <f t="shared" si="2"/>
        <v>#DIV/0!</v>
      </c>
      <c r="O48" s="840">
        <v>0.48</v>
      </c>
      <c r="P48" s="837" t="e">
        <f>IF(P40&gt;M48,N48,IF(P40&lt;M47,0,P40-M47))</f>
        <v>#DIV/0!</v>
      </c>
      <c r="Q48" s="837" t="e">
        <f t="shared" si="3"/>
        <v>#DIV/0!</v>
      </c>
      <c r="R48" s="837" t="e">
        <f>R47+Q48</f>
        <v>#DIV/0!</v>
      </c>
      <c r="S48" s="837"/>
      <c r="T48" s="832"/>
    </row>
    <row r="49" spans="1:24" x14ac:dyDescent="0.2">
      <c r="C49" s="837"/>
      <c r="D49" s="837"/>
      <c r="E49" s="837"/>
      <c r="F49" s="837"/>
      <c r="G49" s="837"/>
      <c r="H49" s="837"/>
      <c r="I49" s="837" t="s">
        <v>635</v>
      </c>
      <c r="J49" s="837"/>
      <c r="K49" s="832"/>
      <c r="L49" s="832"/>
      <c r="M49" s="837"/>
      <c r="N49" s="837"/>
      <c r="O49" s="837"/>
      <c r="P49" s="837"/>
      <c r="Q49" s="837"/>
      <c r="R49" s="837"/>
      <c r="S49" s="837" t="s">
        <v>635</v>
      </c>
      <c r="T49" s="837"/>
    </row>
    <row r="50" spans="1:24" x14ac:dyDescent="0.2">
      <c r="C50" s="832"/>
      <c r="D50" s="832"/>
      <c r="E50" s="832"/>
      <c r="F50" s="832"/>
      <c r="G50" s="832"/>
      <c r="H50" s="832"/>
      <c r="I50" s="832" t="s">
        <v>586</v>
      </c>
      <c r="J50" s="355" t="e">
        <f>B40+C40-J49</f>
        <v>#DIV/0!</v>
      </c>
      <c r="K50" s="832"/>
      <c r="L50" s="832"/>
      <c r="M50" s="832"/>
      <c r="N50" s="832"/>
      <c r="O50" s="832"/>
      <c r="P50" s="832"/>
      <c r="Q50" s="832"/>
      <c r="R50" s="832"/>
      <c r="S50" s="832" t="s">
        <v>586</v>
      </c>
      <c r="T50" s="837" t="e">
        <f>L40+M40-T49</f>
        <v>#DIV/0!</v>
      </c>
    </row>
    <row r="51" spans="1:24" x14ac:dyDescent="0.2">
      <c r="C51" s="841"/>
      <c r="D51" s="841"/>
      <c r="E51" s="841"/>
      <c r="F51" s="841"/>
      <c r="G51" s="841"/>
      <c r="H51" s="841"/>
      <c r="I51" s="841"/>
      <c r="J51" s="841"/>
      <c r="K51" s="841"/>
      <c r="L51" s="841"/>
      <c r="M51" s="841"/>
      <c r="N51" s="841"/>
      <c r="O51" s="841"/>
      <c r="P51" s="841"/>
      <c r="Q51" s="841"/>
      <c r="R51" s="841"/>
      <c r="S51" s="841"/>
      <c r="T51" s="841"/>
    </row>
    <row r="52" spans="1:24" x14ac:dyDescent="0.2">
      <c r="C52" s="841"/>
      <c r="D52" s="841"/>
      <c r="E52" s="841"/>
      <c r="F52" s="841"/>
      <c r="G52" s="841"/>
      <c r="H52" s="841"/>
      <c r="I52" s="841"/>
      <c r="J52" s="841"/>
      <c r="K52" s="841"/>
      <c r="L52" s="841"/>
      <c r="M52" s="841"/>
      <c r="N52" s="841"/>
      <c r="O52" s="841"/>
      <c r="P52" s="841"/>
      <c r="Q52" s="841"/>
      <c r="R52" s="841"/>
      <c r="S52" s="841"/>
      <c r="T52" s="841"/>
    </row>
    <row r="53" spans="1:24" x14ac:dyDescent="0.2">
      <c r="A53" s="801" t="s">
        <v>970</v>
      </c>
      <c r="B53" s="830">
        <f>J25*12</f>
        <v>0</v>
      </c>
    </row>
    <row r="54" spans="1:24" x14ac:dyDescent="0.2">
      <c r="A54" s="801" t="s">
        <v>971</v>
      </c>
      <c r="B54" s="831">
        <f>T49</f>
        <v>0</v>
      </c>
      <c r="C54" s="830">
        <f>J49*12</f>
        <v>0</v>
      </c>
    </row>
    <row r="55" spans="1:24" x14ac:dyDescent="0.2">
      <c r="A55" s="801" t="s">
        <v>972</v>
      </c>
      <c r="B55" s="831">
        <f>B54-B53</f>
        <v>0</v>
      </c>
    </row>
    <row r="59" spans="1:24" x14ac:dyDescent="0.2">
      <c r="G59" s="780"/>
      <c r="H59" s="780"/>
      <c r="I59" s="780"/>
      <c r="J59" s="780"/>
      <c r="K59" s="780"/>
      <c r="L59" s="780"/>
      <c r="M59" s="780"/>
      <c r="N59" s="780"/>
      <c r="O59" s="780"/>
      <c r="P59" s="780"/>
      <c r="Q59" s="780"/>
      <c r="R59" s="780"/>
      <c r="S59" s="780"/>
      <c r="T59" s="780"/>
      <c r="U59" s="780"/>
      <c r="V59" s="780"/>
      <c r="W59" s="780"/>
      <c r="X59" s="780"/>
    </row>
  </sheetData>
  <mergeCells count="4">
    <mergeCell ref="C1:H1"/>
    <mergeCell ref="I37:J37"/>
    <mergeCell ref="C38:J38"/>
    <mergeCell ref="M38:T38"/>
  </mergeCells>
  <pageMargins left="0.75" right="0.75" top="1" bottom="1" header="0.5" footer="0.5"/>
  <pageSetup paperSize="9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92">
    <tabColor indexed="45"/>
  </sheetPr>
  <dimension ref="A1:X64"/>
  <sheetViews>
    <sheetView rightToLeft="1" workbookViewId="0">
      <selection activeCell="AL8" sqref="AL8"/>
    </sheetView>
  </sheetViews>
  <sheetFormatPr defaultRowHeight="15" x14ac:dyDescent="0.2"/>
  <cols>
    <col min="1" max="1" width="36.140625" style="801" customWidth="1"/>
    <col min="2" max="2" width="22.85546875" style="801" customWidth="1"/>
    <col min="3" max="3" width="16.85546875" style="801" customWidth="1"/>
    <col min="4" max="5" width="13.28515625" style="801" customWidth="1"/>
    <col min="6" max="6" width="16.85546875" style="801" customWidth="1"/>
    <col min="7" max="7" width="19.85546875" style="801" customWidth="1"/>
    <col min="8" max="8" width="13.7109375" style="801" customWidth="1"/>
    <col min="9" max="9" width="25.28515625" style="801" customWidth="1"/>
    <col min="10" max="10" width="22.28515625" style="801" customWidth="1"/>
    <col min="11" max="11" width="9.140625" style="801"/>
    <col min="12" max="12" width="16.5703125" style="801" customWidth="1"/>
    <col min="13" max="20" width="17.28515625" style="801" customWidth="1"/>
    <col min="21" max="16384" width="9.140625" style="801"/>
  </cols>
  <sheetData>
    <row r="1" spans="1:16" ht="45.75" customHeight="1" x14ac:dyDescent="0.2">
      <c r="C1" s="1155" t="s">
        <v>973</v>
      </c>
      <c r="D1" s="1156"/>
      <c r="E1" s="1156"/>
      <c r="F1" s="1156"/>
      <c r="G1" s="1156"/>
      <c r="H1" s="1156"/>
    </row>
    <row r="2" spans="1:16" ht="14.1" customHeight="1" thickBot="1" x14ac:dyDescent="0.25">
      <c r="A2" s="802" t="s">
        <v>938</v>
      </c>
      <c r="B2" s="803">
        <v>0</v>
      </c>
    </row>
    <row r="3" spans="1:16" ht="16.5" thickTop="1" thickBot="1" x14ac:dyDescent="0.25">
      <c r="A3" s="812" t="s">
        <v>450</v>
      </c>
      <c r="B3" s="803">
        <v>0</v>
      </c>
      <c r="I3" s="848" t="s">
        <v>625</v>
      </c>
      <c r="J3" s="849">
        <f>B31+B8</f>
        <v>0</v>
      </c>
    </row>
    <row r="4" spans="1:16" ht="15.75" thickBot="1" x14ac:dyDescent="0.25">
      <c r="A4" s="812" t="s">
        <v>452</v>
      </c>
      <c r="B4" s="803">
        <v>0</v>
      </c>
      <c r="D4" s="808" t="s">
        <v>974</v>
      </c>
      <c r="E4" s="809">
        <f>SUM(B2:B5)</f>
        <v>0</v>
      </c>
      <c r="I4" s="850" t="s">
        <v>954</v>
      </c>
      <c r="J4" s="851">
        <f>B28</f>
        <v>0</v>
      </c>
    </row>
    <row r="5" spans="1:16" ht="34.5" customHeight="1" x14ac:dyDescent="0.2">
      <c r="A5" s="812" t="s">
        <v>583</v>
      </c>
      <c r="B5" s="803">
        <v>0</v>
      </c>
      <c r="I5" s="850" t="s">
        <v>955</v>
      </c>
      <c r="J5" s="852"/>
    </row>
    <row r="6" spans="1:16" ht="24" customHeight="1" thickBot="1" x14ac:dyDescent="0.25">
      <c r="I6" s="850" t="s">
        <v>975</v>
      </c>
      <c r="J6" s="851">
        <f>F64</f>
        <v>0</v>
      </c>
    </row>
    <row r="7" spans="1:16" ht="15.75" thickBot="1" x14ac:dyDescent="0.25">
      <c r="A7" s="802" t="s">
        <v>459</v>
      </c>
      <c r="B7" s="814">
        <v>0</v>
      </c>
      <c r="C7" s="815"/>
      <c r="D7" s="853"/>
      <c r="E7" s="1161" t="s">
        <v>976</v>
      </c>
      <c r="F7" s="1162"/>
      <c r="G7" s="854">
        <v>0</v>
      </c>
      <c r="I7" s="850" t="s">
        <v>956</v>
      </c>
      <c r="J7" s="851">
        <f>SUM(J3:J6)</f>
        <v>0</v>
      </c>
      <c r="K7" s="817"/>
    </row>
    <row r="8" spans="1:16" x14ac:dyDescent="0.2">
      <c r="A8" s="802" t="s">
        <v>977</v>
      </c>
      <c r="B8" s="814">
        <v>0</v>
      </c>
      <c r="C8" s="818"/>
      <c r="D8" s="815"/>
      <c r="I8" s="850"/>
      <c r="J8" s="855"/>
    </row>
    <row r="9" spans="1:16" x14ac:dyDescent="0.2">
      <c r="A9" s="806" t="s">
        <v>978</v>
      </c>
      <c r="B9" s="807">
        <f>B7-B8+G7</f>
        <v>0</v>
      </c>
      <c r="C9" s="815"/>
      <c r="D9" s="815"/>
      <c r="I9" s="850"/>
      <c r="J9" s="855"/>
    </row>
    <row r="10" spans="1:16" x14ac:dyDescent="0.2">
      <c r="I10" s="850" t="s">
        <v>668</v>
      </c>
      <c r="J10" s="856">
        <f>J26</f>
        <v>0</v>
      </c>
    </row>
    <row r="11" spans="1:16" x14ac:dyDescent="0.2">
      <c r="A11" s="801" t="s">
        <v>979</v>
      </c>
      <c r="B11" s="801" t="str">
        <f>IF(B9&gt;72000,IF(D23-F23&lt;500,"לא כדאי","כדאי"),"לא כדאי")</f>
        <v>לא כדאי</v>
      </c>
      <c r="I11" s="850" t="s">
        <v>957</v>
      </c>
      <c r="J11" s="855"/>
    </row>
    <row r="12" spans="1:16" ht="15.75" thickBot="1" x14ac:dyDescent="0.25">
      <c r="I12" s="857"/>
      <c r="J12" s="858"/>
    </row>
    <row r="13" spans="1:16" ht="15.75" thickTop="1" x14ac:dyDescent="0.2"/>
    <row r="14" spans="1:16" ht="18.95" customHeight="1" x14ac:dyDescent="0.2">
      <c r="M14" s="801" t="s">
        <v>980</v>
      </c>
    </row>
    <row r="15" spans="1:16" ht="33" customHeight="1" x14ac:dyDescent="0.2">
      <c r="C15" s="822" t="s">
        <v>636</v>
      </c>
      <c r="D15" s="801" t="s">
        <v>382</v>
      </c>
      <c r="E15" s="823" t="s">
        <v>637</v>
      </c>
      <c r="F15" s="822" t="s">
        <v>638</v>
      </c>
      <c r="G15" s="822"/>
      <c r="H15" s="822"/>
      <c r="I15" s="822"/>
      <c r="J15" s="822"/>
      <c r="M15" s="822" t="s">
        <v>636</v>
      </c>
      <c r="N15" s="801" t="s">
        <v>382</v>
      </c>
      <c r="O15" s="823" t="s">
        <v>637</v>
      </c>
      <c r="P15" s="822" t="s">
        <v>638</v>
      </c>
    </row>
    <row r="16" spans="1:16" ht="18.95" customHeight="1" x14ac:dyDescent="0.2">
      <c r="C16" s="824">
        <f>E4</f>
        <v>0</v>
      </c>
      <c r="D16" s="825">
        <v>0</v>
      </c>
      <c r="E16" s="824">
        <f>B4</f>
        <v>0</v>
      </c>
      <c r="F16" s="826">
        <f>C16-D16-E16</f>
        <v>0</v>
      </c>
      <c r="G16" s="827"/>
      <c r="H16" s="827"/>
      <c r="I16" s="827"/>
      <c r="J16" s="822"/>
      <c r="M16" s="830">
        <f>C16*12</f>
        <v>0</v>
      </c>
      <c r="N16" s="830">
        <v>0</v>
      </c>
      <c r="O16" s="830">
        <f>E16*12</f>
        <v>0</v>
      </c>
      <c r="P16" s="830">
        <f>F16*12</f>
        <v>0</v>
      </c>
    </row>
    <row r="17" spans="1:20" ht="18.95" customHeight="1" x14ac:dyDescent="0.2">
      <c r="C17" s="827"/>
      <c r="D17" s="827"/>
      <c r="E17" s="827"/>
      <c r="F17" s="827"/>
      <c r="G17" s="827"/>
      <c r="H17" s="827"/>
      <c r="I17" s="827"/>
      <c r="J17" s="822"/>
    </row>
    <row r="18" spans="1:20" ht="29.25" customHeight="1" x14ac:dyDescent="0.2">
      <c r="C18" s="827" t="s">
        <v>631</v>
      </c>
      <c r="D18" s="827" t="s">
        <v>632</v>
      </c>
      <c r="E18" s="827" t="s">
        <v>542</v>
      </c>
      <c r="F18" s="827" t="s">
        <v>632</v>
      </c>
      <c r="G18" s="827" t="s">
        <v>633</v>
      </c>
      <c r="H18" s="827" t="s">
        <v>634</v>
      </c>
      <c r="I18" s="827"/>
      <c r="J18" s="822"/>
      <c r="M18" s="827" t="s">
        <v>631</v>
      </c>
      <c r="N18" s="827" t="s">
        <v>632</v>
      </c>
      <c r="O18" s="827" t="s">
        <v>542</v>
      </c>
      <c r="P18" s="827" t="s">
        <v>632</v>
      </c>
      <c r="Q18" s="827" t="s">
        <v>633</v>
      </c>
      <c r="R18" s="827" t="s">
        <v>634</v>
      </c>
    </row>
    <row r="19" spans="1:20" ht="18.95" customHeight="1" x14ac:dyDescent="0.2">
      <c r="C19" s="828">
        <f>D19</f>
        <v>5270</v>
      </c>
      <c r="D19" s="828">
        <v>5270</v>
      </c>
      <c r="E19" s="829">
        <v>0.1</v>
      </c>
      <c r="F19" s="827">
        <f>IF(F16&gt;C19,D19,F16)</f>
        <v>0</v>
      </c>
      <c r="G19" s="827">
        <f t="shared" ref="G19:G24" si="0">F19*E19</f>
        <v>0</v>
      </c>
      <c r="H19" s="827">
        <f>G19</f>
        <v>0</v>
      </c>
      <c r="I19" s="827"/>
      <c r="J19" s="822"/>
      <c r="M19" s="828">
        <f>N19</f>
        <v>63240</v>
      </c>
      <c r="N19" s="828">
        <f>D19*12</f>
        <v>63240</v>
      </c>
      <c r="O19" s="829">
        <f t="shared" ref="O19:O24" si="1">E19</f>
        <v>0.1</v>
      </c>
      <c r="P19" s="827">
        <f>IF(P16&gt;M19,N19,P16)</f>
        <v>0</v>
      </c>
      <c r="Q19" s="827">
        <f t="shared" ref="Q19:Q24" si="2">P19*O19</f>
        <v>0</v>
      </c>
      <c r="R19" s="827">
        <f>Q19</f>
        <v>0</v>
      </c>
      <c r="S19" s="827"/>
      <c r="T19" s="822"/>
    </row>
    <row r="20" spans="1:20" ht="18.95" customHeight="1" x14ac:dyDescent="0.2">
      <c r="C20" s="828">
        <f>C19+D20</f>
        <v>9000</v>
      </c>
      <c r="D20" s="828">
        <v>3730</v>
      </c>
      <c r="E20" s="829">
        <v>0.14000000000000001</v>
      </c>
      <c r="F20" s="827">
        <f>IF(F16&gt;C20,D20,IF(F16&lt;C19,0,F16-C19))</f>
        <v>0</v>
      </c>
      <c r="G20" s="827">
        <f t="shared" si="0"/>
        <v>0</v>
      </c>
      <c r="H20" s="827">
        <f>H19+G20</f>
        <v>0</v>
      </c>
      <c r="I20" s="827"/>
      <c r="J20" s="822"/>
      <c r="M20" s="828">
        <f>M19+N20</f>
        <v>108000</v>
      </c>
      <c r="N20" s="828">
        <f>D20*12</f>
        <v>44760</v>
      </c>
      <c r="O20" s="829">
        <f t="shared" si="1"/>
        <v>0.14000000000000001</v>
      </c>
      <c r="P20" s="827">
        <f>IF(P$16&gt;M20,N20,IF(P$16&lt;M19,0,P$16-M19))</f>
        <v>0</v>
      </c>
      <c r="Q20" s="827">
        <f t="shared" si="2"/>
        <v>0</v>
      </c>
      <c r="R20" s="827">
        <f>R19+Q20</f>
        <v>0</v>
      </c>
      <c r="S20" s="827"/>
      <c r="T20" s="822"/>
    </row>
    <row r="21" spans="1:20" ht="18.95" customHeight="1" x14ac:dyDescent="0.2">
      <c r="C21" s="828">
        <f>C20+D21</f>
        <v>13990</v>
      </c>
      <c r="D21" s="828">
        <v>4990</v>
      </c>
      <c r="E21" s="829">
        <v>0.21</v>
      </c>
      <c r="F21" s="827">
        <f>IF(F16&gt;C21,D21,IF(F16&lt;C20,0,F16-C20))</f>
        <v>0</v>
      </c>
      <c r="G21" s="827">
        <f t="shared" si="0"/>
        <v>0</v>
      </c>
      <c r="H21" s="827">
        <f>H20+G21</f>
        <v>0</v>
      </c>
      <c r="I21" s="827"/>
      <c r="J21" s="822"/>
      <c r="M21" s="828">
        <f>M20+N21</f>
        <v>167880</v>
      </c>
      <c r="N21" s="828">
        <f>D21*12</f>
        <v>59880</v>
      </c>
      <c r="O21" s="829">
        <f t="shared" si="1"/>
        <v>0.21</v>
      </c>
      <c r="P21" s="827">
        <f>IF(P$16&gt;M21,N21,IF(P$16&lt;M20,0,P$16-M20))</f>
        <v>0</v>
      </c>
      <c r="Q21" s="827">
        <f t="shared" si="2"/>
        <v>0</v>
      </c>
      <c r="R21" s="827">
        <f>R20+Q21</f>
        <v>0</v>
      </c>
      <c r="S21" s="827"/>
      <c r="T21" s="822"/>
    </row>
    <row r="22" spans="1:20" ht="18.95" customHeight="1" x14ac:dyDescent="0.2">
      <c r="C22" s="828">
        <f>C21+D22</f>
        <v>19980</v>
      </c>
      <c r="D22" s="828">
        <v>5990</v>
      </c>
      <c r="E22" s="829">
        <v>0.31</v>
      </c>
      <c r="F22" s="827">
        <f>IF(F16&gt;C22,D22,IF(F16&lt;C21,0,F16-C21))</f>
        <v>0</v>
      </c>
      <c r="G22" s="827">
        <f t="shared" si="0"/>
        <v>0</v>
      </c>
      <c r="H22" s="827">
        <f>H21+G22</f>
        <v>0</v>
      </c>
      <c r="I22" s="827"/>
      <c r="J22" s="822"/>
      <c r="M22" s="828">
        <f>M21+N22</f>
        <v>239760</v>
      </c>
      <c r="N22" s="828">
        <f>D22*12</f>
        <v>71880</v>
      </c>
      <c r="O22" s="829">
        <f t="shared" si="1"/>
        <v>0.31</v>
      </c>
      <c r="P22" s="827">
        <f>IF(P$16&gt;M22,N22,IF(P$16&lt;M21,0,P$16-M21))</f>
        <v>0</v>
      </c>
      <c r="Q22" s="827">
        <f t="shared" si="2"/>
        <v>0</v>
      </c>
      <c r="R22" s="827">
        <f>R21+Q22</f>
        <v>0</v>
      </c>
      <c r="S22" s="827"/>
      <c r="T22" s="822"/>
    </row>
    <row r="23" spans="1:20" ht="18.95" customHeight="1" x14ac:dyDescent="0.2">
      <c r="C23" s="828">
        <f>C22+D23</f>
        <v>41790</v>
      </c>
      <c r="D23" s="828">
        <v>21810</v>
      </c>
      <c r="E23" s="829">
        <v>0.34</v>
      </c>
      <c r="F23" s="827">
        <f>IF(F16&gt;C23,D23,IF(F16&lt;C22,0,F16-C22))</f>
        <v>0</v>
      </c>
      <c r="G23" s="827">
        <f t="shared" si="0"/>
        <v>0</v>
      </c>
      <c r="H23" s="827">
        <f>H22+G23</f>
        <v>0</v>
      </c>
      <c r="I23" s="827"/>
      <c r="J23" s="822"/>
      <c r="M23" s="828">
        <f>M22+N23</f>
        <v>501480</v>
      </c>
      <c r="N23" s="828">
        <f>D23*12</f>
        <v>261720</v>
      </c>
      <c r="O23" s="829">
        <f t="shared" si="1"/>
        <v>0.34</v>
      </c>
      <c r="P23" s="827">
        <f>IF(P16&gt;M23,N23,IF(P16&lt;M22,0,P16-M22))</f>
        <v>0</v>
      </c>
      <c r="Q23" s="827">
        <f t="shared" si="2"/>
        <v>0</v>
      </c>
      <c r="R23" s="827">
        <f>R22+Q23</f>
        <v>0</v>
      </c>
      <c r="S23" s="827"/>
      <c r="T23" s="822"/>
    </row>
    <row r="24" spans="1:20" ht="18.95" customHeight="1" x14ac:dyDescent="0.2">
      <c r="C24" s="828">
        <v>99999999</v>
      </c>
      <c r="D24" s="828">
        <f>IF(F16-C23&gt;=0,F16-C23,0)</f>
        <v>0</v>
      </c>
      <c r="E24" s="829">
        <v>0.48</v>
      </c>
      <c r="F24" s="827">
        <f>IF(F16&gt;C24,D24,IF(F16&lt;C23,0,F16-C23))</f>
        <v>0</v>
      </c>
      <c r="G24" s="827">
        <f t="shared" si="0"/>
        <v>0</v>
      </c>
      <c r="H24" s="827">
        <f>H23+G24</f>
        <v>0</v>
      </c>
      <c r="I24" s="827"/>
      <c r="J24" s="822"/>
      <c r="M24" s="828">
        <v>99999999</v>
      </c>
      <c r="N24" s="828">
        <f>IF(P16-M23&gt;=0,P16-M23,0)</f>
        <v>0</v>
      </c>
      <c r="O24" s="829">
        <f t="shared" si="1"/>
        <v>0.48</v>
      </c>
      <c r="P24" s="827">
        <f>IF(P16&gt;M24,N24,IF(P16&lt;M23,0,P16-M23))</f>
        <v>0</v>
      </c>
      <c r="Q24" s="827">
        <f t="shared" si="2"/>
        <v>0</v>
      </c>
      <c r="R24" s="827">
        <f>R23+Q24</f>
        <v>0</v>
      </c>
      <c r="S24" s="827"/>
      <c r="T24" s="822"/>
    </row>
    <row r="25" spans="1:20" x14ac:dyDescent="0.2">
      <c r="C25" s="827"/>
      <c r="D25" s="827"/>
      <c r="E25" s="827"/>
      <c r="F25" s="827"/>
      <c r="G25" s="827"/>
      <c r="H25" s="827"/>
      <c r="I25" s="827" t="s">
        <v>635</v>
      </c>
      <c r="J25" s="827">
        <v>0</v>
      </c>
      <c r="M25" s="827"/>
      <c r="N25" s="827"/>
      <c r="O25" s="827"/>
      <c r="P25" s="827"/>
      <c r="Q25" s="827"/>
      <c r="R25" s="827"/>
      <c r="S25" s="827" t="s">
        <v>635</v>
      </c>
      <c r="T25" s="827">
        <v>0</v>
      </c>
    </row>
    <row r="26" spans="1:20" x14ac:dyDescent="0.2">
      <c r="C26" s="822"/>
      <c r="D26" s="822"/>
      <c r="E26" s="822"/>
      <c r="F26" s="822"/>
      <c r="G26" s="822"/>
      <c r="H26" s="822"/>
      <c r="I26" s="822" t="s">
        <v>586</v>
      </c>
      <c r="J26" s="354">
        <f>C16-J25</f>
        <v>0</v>
      </c>
      <c r="M26" s="822"/>
      <c r="N26" s="822"/>
      <c r="O26" s="822"/>
      <c r="P26" s="822"/>
      <c r="Q26" s="822"/>
      <c r="R26" s="822"/>
      <c r="S26" s="822" t="s">
        <v>586</v>
      </c>
      <c r="T26" s="354">
        <f>M16-T25</f>
        <v>0</v>
      </c>
    </row>
    <row r="27" spans="1:20" x14ac:dyDescent="0.2">
      <c r="A27" s="801" t="s">
        <v>961</v>
      </c>
    </row>
    <row r="28" spans="1:20" x14ac:dyDescent="0.2">
      <c r="A28" s="801" t="s">
        <v>962</v>
      </c>
      <c r="B28" s="830">
        <v>0</v>
      </c>
    </row>
    <row r="29" spans="1:20" x14ac:dyDescent="0.2">
      <c r="A29" s="859" t="s">
        <v>981</v>
      </c>
      <c r="B29" s="860">
        <f>B9</f>
        <v>0</v>
      </c>
    </row>
    <row r="30" spans="1:20" x14ac:dyDescent="0.2">
      <c r="A30" s="861" t="s">
        <v>964</v>
      </c>
      <c r="B30" s="862">
        <f>B55*K37</f>
        <v>0</v>
      </c>
    </row>
    <row r="31" spans="1:20" x14ac:dyDescent="0.2">
      <c r="A31" s="863" t="s">
        <v>965</v>
      </c>
      <c r="B31" s="864">
        <f>B29-B30</f>
        <v>0</v>
      </c>
    </row>
    <row r="37" spans="2:20" x14ac:dyDescent="0.2">
      <c r="I37" s="1157" t="s">
        <v>966</v>
      </c>
      <c r="J37" s="1157"/>
      <c r="K37" s="801">
        <v>0</v>
      </c>
    </row>
    <row r="38" spans="2:20" ht="42" customHeight="1" x14ac:dyDescent="0.2">
      <c r="C38" s="1134" t="s">
        <v>967</v>
      </c>
      <c r="D38" s="1135"/>
      <c r="E38" s="1135"/>
      <c r="F38" s="1135"/>
      <c r="G38" s="1135"/>
      <c r="H38" s="1135"/>
      <c r="I38" s="1135"/>
      <c r="J38" s="1136"/>
      <c r="K38" s="800"/>
      <c r="L38" s="800"/>
      <c r="M38" s="1152" t="s">
        <v>968</v>
      </c>
      <c r="N38" s="1153"/>
      <c r="O38" s="1153"/>
      <c r="P38" s="1153"/>
      <c r="Q38" s="1153"/>
      <c r="R38" s="1153"/>
      <c r="S38" s="1153"/>
      <c r="T38" s="1154"/>
    </row>
    <row r="39" spans="2:20" ht="30" x14ac:dyDescent="0.2">
      <c r="B39" s="832" t="s">
        <v>650</v>
      </c>
      <c r="C39" s="832" t="s">
        <v>636</v>
      </c>
      <c r="D39" s="801" t="s">
        <v>382</v>
      </c>
      <c r="E39" s="833" t="s">
        <v>637</v>
      </c>
      <c r="F39" s="832" t="s">
        <v>638</v>
      </c>
      <c r="G39" s="832"/>
      <c r="H39" s="832"/>
      <c r="I39" s="832"/>
      <c r="J39" s="832"/>
      <c r="K39" s="832"/>
      <c r="L39" s="832" t="s">
        <v>651</v>
      </c>
      <c r="M39" s="832" t="s">
        <v>639</v>
      </c>
      <c r="N39" s="801" t="s">
        <v>382</v>
      </c>
      <c r="O39" s="833" t="s">
        <v>640</v>
      </c>
      <c r="P39" s="832" t="s">
        <v>969</v>
      </c>
      <c r="Q39" s="832"/>
      <c r="R39" s="832"/>
      <c r="S39" s="832"/>
      <c r="T39" s="832"/>
    </row>
    <row r="40" spans="2:20" x14ac:dyDescent="0.2">
      <c r="B40" s="834" t="e">
        <f>L40/12</f>
        <v>#DIV/0!</v>
      </c>
      <c r="C40" s="835">
        <f>C16</f>
        <v>0</v>
      </c>
      <c r="D40" s="825">
        <f>D16</f>
        <v>0</v>
      </c>
      <c r="E40" s="835">
        <f>E16</f>
        <v>0</v>
      </c>
      <c r="F40" s="836" t="e">
        <f>B40+C40-D40-E40</f>
        <v>#DIV/0!</v>
      </c>
      <c r="G40" s="837"/>
      <c r="H40" s="837"/>
      <c r="I40" s="837"/>
      <c r="J40" s="832"/>
      <c r="K40" s="832"/>
      <c r="L40" s="865" t="e">
        <f>B29/K37</f>
        <v>#DIV/0!</v>
      </c>
      <c r="M40" s="865">
        <f>C40*12</f>
        <v>0</v>
      </c>
      <c r="N40" s="825">
        <f>D40*12</f>
        <v>0</v>
      </c>
      <c r="O40" s="865">
        <f>E40*12</f>
        <v>0</v>
      </c>
      <c r="P40" s="866" t="e">
        <f>L40+M40-N40-O40</f>
        <v>#DIV/0!</v>
      </c>
      <c r="Q40" s="837"/>
      <c r="R40" s="837"/>
      <c r="S40" s="837"/>
      <c r="T40" s="832"/>
    </row>
    <row r="41" spans="2:20" x14ac:dyDescent="0.2">
      <c r="C41" s="837"/>
      <c r="D41" s="837"/>
      <c r="E41" s="837"/>
      <c r="F41" s="837"/>
      <c r="G41" s="837"/>
      <c r="H41" s="837"/>
      <c r="I41" s="837"/>
      <c r="J41" s="832"/>
      <c r="K41" s="832"/>
      <c r="L41" s="832"/>
      <c r="M41" s="837"/>
      <c r="N41" s="837"/>
      <c r="O41" s="837"/>
      <c r="P41" s="837"/>
      <c r="Q41" s="837"/>
      <c r="R41" s="837"/>
      <c r="S41" s="837"/>
      <c r="T41" s="832"/>
    </row>
    <row r="42" spans="2:20" x14ac:dyDescent="0.2">
      <c r="C42" s="837" t="s">
        <v>631</v>
      </c>
      <c r="D42" s="837" t="s">
        <v>632</v>
      </c>
      <c r="E42" s="837" t="s">
        <v>542</v>
      </c>
      <c r="F42" s="837" t="s">
        <v>632</v>
      </c>
      <c r="G42" s="837" t="s">
        <v>633</v>
      </c>
      <c r="H42" s="837" t="s">
        <v>634</v>
      </c>
      <c r="I42" s="837"/>
      <c r="J42" s="832"/>
      <c r="K42" s="832"/>
      <c r="L42" s="832"/>
      <c r="M42" s="837" t="s">
        <v>631</v>
      </c>
      <c r="N42" s="837" t="s">
        <v>632</v>
      </c>
      <c r="O42" s="837" t="s">
        <v>542</v>
      </c>
      <c r="P42" s="837" t="s">
        <v>632</v>
      </c>
      <c r="Q42" s="837" t="s">
        <v>633</v>
      </c>
      <c r="R42" s="837" t="s">
        <v>634</v>
      </c>
      <c r="S42" s="837"/>
      <c r="T42" s="832"/>
    </row>
    <row r="43" spans="2:20" x14ac:dyDescent="0.2">
      <c r="C43" s="839">
        <f>D43</f>
        <v>5270</v>
      </c>
      <c r="D43" s="839">
        <f t="shared" ref="D43:E47" si="3">D19</f>
        <v>5270</v>
      </c>
      <c r="E43" s="840">
        <f t="shared" si="3"/>
        <v>0.1</v>
      </c>
      <c r="F43" s="837" t="e">
        <f>IF(F40&gt;C43,D43,F40)</f>
        <v>#DIV/0!</v>
      </c>
      <c r="G43" s="837" t="e">
        <f t="shared" ref="G43:G48" si="4">F43*E43</f>
        <v>#DIV/0!</v>
      </c>
      <c r="H43" s="837" t="e">
        <f>G43</f>
        <v>#DIV/0!</v>
      </c>
      <c r="I43" s="837"/>
      <c r="J43" s="832"/>
      <c r="K43" s="832"/>
      <c r="L43" s="832"/>
      <c r="M43" s="839">
        <f>N43</f>
        <v>63240</v>
      </c>
      <c r="N43" s="839">
        <f>D43*12</f>
        <v>63240</v>
      </c>
      <c r="O43" s="840">
        <f t="shared" ref="O43:O48" si="5">E19</f>
        <v>0.1</v>
      </c>
      <c r="P43" s="837" t="e">
        <f>IF(P40&gt;M43,N43,P40)</f>
        <v>#DIV/0!</v>
      </c>
      <c r="Q43" s="837" t="e">
        <f t="shared" ref="Q43:Q48" si="6">P43*O43</f>
        <v>#DIV/0!</v>
      </c>
      <c r="R43" s="837" t="e">
        <f>Q43</f>
        <v>#DIV/0!</v>
      </c>
      <c r="S43" s="837"/>
      <c r="T43" s="832"/>
    </row>
    <row r="44" spans="2:20" x14ac:dyDescent="0.2">
      <c r="C44" s="839">
        <f>C43+D44</f>
        <v>9000</v>
      </c>
      <c r="D44" s="839">
        <f t="shared" si="3"/>
        <v>3730</v>
      </c>
      <c r="E44" s="840">
        <f t="shared" si="3"/>
        <v>0.14000000000000001</v>
      </c>
      <c r="F44" s="837" t="e">
        <f>IF(F40&gt;C44,D44,IF(F40&lt;C43,0,F40-C43))</f>
        <v>#DIV/0!</v>
      </c>
      <c r="G44" s="837" t="e">
        <f t="shared" si="4"/>
        <v>#DIV/0!</v>
      </c>
      <c r="H44" s="837" t="e">
        <f>H43+G44</f>
        <v>#DIV/0!</v>
      </c>
      <c r="I44" s="837"/>
      <c r="J44" s="832"/>
      <c r="K44" s="832"/>
      <c r="L44" s="832"/>
      <c r="M44" s="839">
        <f>M43+N44</f>
        <v>108000</v>
      </c>
      <c r="N44" s="839">
        <f>D44*12</f>
        <v>44760</v>
      </c>
      <c r="O44" s="840">
        <f t="shared" si="5"/>
        <v>0.14000000000000001</v>
      </c>
      <c r="P44" s="837" t="e">
        <f>IF(P40&gt;M44,N44,IF(P40&lt;M43,0,P40-M43))</f>
        <v>#DIV/0!</v>
      </c>
      <c r="Q44" s="837" t="e">
        <f t="shared" si="6"/>
        <v>#DIV/0!</v>
      </c>
      <c r="R44" s="837" t="e">
        <f>R43+Q44</f>
        <v>#DIV/0!</v>
      </c>
      <c r="S44" s="837"/>
      <c r="T44" s="832"/>
    </row>
    <row r="45" spans="2:20" x14ac:dyDescent="0.2">
      <c r="C45" s="839">
        <f>C44+D45</f>
        <v>13990</v>
      </c>
      <c r="D45" s="839">
        <f t="shared" si="3"/>
        <v>4990</v>
      </c>
      <c r="E45" s="840">
        <f t="shared" si="3"/>
        <v>0.21</v>
      </c>
      <c r="F45" s="837" t="e">
        <f>IF(F40&gt;C45,D45,IF(F40&lt;C44,0,F40-C44))</f>
        <v>#DIV/0!</v>
      </c>
      <c r="G45" s="837" t="e">
        <f t="shared" si="4"/>
        <v>#DIV/0!</v>
      </c>
      <c r="H45" s="837" t="e">
        <f>H44+G45</f>
        <v>#DIV/0!</v>
      </c>
      <c r="I45" s="837"/>
      <c r="J45" s="832"/>
      <c r="K45" s="832"/>
      <c r="L45" s="832"/>
      <c r="M45" s="839">
        <f>M44+N45</f>
        <v>167880</v>
      </c>
      <c r="N45" s="839">
        <f>D45*12</f>
        <v>59880</v>
      </c>
      <c r="O45" s="840">
        <f t="shared" si="5"/>
        <v>0.21</v>
      </c>
      <c r="P45" s="837" t="e">
        <f>IF(P40&gt;M45,N45,IF(P40&lt;M44,0,P40-M44))</f>
        <v>#DIV/0!</v>
      </c>
      <c r="Q45" s="837" t="e">
        <f t="shared" si="6"/>
        <v>#DIV/0!</v>
      </c>
      <c r="R45" s="837" t="e">
        <f>R44+Q45</f>
        <v>#DIV/0!</v>
      </c>
      <c r="S45" s="837"/>
      <c r="T45" s="832"/>
    </row>
    <row r="46" spans="2:20" x14ac:dyDescent="0.2">
      <c r="C46" s="839">
        <f>C45+D46</f>
        <v>19980</v>
      </c>
      <c r="D46" s="839">
        <f t="shared" si="3"/>
        <v>5990</v>
      </c>
      <c r="E46" s="840">
        <f t="shared" si="3"/>
        <v>0.31</v>
      </c>
      <c r="F46" s="837" t="e">
        <f>IF(F40&gt;C46,D46,IF(F40&lt;C45,0,F40-C45))</f>
        <v>#DIV/0!</v>
      </c>
      <c r="G46" s="837" t="e">
        <f t="shared" si="4"/>
        <v>#DIV/0!</v>
      </c>
      <c r="H46" s="837" t="e">
        <f>H45+G46</f>
        <v>#DIV/0!</v>
      </c>
      <c r="I46" s="837"/>
      <c r="J46" s="832"/>
      <c r="K46" s="832"/>
      <c r="L46" s="832"/>
      <c r="M46" s="839">
        <f>M45+N46</f>
        <v>239760</v>
      </c>
      <c r="N46" s="839">
        <f>D46*12</f>
        <v>71880</v>
      </c>
      <c r="O46" s="840">
        <f t="shared" si="5"/>
        <v>0.31</v>
      </c>
      <c r="P46" s="837" t="e">
        <f>IF(P40&gt;M46,N46,IF(P40&lt;M45,0,P40-M45))</f>
        <v>#DIV/0!</v>
      </c>
      <c r="Q46" s="837" t="e">
        <f t="shared" si="6"/>
        <v>#DIV/0!</v>
      </c>
      <c r="R46" s="837" t="e">
        <f>R45+Q46</f>
        <v>#DIV/0!</v>
      </c>
      <c r="S46" s="837"/>
      <c r="T46" s="832"/>
    </row>
    <row r="47" spans="2:20" ht="26.25" customHeight="1" x14ac:dyDescent="0.2">
      <c r="C47" s="839">
        <f>C46+D47</f>
        <v>41790</v>
      </c>
      <c r="D47" s="839">
        <f t="shared" si="3"/>
        <v>21810</v>
      </c>
      <c r="E47" s="840">
        <f t="shared" si="3"/>
        <v>0.34</v>
      </c>
      <c r="F47" s="837" t="e">
        <f>IF(F40&gt;C47,D47,IF(F40&lt;C46,0,F40-C46))</f>
        <v>#DIV/0!</v>
      </c>
      <c r="G47" s="837" t="e">
        <f t="shared" si="4"/>
        <v>#DIV/0!</v>
      </c>
      <c r="H47" s="837" t="e">
        <f>H46+G47</f>
        <v>#DIV/0!</v>
      </c>
      <c r="I47" s="837"/>
      <c r="J47" s="832"/>
      <c r="K47" s="832"/>
      <c r="L47" s="832"/>
      <c r="M47" s="839">
        <f>M46+N47</f>
        <v>501480</v>
      </c>
      <c r="N47" s="839">
        <f>D47*12</f>
        <v>261720</v>
      </c>
      <c r="O47" s="840">
        <f t="shared" si="5"/>
        <v>0.34</v>
      </c>
      <c r="P47" s="837" t="e">
        <f>IF(P40&gt;M47,N47,IF(P40&lt;M46,0,P40-M46))</f>
        <v>#DIV/0!</v>
      </c>
      <c r="Q47" s="837" t="e">
        <f t="shared" si="6"/>
        <v>#DIV/0!</v>
      </c>
      <c r="R47" s="837" t="e">
        <f>R46+Q47</f>
        <v>#DIV/0!</v>
      </c>
      <c r="S47" s="837"/>
      <c r="T47" s="832"/>
    </row>
    <row r="48" spans="2:20" ht="30.75" customHeight="1" x14ac:dyDescent="0.2">
      <c r="C48" s="839">
        <v>99999999</v>
      </c>
      <c r="D48" s="839" t="e">
        <f>IF(F40-C47&gt;=0,F40-C47,0)</f>
        <v>#DIV/0!</v>
      </c>
      <c r="E48" s="840">
        <f>E24</f>
        <v>0.48</v>
      </c>
      <c r="F48" s="837" t="e">
        <f>IF(F40&gt;C48,D48,IF(F40&lt;C47,0,F40-C47))</f>
        <v>#DIV/0!</v>
      </c>
      <c r="G48" s="837" t="e">
        <f t="shared" si="4"/>
        <v>#DIV/0!</v>
      </c>
      <c r="H48" s="837" t="e">
        <f>H47+G48</f>
        <v>#DIV/0!</v>
      </c>
      <c r="I48" s="837"/>
      <c r="J48" s="832"/>
      <c r="K48" s="832"/>
      <c r="L48" s="832"/>
      <c r="M48" s="839">
        <v>99999999</v>
      </c>
      <c r="N48" s="839" t="e">
        <f>IF(P40-M47&gt;=0,P40-M47,0)</f>
        <v>#DIV/0!</v>
      </c>
      <c r="O48" s="840">
        <f t="shared" si="5"/>
        <v>0.48</v>
      </c>
      <c r="P48" s="837" t="e">
        <f>IF(P40&gt;M48,N48,IF(P40&lt;M47,0,P40-M47))</f>
        <v>#DIV/0!</v>
      </c>
      <c r="Q48" s="837" t="e">
        <f t="shared" si="6"/>
        <v>#DIV/0!</v>
      </c>
      <c r="R48" s="837" t="e">
        <f>R47+Q48</f>
        <v>#DIV/0!</v>
      </c>
      <c r="S48" s="837"/>
      <c r="T48" s="832"/>
    </row>
    <row r="49" spans="1:24" x14ac:dyDescent="0.2">
      <c r="C49" s="837"/>
      <c r="D49" s="837"/>
      <c r="E49" s="837"/>
      <c r="F49" s="837"/>
      <c r="G49" s="837"/>
      <c r="H49" s="837"/>
      <c r="I49" s="837" t="s">
        <v>635</v>
      </c>
      <c r="J49" s="837"/>
      <c r="K49" s="832"/>
      <c r="L49" s="832"/>
      <c r="M49" s="837"/>
      <c r="N49" s="837"/>
      <c r="O49" s="837"/>
      <c r="P49" s="837"/>
      <c r="Q49" s="837"/>
      <c r="R49" s="837"/>
      <c r="S49" s="837" t="s">
        <v>635</v>
      </c>
      <c r="T49" s="837"/>
    </row>
    <row r="50" spans="1:24" x14ac:dyDescent="0.2">
      <c r="C50" s="832"/>
      <c r="D50" s="832"/>
      <c r="E50" s="832"/>
      <c r="F50" s="832"/>
      <c r="G50" s="832"/>
      <c r="H50" s="832"/>
      <c r="I50" s="832" t="s">
        <v>586</v>
      </c>
      <c r="J50" s="355" t="e">
        <f>B40+C40-J49</f>
        <v>#DIV/0!</v>
      </c>
      <c r="K50" s="832"/>
      <c r="L50" s="832"/>
      <c r="M50" s="832"/>
      <c r="N50" s="832"/>
      <c r="O50" s="832"/>
      <c r="P50" s="832"/>
      <c r="Q50" s="832"/>
      <c r="R50" s="832"/>
      <c r="S50" s="832" t="s">
        <v>586</v>
      </c>
      <c r="T50" s="837" t="e">
        <f>L40+M40-T49</f>
        <v>#DIV/0!</v>
      </c>
    </row>
    <row r="51" spans="1:24" x14ac:dyDescent="0.2">
      <c r="C51" s="841"/>
      <c r="D51" s="841"/>
      <c r="E51" s="841"/>
      <c r="F51" s="841"/>
      <c r="G51" s="841"/>
      <c r="H51" s="841"/>
      <c r="I51" s="841"/>
      <c r="J51" s="841"/>
      <c r="K51" s="841"/>
      <c r="L51" s="841"/>
      <c r="M51" s="841"/>
      <c r="N51" s="841"/>
      <c r="O51" s="841"/>
      <c r="P51" s="841"/>
      <c r="Q51" s="841"/>
      <c r="R51" s="841"/>
      <c r="S51" s="841"/>
      <c r="T51" s="841"/>
    </row>
    <row r="52" spans="1:24" x14ac:dyDescent="0.2">
      <c r="C52" s="841"/>
      <c r="D52" s="841"/>
      <c r="E52" s="841"/>
      <c r="F52" s="841"/>
      <c r="G52" s="841"/>
      <c r="H52" s="841"/>
      <c r="I52" s="841"/>
      <c r="J52" s="841"/>
      <c r="K52" s="841"/>
      <c r="L52" s="841"/>
      <c r="M52" s="841"/>
      <c r="N52" s="841"/>
      <c r="O52" s="841"/>
      <c r="P52" s="841"/>
      <c r="Q52" s="841"/>
      <c r="R52" s="841"/>
      <c r="S52" s="841"/>
      <c r="T52" s="841"/>
    </row>
    <row r="53" spans="1:24" x14ac:dyDescent="0.2">
      <c r="A53" s="801" t="s">
        <v>970</v>
      </c>
      <c r="B53" s="830">
        <f>J25*12</f>
        <v>0</v>
      </c>
    </row>
    <row r="54" spans="1:24" x14ac:dyDescent="0.2">
      <c r="A54" s="801" t="s">
        <v>971</v>
      </c>
      <c r="B54" s="831">
        <f>T49</f>
        <v>0</v>
      </c>
      <c r="C54" s="830">
        <f>J49*12</f>
        <v>0</v>
      </c>
    </row>
    <row r="55" spans="1:24" x14ac:dyDescent="0.2">
      <c r="A55" s="801" t="s">
        <v>972</v>
      </c>
      <c r="B55" s="831">
        <f>B54-B53</f>
        <v>0</v>
      </c>
    </row>
    <row r="59" spans="1:24" ht="26.25" thickBot="1" x14ac:dyDescent="0.25">
      <c r="B59" s="1158" t="s">
        <v>982</v>
      </c>
      <c r="C59" s="1159"/>
      <c r="D59" s="1159"/>
      <c r="G59" s="800"/>
      <c r="H59" s="867" t="s">
        <v>481</v>
      </c>
      <c r="I59" s="800"/>
      <c r="J59" s="800"/>
      <c r="K59" s="800"/>
      <c r="L59" s="800"/>
      <c r="M59" s="800"/>
      <c r="N59" s="800"/>
      <c r="O59" s="800"/>
      <c r="P59" s="800"/>
      <c r="Q59" s="800"/>
      <c r="R59" s="800"/>
      <c r="S59" s="800"/>
      <c r="T59" s="800"/>
      <c r="U59" s="800"/>
      <c r="V59" s="800"/>
      <c r="W59" s="800"/>
      <c r="X59" s="800"/>
    </row>
    <row r="60" spans="1:24" ht="15.75" thickTop="1" x14ac:dyDescent="0.2">
      <c r="H60" s="868">
        <v>35</v>
      </c>
    </row>
    <row r="61" spans="1:24" x14ac:dyDescent="0.2">
      <c r="B61" s="801" t="s">
        <v>983</v>
      </c>
      <c r="C61" s="801" t="s">
        <v>984</v>
      </c>
      <c r="D61" s="801" t="s">
        <v>235</v>
      </c>
      <c r="E61" s="801" t="s">
        <v>985</v>
      </c>
      <c r="F61" s="801" t="s">
        <v>986</v>
      </c>
      <c r="H61" s="869">
        <v>45</v>
      </c>
    </row>
    <row r="62" spans="1:24" ht="15.75" thickBot="1" x14ac:dyDescent="0.25">
      <c r="A62" s="801" t="s">
        <v>987</v>
      </c>
      <c r="B62" s="830">
        <v>0</v>
      </c>
      <c r="C62" s="830">
        <v>0</v>
      </c>
      <c r="D62" s="830">
        <f>SUM(B62:C62)</f>
        <v>0</v>
      </c>
      <c r="E62" s="830">
        <v>0</v>
      </c>
      <c r="F62" s="830">
        <f>D62</f>
        <v>0</v>
      </c>
      <c r="H62" s="870">
        <v>50</v>
      </c>
    </row>
    <row r="63" spans="1:24" ht="15.75" thickTop="1" x14ac:dyDescent="0.2">
      <c r="A63" s="801" t="s">
        <v>988</v>
      </c>
      <c r="B63" s="830">
        <v>0</v>
      </c>
      <c r="C63" s="830">
        <v>0</v>
      </c>
      <c r="D63" s="830">
        <f>SUM(B63:C63)</f>
        <v>0</v>
      </c>
      <c r="E63" s="830">
        <v>35</v>
      </c>
      <c r="F63" s="830">
        <f>D63*((100-E63)/100)</f>
        <v>0</v>
      </c>
    </row>
    <row r="64" spans="1:24" ht="29.25" customHeight="1" x14ac:dyDescent="0.2">
      <c r="B64" s="830"/>
      <c r="C64" s="830"/>
      <c r="D64" s="1160" t="s">
        <v>989</v>
      </c>
      <c r="E64" s="1160"/>
      <c r="F64" s="871">
        <f>SUM(F62:F63)</f>
        <v>0</v>
      </c>
    </row>
  </sheetData>
  <mergeCells count="7">
    <mergeCell ref="M38:T38"/>
    <mergeCell ref="B59:D59"/>
    <mergeCell ref="D64:E64"/>
    <mergeCell ref="C1:H1"/>
    <mergeCell ref="E7:F7"/>
    <mergeCell ref="I37:J37"/>
    <mergeCell ref="C38:J38"/>
  </mergeCells>
  <dataValidations count="1">
    <dataValidation type="list" allowBlank="1" showInputMessage="1" showErrorMessage="1" sqref="E63">
      <formula1>$H$60:$H$62</formula1>
    </dataValidation>
  </dataValidations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101">
    <tabColor indexed="45"/>
  </sheetPr>
  <dimension ref="A1:AL50"/>
  <sheetViews>
    <sheetView rightToLeft="1" topLeftCell="A27" workbookViewId="0">
      <selection activeCell="AL8" sqref="AL8"/>
    </sheetView>
  </sheetViews>
  <sheetFormatPr defaultRowHeight="12.75" x14ac:dyDescent="0.2"/>
  <cols>
    <col min="1" max="2" width="9.140625" style="844"/>
    <col min="3" max="3" width="13.5703125" style="844" customWidth="1"/>
    <col min="4" max="4" width="16.28515625" style="844" customWidth="1"/>
    <col min="5" max="5" width="14.28515625" style="844" customWidth="1"/>
    <col min="6" max="6" width="13.28515625" style="844" bestFit="1" customWidth="1"/>
    <col min="7" max="7" width="17.140625" style="844" customWidth="1"/>
    <col min="8" max="8" width="15.42578125" style="844" customWidth="1"/>
    <col min="9" max="9" width="13.28515625" style="844" customWidth="1"/>
    <col min="10" max="10" width="16" style="844" customWidth="1"/>
    <col min="11" max="11" width="14.42578125" style="844" customWidth="1"/>
    <col min="12" max="12" width="13" style="844" customWidth="1"/>
    <col min="13" max="13" width="12.5703125" style="844" customWidth="1"/>
    <col min="14" max="14" width="16.5703125" style="844" customWidth="1"/>
    <col min="15" max="15" width="19.28515625" style="844" customWidth="1"/>
    <col min="16" max="16" width="3.42578125" style="844" customWidth="1"/>
    <col min="17" max="17" width="15.7109375" style="844" customWidth="1"/>
    <col min="18" max="18" width="16.140625" style="844" customWidth="1"/>
    <col min="19" max="19" width="11.42578125" style="844" customWidth="1"/>
    <col min="20" max="20" width="14.85546875" style="844" customWidth="1"/>
    <col min="21" max="21" width="14.140625" style="844" customWidth="1"/>
    <col min="22" max="22" width="13.5703125" style="844" customWidth="1"/>
    <col min="23" max="23" width="9.140625" style="844"/>
    <col min="24" max="24" width="18.28515625" style="844" customWidth="1"/>
    <col min="25" max="16384" width="9.140625" style="844"/>
  </cols>
  <sheetData>
    <row r="1" spans="1:38" x14ac:dyDescent="0.2">
      <c r="I1" s="879" t="s">
        <v>669</v>
      </c>
      <c r="J1" s="362" t="s">
        <v>627</v>
      </c>
      <c r="K1" s="363">
        <f>'[1]נתוני יסוד'!B26</f>
        <v>0</v>
      </c>
      <c r="L1" s="1183" t="s">
        <v>481</v>
      </c>
      <c r="M1" s="1183"/>
      <c r="N1" s="880" t="e">
        <f>((X20-X43)*D24)+(D23/D24/2)</f>
        <v>#DIV/0!</v>
      </c>
    </row>
    <row r="2" spans="1:38" x14ac:dyDescent="0.2">
      <c r="E2" s="1126" t="s">
        <v>645</v>
      </c>
      <c r="F2" s="1126"/>
      <c r="G2" s="1126"/>
      <c r="H2" s="364">
        <v>0</v>
      </c>
      <c r="I2" s="881"/>
      <c r="J2" s="325" t="s">
        <v>670</v>
      </c>
      <c r="K2" s="365">
        <f>'[1]נתוני יסוד'!B27</f>
        <v>0</v>
      </c>
      <c r="L2" s="1184"/>
      <c r="M2" s="1184"/>
      <c r="N2" s="882" t="e">
        <f>((X20-X43)*D24)</f>
        <v>#DIV/0!</v>
      </c>
    </row>
    <row r="3" spans="1:38" x14ac:dyDescent="0.2">
      <c r="B3" s="847"/>
      <c r="C3" s="847"/>
      <c r="D3" s="847"/>
      <c r="E3" s="847"/>
      <c r="F3" s="847"/>
      <c r="G3" s="847"/>
      <c r="H3" s="846"/>
      <c r="I3" s="366"/>
      <c r="J3" s="367" t="s">
        <v>671</v>
      </c>
      <c r="K3" s="368">
        <f>'[1]נתוני יסוד'!B28</f>
        <v>0</v>
      </c>
      <c r="L3" s="1184"/>
      <c r="M3" s="1184"/>
      <c r="N3" s="369"/>
      <c r="O3" s="842"/>
      <c r="P3" s="847"/>
      <c r="Q3" s="847"/>
      <c r="R3" s="847"/>
      <c r="S3" s="847"/>
      <c r="T3" s="847"/>
      <c r="U3" s="847"/>
      <c r="V3" s="847"/>
      <c r="W3" s="847"/>
      <c r="X3" s="847"/>
      <c r="Y3" s="847"/>
      <c r="Z3" s="847"/>
      <c r="AA3" s="847"/>
      <c r="AB3" s="847"/>
      <c r="AC3" s="847"/>
      <c r="AD3" s="847"/>
      <c r="AE3" s="847"/>
      <c r="AF3" s="847"/>
      <c r="AG3" s="847"/>
      <c r="AH3" s="847"/>
      <c r="AI3" s="847"/>
      <c r="AJ3" s="847"/>
      <c r="AK3" s="847"/>
      <c r="AL3" s="847"/>
    </row>
    <row r="4" spans="1:38" x14ac:dyDescent="0.2">
      <c r="B4" s="847"/>
      <c r="C4" s="847"/>
      <c r="D4" s="847"/>
      <c r="E4" s="847"/>
      <c r="F4" s="847"/>
      <c r="G4" s="847"/>
      <c r="H4" s="846"/>
      <c r="I4" s="366"/>
      <c r="J4" s="367" t="s">
        <v>382</v>
      </c>
      <c r="K4" s="368">
        <f>'[1]נתוני יסוד'!B29</f>
        <v>0</v>
      </c>
      <c r="L4" s="1184"/>
      <c r="M4" s="1184"/>
      <c r="N4" s="369"/>
      <c r="O4" s="842"/>
      <c r="P4" s="847"/>
      <c r="Q4" s="847"/>
      <c r="R4" s="847"/>
      <c r="S4" s="847"/>
      <c r="T4" s="847"/>
      <c r="U4" s="847"/>
      <c r="V4" s="847"/>
      <c r="W4" s="847"/>
      <c r="X4" s="847"/>
      <c r="Y4" s="847"/>
      <c r="Z4" s="847"/>
      <c r="AA4" s="847"/>
      <c r="AB4" s="847"/>
      <c r="AC4" s="847"/>
      <c r="AD4" s="847"/>
      <c r="AE4" s="847"/>
      <c r="AF4" s="847"/>
      <c r="AG4" s="847"/>
      <c r="AH4" s="847"/>
      <c r="AI4" s="847"/>
      <c r="AJ4" s="847"/>
      <c r="AK4" s="847"/>
      <c r="AL4" s="847"/>
    </row>
    <row r="5" spans="1:38" ht="13.5" thickBot="1" x14ac:dyDescent="0.25">
      <c r="B5" s="1129" t="s">
        <v>642</v>
      </c>
      <c r="C5" s="1053"/>
      <c r="D5" s="370">
        <f>'[1]נתוני יסוד'!B4</f>
        <v>0</v>
      </c>
      <c r="E5" s="847" t="s">
        <v>643</v>
      </c>
      <c r="F5" s="847"/>
      <c r="G5" s="847"/>
      <c r="H5" s="846"/>
      <c r="I5" s="371"/>
      <c r="J5" s="372" t="s">
        <v>672</v>
      </c>
      <c r="K5" s="373">
        <f>'[1]נתוני יסוד'!B30</f>
        <v>0</v>
      </c>
      <c r="L5" s="1185"/>
      <c r="M5" s="1185"/>
      <c r="N5" s="374"/>
      <c r="O5" s="842"/>
      <c r="P5" s="847"/>
      <c r="Q5" s="847"/>
      <c r="R5" s="847"/>
      <c r="S5" s="847"/>
      <c r="T5" s="847"/>
      <c r="U5" s="847"/>
      <c r="V5" s="847"/>
      <c r="W5" s="847"/>
      <c r="X5" s="847"/>
      <c r="Y5" s="847"/>
      <c r="Z5" s="847"/>
      <c r="AA5" s="847"/>
      <c r="AB5" s="847"/>
      <c r="AC5" s="847"/>
      <c r="AD5" s="847"/>
      <c r="AE5" s="847"/>
      <c r="AF5" s="847"/>
      <c r="AG5" s="847"/>
      <c r="AH5" s="847"/>
      <c r="AI5" s="847"/>
      <c r="AJ5" s="847"/>
      <c r="AK5" s="847"/>
      <c r="AL5" s="847"/>
    </row>
    <row r="6" spans="1:38" x14ac:dyDescent="0.2">
      <c r="B6" s="1129" t="s">
        <v>644</v>
      </c>
      <c r="C6" s="1053"/>
      <c r="D6" s="370">
        <f>'[1]נתוני יסוד'!B6</f>
        <v>45874.826249999998</v>
      </c>
      <c r="E6" s="847"/>
      <c r="F6" s="1129" t="s">
        <v>646</v>
      </c>
      <c r="G6" s="1053"/>
      <c r="H6" s="333">
        <f>(D6-D5)/365.25</f>
        <v>125.59842915811087</v>
      </c>
      <c r="I6" s="60"/>
      <c r="J6" s="60"/>
      <c r="K6" s="60" t="s">
        <v>990</v>
      </c>
      <c r="L6" s="1186" t="s">
        <v>991</v>
      </c>
      <c r="M6" s="1187"/>
      <c r="N6" s="883">
        <f>'[1]נתוני יסוד'!E23+'[1]נתוני יסוד'!E24+'[1]נתוני יסוד'!E27+'[1]חישובי מקורות א'!BC6</f>
        <v>0</v>
      </c>
      <c r="O6" s="847"/>
      <c r="P6" s="847"/>
      <c r="Q6" s="847"/>
      <c r="R6" s="847"/>
      <c r="S6" s="847"/>
      <c r="T6" s="847"/>
      <c r="U6" s="847"/>
      <c r="V6" s="847"/>
      <c r="W6" s="847"/>
      <c r="X6" s="847"/>
      <c r="Y6" s="847"/>
      <c r="Z6" s="847"/>
      <c r="AA6" s="847"/>
      <c r="AB6" s="847"/>
      <c r="AC6" s="847"/>
      <c r="AD6" s="847"/>
      <c r="AE6" s="847"/>
      <c r="AF6" s="847"/>
      <c r="AG6" s="847"/>
      <c r="AH6" s="847"/>
      <c r="AI6" s="847"/>
      <c r="AJ6" s="847"/>
      <c r="AK6" s="847"/>
      <c r="AL6" s="847"/>
    </row>
    <row r="7" spans="1:38" x14ac:dyDescent="0.2">
      <c r="B7" s="847"/>
      <c r="C7" s="847"/>
      <c r="D7" s="847"/>
      <c r="E7" s="847"/>
      <c r="F7" s="847"/>
      <c r="G7" s="847"/>
      <c r="H7" s="847"/>
      <c r="I7" s="847"/>
      <c r="J7" s="847"/>
      <c r="K7" s="847"/>
      <c r="L7" s="847"/>
      <c r="M7" s="847"/>
      <c r="N7" s="847"/>
      <c r="O7" s="847"/>
      <c r="P7" s="847"/>
      <c r="Q7" s="847"/>
      <c r="R7" s="847"/>
      <c r="S7" s="847"/>
      <c r="T7" s="847"/>
      <c r="U7" s="847"/>
      <c r="V7" s="847"/>
      <c r="W7" s="847"/>
      <c r="X7" s="847"/>
      <c r="Y7" s="847"/>
      <c r="Z7" s="847"/>
      <c r="AA7" s="847"/>
      <c r="AB7" s="847"/>
    </row>
    <row r="8" spans="1:38" ht="26.25" x14ac:dyDescent="0.2">
      <c r="B8" s="1130" t="s">
        <v>992</v>
      </c>
      <c r="C8" s="1131"/>
      <c r="D8" s="1131"/>
      <c r="E8" s="1131"/>
      <c r="F8" s="1131"/>
      <c r="G8" s="1131"/>
      <c r="H8" s="1131"/>
      <c r="I8" s="1131"/>
      <c r="J8" s="1131"/>
      <c r="K8" s="1132"/>
      <c r="L8" s="847"/>
      <c r="M8" s="847"/>
      <c r="N8" s="847"/>
      <c r="O8" s="847"/>
      <c r="P8" s="847"/>
      <c r="Q8" s="1133"/>
      <c r="R8" s="1052"/>
      <c r="S8" s="1053"/>
      <c r="T8" s="847"/>
      <c r="U8" s="847"/>
      <c r="V8" s="847"/>
      <c r="W8" s="847"/>
      <c r="X8" s="847"/>
      <c r="Y8" s="847"/>
      <c r="Z8" s="847"/>
      <c r="AA8" s="847"/>
      <c r="AB8" s="847"/>
    </row>
    <row r="9" spans="1:38" ht="26.25" x14ac:dyDescent="0.2">
      <c r="B9" s="847"/>
      <c r="C9" s="847"/>
      <c r="D9" s="847"/>
      <c r="E9" s="847"/>
      <c r="F9" s="847"/>
      <c r="G9" s="1175" t="s">
        <v>993</v>
      </c>
      <c r="H9" s="1176"/>
      <c r="I9" s="1176"/>
      <c r="J9" s="1176"/>
      <c r="K9" s="1177"/>
      <c r="L9" s="847"/>
      <c r="M9" s="847"/>
      <c r="N9" s="847"/>
      <c r="O9" s="847"/>
      <c r="P9" s="847"/>
      <c r="Q9" s="1178" t="s">
        <v>994</v>
      </c>
      <c r="R9" s="1179"/>
      <c r="S9" s="1179"/>
      <c r="T9" s="1179"/>
      <c r="U9" s="1180"/>
      <c r="V9" s="847"/>
      <c r="W9" s="847"/>
      <c r="X9" s="847"/>
      <c r="Y9" s="847"/>
      <c r="Z9" s="847"/>
      <c r="AA9" s="847"/>
      <c r="AB9" s="847"/>
    </row>
    <row r="10" spans="1:38" ht="25.5" x14ac:dyDescent="0.2">
      <c r="B10" s="1129" t="s">
        <v>636</v>
      </c>
      <c r="C10" s="1053"/>
      <c r="D10" s="76">
        <f>SUM(D45:D49)</f>
        <v>0</v>
      </c>
      <c r="E10" s="847"/>
      <c r="F10" s="80"/>
      <c r="G10" s="80" t="s">
        <v>650</v>
      </c>
      <c r="H10" s="80" t="s">
        <v>636</v>
      </c>
      <c r="I10" s="332" t="s">
        <v>637</v>
      </c>
      <c r="J10" s="80" t="s">
        <v>638</v>
      </c>
      <c r="K10" s="80"/>
      <c r="L10" s="80"/>
      <c r="M10" s="80"/>
      <c r="N10" s="80"/>
      <c r="O10" s="847"/>
      <c r="P10" s="847"/>
      <c r="Q10" s="847" t="s">
        <v>651</v>
      </c>
      <c r="R10" s="847" t="s">
        <v>639</v>
      </c>
      <c r="S10" s="330" t="s">
        <v>640</v>
      </c>
      <c r="T10" s="847" t="s">
        <v>641</v>
      </c>
      <c r="U10" s="847"/>
      <c r="V10" s="847"/>
      <c r="W10" s="847"/>
      <c r="X10" s="847"/>
      <c r="Y10" s="847"/>
      <c r="Z10" s="847"/>
      <c r="AA10" s="847"/>
      <c r="AB10" s="847"/>
    </row>
    <row r="11" spans="1:38" ht="14.1" customHeight="1" x14ac:dyDescent="0.2">
      <c r="B11" s="1129" t="s">
        <v>673</v>
      </c>
      <c r="C11" s="1053"/>
      <c r="D11" s="76">
        <f>SUM(K1:K5)</f>
        <v>0</v>
      </c>
      <c r="E11" s="847"/>
      <c r="F11" s="80"/>
      <c r="G11" s="86" t="e">
        <f>Q11/12</f>
        <v>#DIV/0!</v>
      </c>
      <c r="H11" s="339">
        <f>D11</f>
        <v>0</v>
      </c>
      <c r="I11" s="339">
        <f>K4</f>
        <v>0</v>
      </c>
      <c r="J11" s="351" t="e">
        <f>H11-I11+G11</f>
        <v>#DIV/0!</v>
      </c>
      <c r="K11" s="80"/>
      <c r="L11" s="80"/>
      <c r="M11" s="80"/>
      <c r="N11" s="80"/>
      <c r="O11" s="847"/>
      <c r="P11" s="847"/>
      <c r="Q11" s="76" t="e">
        <f>(D23)/D24</f>
        <v>#DIV/0!</v>
      </c>
      <c r="R11" s="76">
        <f>H11*12</f>
        <v>0</v>
      </c>
      <c r="S11" s="76">
        <f>I11*12</f>
        <v>0</v>
      </c>
      <c r="T11" s="76" t="e">
        <f>R11-S11+Q11</f>
        <v>#DIV/0!</v>
      </c>
      <c r="U11" s="331"/>
      <c r="V11" s="331"/>
      <c r="W11" s="331"/>
      <c r="X11" s="847"/>
      <c r="Y11" s="847"/>
      <c r="Z11" s="847"/>
      <c r="AA11" s="847"/>
      <c r="AB11" s="847"/>
    </row>
    <row r="12" spans="1:38" ht="14.1" customHeight="1" x14ac:dyDescent="0.2">
      <c r="B12" s="1129" t="s">
        <v>674</v>
      </c>
      <c r="C12" s="1053"/>
      <c r="D12" s="64">
        <f>'[1]נתוני יסוד'!B33</f>
        <v>0</v>
      </c>
      <c r="E12" s="847"/>
      <c r="F12" s="80"/>
      <c r="G12" s="80"/>
      <c r="H12" s="80"/>
      <c r="I12" s="80"/>
      <c r="J12" s="80"/>
      <c r="K12" s="80"/>
      <c r="L12" s="80"/>
      <c r="M12" s="80"/>
      <c r="N12" s="80"/>
      <c r="O12" s="847"/>
      <c r="P12" s="847"/>
      <c r="Q12" s="331"/>
      <c r="R12" s="331"/>
      <c r="S12" s="331"/>
      <c r="T12" s="331"/>
      <c r="U12" s="331"/>
      <c r="V12" s="331"/>
      <c r="W12" s="331"/>
      <c r="X12" s="847"/>
      <c r="Y12" s="847"/>
      <c r="Z12" s="847"/>
      <c r="AA12" s="847"/>
      <c r="AB12" s="847"/>
    </row>
    <row r="13" spans="1:38" ht="14.1" customHeight="1" x14ac:dyDescent="0.2">
      <c r="B13" s="1181" t="s">
        <v>995</v>
      </c>
      <c r="C13" s="1182"/>
      <c r="D13" s="884">
        <f>D12-D19</f>
        <v>0</v>
      </c>
      <c r="E13" s="847"/>
      <c r="F13" s="80"/>
      <c r="G13" s="80" t="s">
        <v>631</v>
      </c>
      <c r="H13" s="80" t="s">
        <v>632</v>
      </c>
      <c r="I13" s="80" t="s">
        <v>542</v>
      </c>
      <c r="J13" s="80" t="s">
        <v>632</v>
      </c>
      <c r="K13" s="80" t="s">
        <v>633</v>
      </c>
      <c r="L13" s="80" t="s">
        <v>634</v>
      </c>
      <c r="M13" s="80"/>
      <c r="N13" s="80"/>
      <c r="O13" s="847"/>
      <c r="P13" s="847"/>
      <c r="Q13" s="331" t="s">
        <v>631</v>
      </c>
      <c r="R13" s="331" t="s">
        <v>632</v>
      </c>
      <c r="S13" s="331" t="s">
        <v>542</v>
      </c>
      <c r="T13" s="331" t="s">
        <v>632</v>
      </c>
      <c r="U13" s="331" t="s">
        <v>633</v>
      </c>
      <c r="V13" s="331" t="s">
        <v>634</v>
      </c>
      <c r="W13" s="331"/>
      <c r="X13" s="847"/>
      <c r="Y13" s="847"/>
      <c r="Z13" s="847"/>
      <c r="AA13" s="847"/>
      <c r="AB13" s="847"/>
    </row>
    <row r="14" spans="1:38" ht="14.1" customHeight="1" x14ac:dyDescent="0.2">
      <c r="A14" s="845"/>
      <c r="B14" s="843"/>
      <c r="C14" s="843"/>
      <c r="D14" s="847"/>
      <c r="E14" s="847"/>
      <c r="F14" s="80"/>
      <c r="G14" s="885">
        <f>H14</f>
        <v>5270</v>
      </c>
      <c r="H14" s="885">
        <f>'[1]חישובי מיסוי פנסיה פתוחים'!B6</f>
        <v>5270</v>
      </c>
      <c r="I14" s="342">
        <f>'[1]חישובי מיסוי פנסיה פתוחים'!C6</f>
        <v>0.1</v>
      </c>
      <c r="J14" s="80" t="e">
        <f>IF(J11&gt;G14,H14,J11)</f>
        <v>#DIV/0!</v>
      </c>
      <c r="K14" s="80" t="e">
        <f t="shared" ref="K14:K19" si="0">J14*I14</f>
        <v>#DIV/0!</v>
      </c>
      <c r="L14" s="80" t="e">
        <f>K14</f>
        <v>#DIV/0!</v>
      </c>
      <c r="M14" s="80"/>
      <c r="N14" s="80"/>
      <c r="O14" s="847"/>
      <c r="P14" s="847"/>
      <c r="Q14" s="341">
        <f>R14</f>
        <v>63240</v>
      </c>
      <c r="R14" s="341">
        <f>H14*12</f>
        <v>63240</v>
      </c>
      <c r="S14" s="342">
        <f t="shared" ref="S14:S19" si="1">I14</f>
        <v>0.1</v>
      </c>
      <c r="T14" s="331" t="e">
        <f>IF(T11&gt;Q14,R14,T11)</f>
        <v>#DIV/0!</v>
      </c>
      <c r="U14" s="331" t="e">
        <f t="shared" ref="U14:U19" si="2">T14*S14</f>
        <v>#DIV/0!</v>
      </c>
      <c r="V14" s="331" t="e">
        <f>U14</f>
        <v>#DIV/0!</v>
      </c>
      <c r="W14" s="331"/>
      <c r="X14" s="847"/>
      <c r="Y14" s="847"/>
      <c r="Z14" s="847"/>
      <c r="AA14" s="847"/>
      <c r="AB14" s="847"/>
    </row>
    <row r="15" spans="1:38" ht="14.1" customHeight="1" x14ac:dyDescent="0.2">
      <c r="B15" s="1129" t="s">
        <v>655</v>
      </c>
      <c r="C15" s="1053"/>
      <c r="D15" s="344">
        <f>H6</f>
        <v>125.59842915811087</v>
      </c>
      <c r="E15" s="847"/>
      <c r="F15" s="80"/>
      <c r="G15" s="885">
        <f>G14+H15</f>
        <v>9000</v>
      </c>
      <c r="H15" s="885">
        <f>'[1]חישובי מיסוי פנסיה פתוחים'!B7</f>
        <v>3730</v>
      </c>
      <c r="I15" s="342">
        <f>'[1]חישובי מיסוי פנסיה פתוחים'!C7</f>
        <v>0.14000000000000001</v>
      </c>
      <c r="J15" s="80" t="e">
        <f>IF(J11&gt;G15,H15,IF(J11&lt;G14,0,J11-G14))</f>
        <v>#DIV/0!</v>
      </c>
      <c r="K15" s="80" t="e">
        <f t="shared" si="0"/>
        <v>#DIV/0!</v>
      </c>
      <c r="L15" s="80" t="e">
        <f>L14+K15</f>
        <v>#DIV/0!</v>
      </c>
      <c r="M15" s="80"/>
      <c r="N15" s="80"/>
      <c r="O15" s="847"/>
      <c r="P15" s="847"/>
      <c r="Q15" s="341">
        <f>Q14+R15</f>
        <v>108000</v>
      </c>
      <c r="R15" s="341">
        <f>H15*12</f>
        <v>44760</v>
      </c>
      <c r="S15" s="342">
        <f t="shared" si="1"/>
        <v>0.14000000000000001</v>
      </c>
      <c r="T15" s="331" t="e">
        <f>IF(T11&gt;Q15,R15,IF(T11&lt;Q14,0,T11-Q14))</f>
        <v>#DIV/0!</v>
      </c>
      <c r="U15" s="331" t="e">
        <f t="shared" si="2"/>
        <v>#DIV/0!</v>
      </c>
      <c r="V15" s="331" t="e">
        <f>V14+U15</f>
        <v>#DIV/0!</v>
      </c>
      <c r="W15" s="331"/>
      <c r="X15" s="847"/>
      <c r="Y15" s="847"/>
      <c r="Z15" s="847"/>
      <c r="AA15" s="847"/>
      <c r="AB15" s="847"/>
    </row>
    <row r="16" spans="1:38" ht="14.1" customHeight="1" x14ac:dyDescent="0.2">
      <c r="B16" s="1129" t="s">
        <v>656</v>
      </c>
      <c r="C16" s="1053"/>
      <c r="D16" s="328">
        <f>IF(D15&lt;=3,0,IF(D15&lt;=7,1,IF(D15&lt;=11,2,IF(D15&lt;=15,3,IF(D15&lt;=19,4,IF(D15&lt;=23,5,IF(D15&lt;=99,6,0)))))))</f>
        <v>0</v>
      </c>
      <c r="E16" s="847"/>
      <c r="F16" s="80"/>
      <c r="G16" s="885">
        <f>G15+H16</f>
        <v>13990</v>
      </c>
      <c r="H16" s="885">
        <f>'[1]חישובי מיסוי פנסיה פתוחים'!B8</f>
        <v>4990</v>
      </c>
      <c r="I16" s="342">
        <f>'[1]חישובי מיסוי פנסיה פתוחים'!C8</f>
        <v>0.21</v>
      </c>
      <c r="J16" s="80" t="e">
        <f>IF(J11&gt;G16,H16,IF(J11&lt;G15,0,J11-G15))</f>
        <v>#DIV/0!</v>
      </c>
      <c r="K16" s="80" t="e">
        <f t="shared" si="0"/>
        <v>#DIV/0!</v>
      </c>
      <c r="L16" s="80" t="e">
        <f>L15+K16</f>
        <v>#DIV/0!</v>
      </c>
      <c r="M16" s="80"/>
      <c r="N16" s="80"/>
      <c r="O16" s="847"/>
      <c r="P16" s="847"/>
      <c r="Q16" s="341">
        <f>Q15+R16</f>
        <v>167880</v>
      </c>
      <c r="R16" s="341">
        <f>H16*12</f>
        <v>59880</v>
      </c>
      <c r="S16" s="342">
        <f t="shared" si="1"/>
        <v>0.21</v>
      </c>
      <c r="T16" s="331" t="e">
        <f>IF(T11&gt;Q16,R16,IF(T11&lt;Q15,0,T11-Q15))</f>
        <v>#DIV/0!</v>
      </c>
      <c r="U16" s="331" t="e">
        <f t="shared" si="2"/>
        <v>#DIV/0!</v>
      </c>
      <c r="V16" s="331" t="e">
        <f>V15+U16</f>
        <v>#DIV/0!</v>
      </c>
      <c r="W16" s="331"/>
      <c r="X16" s="847"/>
      <c r="Y16" s="847"/>
      <c r="Z16" s="847"/>
      <c r="AA16" s="847"/>
      <c r="AB16" s="847"/>
    </row>
    <row r="17" spans="2:28" ht="14.1" customHeight="1" x14ac:dyDescent="0.2">
      <c r="B17" s="846"/>
      <c r="C17" s="842"/>
      <c r="D17" s="328"/>
      <c r="E17" s="847"/>
      <c r="F17" s="80"/>
      <c r="G17" s="885">
        <f>G16+H17</f>
        <v>19980</v>
      </c>
      <c r="H17" s="885">
        <f>'[1]חישובי מיסוי פנסיה פתוחים'!B9</f>
        <v>5990</v>
      </c>
      <c r="I17" s="342">
        <f>'[1]חישובי מיסוי פנסיה פתוחים'!C9</f>
        <v>0.31</v>
      </c>
      <c r="J17" s="80" t="e">
        <f>IF(J11&gt;G17,H17,IF(J11&lt;G16,0,J11-G16))</f>
        <v>#DIV/0!</v>
      </c>
      <c r="K17" s="80" t="e">
        <f t="shared" si="0"/>
        <v>#DIV/0!</v>
      </c>
      <c r="L17" s="80" t="e">
        <f>L16+K17</f>
        <v>#DIV/0!</v>
      </c>
      <c r="M17" s="80"/>
      <c r="N17" s="80"/>
      <c r="O17" s="847"/>
      <c r="P17" s="847"/>
      <c r="Q17" s="341">
        <f>Q16+R17</f>
        <v>239760</v>
      </c>
      <c r="R17" s="341">
        <f>H17*12</f>
        <v>71880</v>
      </c>
      <c r="S17" s="342">
        <f t="shared" si="1"/>
        <v>0.31</v>
      </c>
      <c r="T17" s="331" t="e">
        <f>IF(T11&gt;Q17,R17,IF(T11&lt;Q16,0,T11-Q16))</f>
        <v>#DIV/0!</v>
      </c>
      <c r="U17" s="331" t="e">
        <f t="shared" si="2"/>
        <v>#DIV/0!</v>
      </c>
      <c r="V17" s="331" t="e">
        <f>V16+U17</f>
        <v>#DIV/0!</v>
      </c>
      <c r="W17" s="331"/>
      <c r="X17" s="847"/>
      <c r="Y17" s="847"/>
      <c r="Z17" s="847"/>
      <c r="AA17" s="847"/>
      <c r="AB17" s="847"/>
    </row>
    <row r="18" spans="2:28" x14ac:dyDescent="0.2">
      <c r="B18" s="847"/>
      <c r="C18" s="847"/>
      <c r="D18" s="847"/>
      <c r="E18" s="847"/>
      <c r="F18" s="80"/>
      <c r="G18" s="885">
        <f>G17+H18</f>
        <v>41790</v>
      </c>
      <c r="H18" s="885">
        <f>'[1]חישובי מיסוי פנסיה פתוחים'!B10</f>
        <v>21810</v>
      </c>
      <c r="I18" s="342">
        <f>'[1]חישובי מיסוי פנסיה פתוחים'!C10</f>
        <v>0.34</v>
      </c>
      <c r="J18" s="80" t="e">
        <f>IF(J11&gt;G18,H18,IF(J11&lt;G17,0,J11-G17))</f>
        <v>#DIV/0!</v>
      </c>
      <c r="K18" s="80" t="e">
        <f t="shared" si="0"/>
        <v>#DIV/0!</v>
      </c>
      <c r="L18" s="80" t="e">
        <f>L17+K18</f>
        <v>#DIV/0!</v>
      </c>
      <c r="M18" s="80"/>
      <c r="N18" s="80"/>
      <c r="O18" s="847"/>
      <c r="P18" s="847"/>
      <c r="Q18" s="341">
        <f>Q17+R18</f>
        <v>501480</v>
      </c>
      <c r="R18" s="341">
        <f>H18*12</f>
        <v>261720</v>
      </c>
      <c r="S18" s="342">
        <f t="shared" si="1"/>
        <v>0.34</v>
      </c>
      <c r="T18" s="331" t="e">
        <f>IF(T11&gt;Q18,R18,IF(T11&lt;Q17,0,T11-Q17))</f>
        <v>#DIV/0!</v>
      </c>
      <c r="U18" s="331" t="e">
        <f t="shared" si="2"/>
        <v>#DIV/0!</v>
      </c>
      <c r="V18" s="331" t="e">
        <f>V17+U18</f>
        <v>#DIV/0!</v>
      </c>
      <c r="W18" s="331"/>
      <c r="X18" s="847"/>
      <c r="Y18" s="847"/>
      <c r="Z18" s="847"/>
      <c r="AA18" s="847"/>
      <c r="AB18" s="847"/>
    </row>
    <row r="19" spans="2:28" x14ac:dyDescent="0.2">
      <c r="B19" s="1129" t="s">
        <v>576</v>
      </c>
      <c r="C19" s="1053"/>
      <c r="D19" s="99">
        <f>IF(D12&gt;'[1]נתוני יסוד'!M6,'[1]נתוני יסוד'!M6,D12)</f>
        <v>0</v>
      </c>
      <c r="E19" s="847"/>
      <c r="F19" s="80"/>
      <c r="G19" s="885">
        <v>99999999</v>
      </c>
      <c r="H19" s="885" t="e">
        <f>IF(J11-G18&gt;=0,J11-G18,0)</f>
        <v>#DIV/0!</v>
      </c>
      <c r="I19" s="342">
        <f>'[1]חישובי מיסוי פנסיה פתוחים'!C11</f>
        <v>0.48</v>
      </c>
      <c r="J19" s="80" t="e">
        <f>IF(J11&gt;G19,H19,IF(J11&lt;G18,0,J11-G18))</f>
        <v>#DIV/0!</v>
      </c>
      <c r="K19" s="80" t="e">
        <f t="shared" si="0"/>
        <v>#DIV/0!</v>
      </c>
      <c r="L19" s="80" t="e">
        <f>L18+K19</f>
        <v>#DIV/0!</v>
      </c>
      <c r="M19" s="80"/>
      <c r="N19" s="80"/>
      <c r="O19" s="847"/>
      <c r="P19" s="847"/>
      <c r="Q19" s="341">
        <v>99999999</v>
      </c>
      <c r="R19" s="341" t="e">
        <f>IF(T11-Q18&gt;=0,T11-Q18,0)</f>
        <v>#DIV/0!</v>
      </c>
      <c r="S19" s="342">
        <f t="shared" si="1"/>
        <v>0.48</v>
      </c>
      <c r="T19" s="331" t="e">
        <f>IF(T11&gt;Q19,R19,IF(T11&lt;Q18,0,T11-Q18))</f>
        <v>#DIV/0!</v>
      </c>
      <c r="U19" s="331" t="e">
        <f t="shared" si="2"/>
        <v>#DIV/0!</v>
      </c>
      <c r="V19" s="331" t="e">
        <f>V18+U19</f>
        <v>#DIV/0!</v>
      </c>
      <c r="W19" s="331"/>
      <c r="X19" s="847"/>
      <c r="Y19" s="847"/>
      <c r="Z19" s="847"/>
      <c r="AA19" s="847"/>
      <c r="AB19" s="847"/>
    </row>
    <row r="20" spans="2:28" ht="25.5" x14ac:dyDescent="0.2">
      <c r="B20" s="847" t="s">
        <v>370</v>
      </c>
      <c r="C20" s="847" t="s">
        <v>376</v>
      </c>
      <c r="D20" s="847"/>
      <c r="E20" s="346"/>
      <c r="F20" s="80"/>
      <c r="G20" s="80"/>
      <c r="H20" s="80"/>
      <c r="I20" s="80"/>
      <c r="J20" s="80"/>
      <c r="K20" s="80"/>
      <c r="L20" s="80"/>
      <c r="M20" s="80" t="s">
        <v>635</v>
      </c>
      <c r="N20" s="80" t="e">
        <f>IF(L19-'[1]נתוני יסוד'!L2&gt;=0,L19-'[1]נתוני יסוד'!L2,0)</f>
        <v>#DIV/0!</v>
      </c>
      <c r="O20" s="847"/>
      <c r="P20" s="847"/>
      <c r="Q20" s="331"/>
      <c r="R20" s="331"/>
      <c r="S20" s="331"/>
      <c r="T20" s="331"/>
      <c r="U20" s="331"/>
      <c r="V20" s="331"/>
      <c r="W20" s="331" t="s">
        <v>635</v>
      </c>
      <c r="X20" s="331" t="e">
        <f>IF(V19-'[1]נתוני יסוד'!L1&gt;=0,V19-'[1]נתוני יסוד'!L1,0)</f>
        <v>#DIV/0!</v>
      </c>
      <c r="Y20" s="847"/>
      <c r="Z20" s="847"/>
      <c r="AA20" s="847"/>
      <c r="AB20" s="847"/>
    </row>
    <row r="21" spans="2:28" x14ac:dyDescent="0.2">
      <c r="B21" s="64">
        <f>'[1]נתוני יסוד'!E9</f>
        <v>7200</v>
      </c>
      <c r="C21" s="64">
        <f>'[1]נתוני יסוד'!E10</f>
        <v>7400</v>
      </c>
      <c r="D21" s="847"/>
      <c r="E21" s="847"/>
      <c r="F21" s="80"/>
      <c r="G21" s="80"/>
      <c r="H21" s="80"/>
      <c r="I21" s="80"/>
      <c r="J21" s="80"/>
      <c r="K21" s="80"/>
      <c r="L21" s="80"/>
      <c r="M21" s="80" t="s">
        <v>586</v>
      </c>
      <c r="N21" s="80" t="e">
        <f>H11+G11-N20</f>
        <v>#DIV/0!</v>
      </c>
      <c r="O21" s="847"/>
      <c r="P21" s="847"/>
      <c r="Q21" s="847"/>
      <c r="R21" s="847"/>
      <c r="S21" s="847"/>
      <c r="T21" s="847"/>
      <c r="U21" s="847"/>
      <c r="V21" s="847"/>
      <c r="W21" s="847" t="s">
        <v>586</v>
      </c>
      <c r="X21" s="331" t="e">
        <f>R11+Q11-X20</f>
        <v>#DIV/0!</v>
      </c>
      <c r="Y21" s="847"/>
      <c r="Z21" s="847"/>
      <c r="AA21" s="847"/>
      <c r="AB21" s="847"/>
    </row>
    <row r="22" spans="2:28" x14ac:dyDescent="0.2">
      <c r="B22" s="847"/>
      <c r="C22" s="847"/>
      <c r="D22" s="847"/>
      <c r="E22" s="847"/>
      <c r="F22" s="80"/>
      <c r="G22" s="80"/>
      <c r="H22" s="80"/>
      <c r="I22" s="80"/>
      <c r="J22" s="80"/>
      <c r="K22" s="80"/>
      <c r="L22" s="80"/>
      <c r="M22" s="80"/>
      <c r="N22" s="80"/>
      <c r="O22" s="847"/>
      <c r="P22" s="847"/>
      <c r="Q22" s="847"/>
      <c r="R22" s="847"/>
      <c r="S22" s="847"/>
      <c r="T22" s="847"/>
      <c r="U22" s="847"/>
      <c r="V22" s="847"/>
      <c r="W22" s="847"/>
      <c r="X22" s="847"/>
      <c r="Y22" s="847"/>
      <c r="Z22" s="847"/>
      <c r="AA22" s="847"/>
      <c r="AB22" s="847"/>
    </row>
    <row r="23" spans="2:28" ht="33" x14ac:dyDescent="0.2">
      <c r="B23" s="1129" t="s">
        <v>657</v>
      </c>
      <c r="C23" s="1053"/>
      <c r="D23" s="347">
        <f>IF(H2=1,(D13/6)*5,D13)</f>
        <v>0</v>
      </c>
      <c r="E23" s="847"/>
      <c r="F23" s="847"/>
      <c r="G23" s="1143" t="s">
        <v>658</v>
      </c>
      <c r="H23" s="1144"/>
      <c r="I23" s="1144"/>
      <c r="J23" s="1145"/>
      <c r="K23" s="847"/>
      <c r="L23" s="847"/>
      <c r="M23" s="847"/>
      <c r="N23" s="847"/>
      <c r="O23" s="847"/>
      <c r="P23" s="847"/>
      <c r="Q23" s="1146" t="s">
        <v>658</v>
      </c>
      <c r="R23" s="1146"/>
      <c r="S23" s="847"/>
      <c r="T23" s="847"/>
      <c r="U23" s="847"/>
      <c r="V23" s="847"/>
      <c r="W23" s="847"/>
      <c r="X23" s="847"/>
      <c r="Y23" s="847"/>
      <c r="Z23" s="847"/>
      <c r="AA23" s="847"/>
      <c r="AB23" s="847"/>
    </row>
    <row r="24" spans="2:28" x14ac:dyDescent="0.2">
      <c r="B24" s="1147" t="s">
        <v>629</v>
      </c>
      <c r="C24" s="1148"/>
      <c r="D24" s="330">
        <f>IF(H2=1,D16-1,D16)</f>
        <v>0</v>
      </c>
      <c r="E24" s="847"/>
      <c r="F24" s="847"/>
      <c r="G24" s="847"/>
      <c r="H24" s="847" t="s">
        <v>163</v>
      </c>
      <c r="I24" s="65">
        <v>67</v>
      </c>
      <c r="J24" s="1140" t="s">
        <v>433</v>
      </c>
      <c r="K24" s="1140"/>
      <c r="L24" s="65">
        <v>90</v>
      </c>
      <c r="M24" s="847" t="s">
        <v>231</v>
      </c>
      <c r="N24" s="82">
        <v>3</v>
      </c>
      <c r="O24" s="847"/>
      <c r="P24" s="847"/>
      <c r="Q24" s="847"/>
      <c r="R24" s="847" t="s">
        <v>163</v>
      </c>
      <c r="S24" s="65">
        <v>67</v>
      </c>
      <c r="T24" s="1140" t="s">
        <v>433</v>
      </c>
      <c r="U24" s="1140"/>
      <c r="V24" s="65">
        <v>90</v>
      </c>
      <c r="W24" s="847" t="s">
        <v>231</v>
      </c>
      <c r="X24" s="82">
        <v>3</v>
      </c>
      <c r="Y24" s="847"/>
      <c r="Z24" s="847"/>
      <c r="AA24" s="847"/>
      <c r="AB24" s="847"/>
    </row>
    <row r="25" spans="2:28" x14ac:dyDescent="0.2">
      <c r="B25" s="104"/>
      <c r="C25" s="104"/>
      <c r="D25" s="104"/>
      <c r="E25" s="847"/>
      <c r="F25" s="847"/>
      <c r="G25" s="847"/>
      <c r="H25" s="847"/>
      <c r="I25" s="847"/>
      <c r="J25" s="847"/>
      <c r="K25" s="847"/>
      <c r="L25" s="847"/>
      <c r="M25" s="847"/>
      <c r="N25" s="847"/>
      <c r="O25" s="847"/>
      <c r="P25" s="847"/>
      <c r="Q25" s="847"/>
      <c r="R25" s="847"/>
      <c r="S25" s="847"/>
      <c r="T25" s="847"/>
      <c r="U25" s="847"/>
      <c r="V25" s="847"/>
      <c r="W25" s="847"/>
      <c r="X25" s="847"/>
      <c r="Y25" s="847"/>
      <c r="Z25" s="847"/>
      <c r="AA25" s="847"/>
      <c r="AB25" s="847"/>
    </row>
    <row r="26" spans="2:28" x14ac:dyDescent="0.2">
      <c r="B26" s="104"/>
      <c r="C26" s="104"/>
      <c r="D26" s="104"/>
      <c r="E26" s="847"/>
      <c r="F26" s="847"/>
      <c r="G26" s="847"/>
      <c r="H26" s="847" t="s">
        <v>245</v>
      </c>
      <c r="I26" s="1141" t="e">
        <f>PV(N24/100/12,(L24-I24)*12,N21,,1)*(-1)</f>
        <v>#DIV/0!</v>
      </c>
      <c r="J26" s="1141"/>
      <c r="K26" s="847"/>
      <c r="L26" s="847"/>
      <c r="M26" s="847"/>
      <c r="N26" s="847"/>
      <c r="O26" s="847"/>
      <c r="P26" s="847"/>
      <c r="Q26" s="847"/>
      <c r="R26" s="847" t="s">
        <v>245</v>
      </c>
      <c r="S26" s="1141" t="e">
        <f>PV(X24/100,(V24-S24),X21,,1)*(-1)</f>
        <v>#DIV/0!</v>
      </c>
      <c r="T26" s="1141"/>
      <c r="U26" s="847"/>
      <c r="V26" s="847"/>
      <c r="W26" s="847"/>
      <c r="X26" s="847"/>
      <c r="Y26" s="847"/>
      <c r="Z26" s="847"/>
      <c r="AA26" s="847"/>
      <c r="AB26" s="847"/>
    </row>
    <row r="27" spans="2:28" x14ac:dyDescent="0.2">
      <c r="B27" s="104"/>
      <c r="C27" s="104"/>
      <c r="D27" s="104"/>
      <c r="E27" s="847"/>
      <c r="F27" s="847"/>
      <c r="G27" s="847"/>
      <c r="H27" s="847"/>
      <c r="I27" s="847"/>
      <c r="J27" s="847"/>
      <c r="K27" s="847"/>
      <c r="L27" s="847"/>
      <c r="M27" s="847"/>
      <c r="N27" s="847"/>
      <c r="O27" s="847"/>
      <c r="P27" s="847"/>
      <c r="Q27" s="847"/>
      <c r="R27" s="847"/>
      <c r="S27" s="847"/>
      <c r="T27" s="847"/>
      <c r="U27" s="847"/>
      <c r="V27" s="847"/>
      <c r="W27" s="847"/>
      <c r="X27" s="847"/>
      <c r="Y27" s="847"/>
      <c r="Z27" s="847"/>
      <c r="AA27" s="847"/>
      <c r="AB27" s="847"/>
    </row>
    <row r="28" spans="2:28" x14ac:dyDescent="0.2">
      <c r="B28" s="104"/>
      <c r="C28" s="104"/>
      <c r="D28" s="104"/>
      <c r="E28" s="847"/>
      <c r="F28" s="847"/>
      <c r="G28" s="1140" t="s">
        <v>660</v>
      </c>
      <c r="H28" s="1140"/>
      <c r="I28" s="1141">
        <f>PV(N24/100/12,(L24-I24)*12,I11,,1)*(-1)</f>
        <v>0</v>
      </c>
      <c r="J28" s="1141"/>
      <c r="K28" s="847"/>
      <c r="L28" s="847"/>
      <c r="M28" s="847"/>
      <c r="N28" s="847"/>
      <c r="O28" s="847"/>
      <c r="P28" s="847"/>
      <c r="Q28" s="1140" t="s">
        <v>660</v>
      </c>
      <c r="R28" s="1140"/>
      <c r="S28" s="1141">
        <f>PV(X24/100,(V24-S24),S11,,1)*(-1)</f>
        <v>0</v>
      </c>
      <c r="T28" s="1141"/>
      <c r="U28" s="847"/>
      <c r="V28" s="847"/>
      <c r="W28" s="847"/>
      <c r="X28" s="847"/>
      <c r="Y28" s="847"/>
      <c r="Z28" s="847"/>
      <c r="AA28" s="847"/>
      <c r="AB28" s="847"/>
    </row>
    <row r="29" spans="2:28" x14ac:dyDescent="0.2">
      <c r="B29" s="847"/>
      <c r="C29" s="847"/>
      <c r="D29" s="847"/>
      <c r="E29" s="847"/>
      <c r="F29" s="847"/>
      <c r="G29" s="847"/>
      <c r="H29" s="847"/>
      <c r="I29" s="847"/>
      <c r="J29" s="847"/>
      <c r="K29" s="847"/>
      <c r="L29" s="847"/>
      <c r="M29" s="847"/>
      <c r="N29" s="847"/>
      <c r="O29" s="847"/>
      <c r="P29" s="847"/>
      <c r="Q29" s="847"/>
      <c r="R29" s="847"/>
      <c r="S29" s="847"/>
      <c r="T29" s="847"/>
      <c r="U29" s="847"/>
      <c r="V29" s="847"/>
      <c r="W29" s="847"/>
      <c r="X29" s="847"/>
      <c r="Y29" s="847"/>
      <c r="Z29" s="847"/>
      <c r="AA29" s="847"/>
      <c r="AB29" s="847"/>
    </row>
    <row r="30" spans="2:28" x14ac:dyDescent="0.2">
      <c r="B30" s="847"/>
      <c r="C30" s="847"/>
      <c r="D30" s="847"/>
      <c r="E30" s="847"/>
      <c r="F30" s="847"/>
      <c r="G30" s="847"/>
      <c r="H30" s="847"/>
      <c r="I30" s="847"/>
      <c r="J30" s="847"/>
      <c r="K30" s="847"/>
      <c r="L30" s="847"/>
      <c r="M30" s="847"/>
      <c r="N30" s="847"/>
      <c r="O30" s="847"/>
      <c r="P30" s="847"/>
      <c r="Q30" s="847"/>
      <c r="R30" s="847"/>
      <c r="S30" s="847"/>
      <c r="T30" s="847"/>
      <c r="U30" s="847"/>
      <c r="V30" s="847"/>
      <c r="W30" s="847"/>
      <c r="X30" s="847"/>
      <c r="Y30" s="847"/>
      <c r="Z30" s="847"/>
      <c r="AA30" s="847"/>
      <c r="AB30" s="847"/>
    </row>
    <row r="31" spans="2:28" ht="24" customHeight="1" x14ac:dyDescent="0.2">
      <c r="B31" s="1167" t="s">
        <v>269</v>
      </c>
      <c r="C31" s="1168"/>
      <c r="D31" s="375">
        <f>D12</f>
        <v>0</v>
      </c>
      <c r="E31" s="832"/>
      <c r="F31" s="331"/>
      <c r="G31" s="847"/>
      <c r="H31" s="847"/>
      <c r="I31" s="847"/>
      <c r="J31" s="847"/>
      <c r="K31" s="847"/>
      <c r="L31" s="847"/>
      <c r="M31" s="847"/>
      <c r="N31" s="847"/>
      <c r="O31" s="847"/>
      <c r="P31" s="847"/>
      <c r="Q31" s="847"/>
      <c r="R31" s="847"/>
      <c r="S31" s="847"/>
      <c r="T31" s="847"/>
      <c r="U31" s="847"/>
      <c r="V31" s="847"/>
      <c r="W31" s="847"/>
      <c r="X31" s="847"/>
      <c r="Y31" s="847"/>
      <c r="Z31" s="847"/>
      <c r="AA31" s="847"/>
      <c r="AB31" s="847"/>
    </row>
    <row r="32" spans="2:28" ht="24" customHeight="1" x14ac:dyDescent="0.2">
      <c r="B32" s="1167" t="s">
        <v>661</v>
      </c>
      <c r="C32" s="1168"/>
      <c r="D32" s="886">
        <f>D19</f>
        <v>0</v>
      </c>
      <c r="E32" s="832"/>
      <c r="F32" s="847" t="s">
        <v>675</v>
      </c>
      <c r="G32" s="847"/>
      <c r="H32" s="1172" t="s">
        <v>996</v>
      </c>
      <c r="I32" s="1173"/>
      <c r="J32" s="1173"/>
      <c r="K32" s="1173"/>
      <c r="L32" s="1173"/>
      <c r="M32" s="1173"/>
      <c r="N32" s="1173"/>
      <c r="O32" s="1174"/>
      <c r="P32" s="847"/>
      <c r="Q32" s="847"/>
      <c r="R32" s="847"/>
      <c r="S32" s="847"/>
      <c r="T32" s="847"/>
      <c r="U32" s="847"/>
      <c r="V32" s="847"/>
      <c r="W32" s="847"/>
      <c r="X32" s="847"/>
      <c r="Y32" s="847"/>
      <c r="Z32" s="847"/>
      <c r="AA32" s="847"/>
      <c r="AB32" s="847"/>
    </row>
    <row r="33" spans="1:38" ht="24" customHeight="1" x14ac:dyDescent="0.2">
      <c r="B33" s="1167" t="s">
        <v>663</v>
      </c>
      <c r="C33" s="1168"/>
      <c r="D33" s="887">
        <f>D31-D32</f>
        <v>0</v>
      </c>
      <c r="E33" s="888" t="e">
        <f>D34</f>
        <v>#DIV/0!</v>
      </c>
      <c r="F33" s="889" t="e">
        <f>D33-E33</f>
        <v>#DIV/0!</v>
      </c>
      <c r="G33" s="842"/>
      <c r="H33" s="847"/>
      <c r="I33" s="847" t="s">
        <v>636</v>
      </c>
      <c r="J33" s="330" t="s">
        <v>637</v>
      </c>
      <c r="K33" s="847" t="s">
        <v>638</v>
      </c>
      <c r="L33" s="847"/>
      <c r="M33" s="847"/>
      <c r="N33" s="847"/>
      <c r="O33" s="847"/>
      <c r="Q33" s="847"/>
      <c r="R33" s="847" t="s">
        <v>636</v>
      </c>
      <c r="S33" s="330" t="s">
        <v>637</v>
      </c>
      <c r="T33" s="847" t="s">
        <v>638</v>
      </c>
      <c r="U33" s="847"/>
      <c r="V33" s="847"/>
      <c r="W33" s="847"/>
      <c r="X33" s="847"/>
      <c r="Y33" s="847"/>
      <c r="Z33" s="847"/>
      <c r="AA33" s="847"/>
      <c r="AB33" s="847"/>
    </row>
    <row r="34" spans="1:38" ht="29.25" customHeight="1" x14ac:dyDescent="0.2">
      <c r="B34" s="1167" t="s">
        <v>664</v>
      </c>
      <c r="C34" s="1168"/>
      <c r="D34" s="886" t="e">
        <f>IF(H2=1,N1,N2)</f>
        <v>#DIV/0!</v>
      </c>
      <c r="E34" s="832"/>
      <c r="F34" s="847"/>
      <c r="G34" s="847"/>
      <c r="H34" s="331"/>
      <c r="I34" s="339">
        <f>D11</f>
        <v>0</v>
      </c>
      <c r="J34" s="339">
        <f>K4</f>
        <v>0</v>
      </c>
      <c r="K34" s="351">
        <f>I34-J34</f>
        <v>0</v>
      </c>
      <c r="L34" s="331"/>
      <c r="M34" s="331"/>
      <c r="N34" s="331"/>
      <c r="O34" s="847"/>
      <c r="Q34" s="331"/>
      <c r="R34" s="339">
        <f>D11*12</f>
        <v>0</v>
      </c>
      <c r="S34" s="339">
        <f>K4*12</f>
        <v>0</v>
      </c>
      <c r="T34" s="351">
        <f>R34-S34</f>
        <v>0</v>
      </c>
      <c r="U34" s="331"/>
      <c r="V34" s="331"/>
      <c r="W34" s="331"/>
      <c r="X34" s="847"/>
      <c r="Y34" s="847"/>
      <c r="Z34" s="847"/>
      <c r="AA34" s="847"/>
      <c r="AB34" s="847"/>
    </row>
    <row r="35" spans="1:38" ht="24" customHeight="1" x14ac:dyDescent="0.2">
      <c r="B35" s="1167" t="s">
        <v>625</v>
      </c>
      <c r="C35" s="1168"/>
      <c r="D35" s="890" t="e">
        <f>D32+D33-D34</f>
        <v>#DIV/0!</v>
      </c>
      <c r="E35" s="375" t="e">
        <f>D31-D34</f>
        <v>#DIV/0!</v>
      </c>
      <c r="F35" s="847"/>
      <c r="G35" s="847"/>
      <c r="H35" s="331"/>
      <c r="I35" s="331"/>
      <c r="J35" s="331"/>
      <c r="K35" s="331"/>
      <c r="L35" s="331"/>
      <c r="M35" s="331"/>
      <c r="N35" s="331"/>
      <c r="O35" s="847"/>
      <c r="Q35" s="331"/>
      <c r="R35" s="331"/>
      <c r="S35" s="331"/>
      <c r="T35" s="331"/>
      <c r="U35" s="331"/>
      <c r="V35" s="331"/>
      <c r="W35" s="331"/>
      <c r="X35" s="847"/>
      <c r="Y35" s="847"/>
      <c r="Z35" s="847"/>
      <c r="AA35" s="847"/>
      <c r="AB35" s="847"/>
    </row>
    <row r="36" spans="1:38" x14ac:dyDescent="0.2">
      <c r="B36" s="847"/>
      <c r="C36" s="847"/>
      <c r="D36" s="847"/>
      <c r="E36" s="847"/>
      <c r="F36" s="847"/>
      <c r="G36" s="847"/>
      <c r="H36" s="331" t="s">
        <v>631</v>
      </c>
      <c r="I36" s="331" t="s">
        <v>632</v>
      </c>
      <c r="J36" s="331" t="s">
        <v>542</v>
      </c>
      <c r="K36" s="331" t="s">
        <v>632</v>
      </c>
      <c r="L36" s="331" t="s">
        <v>633</v>
      </c>
      <c r="M36" s="331" t="s">
        <v>634</v>
      </c>
      <c r="N36" s="331"/>
      <c r="O36" s="847"/>
      <c r="Q36" s="331" t="s">
        <v>631</v>
      </c>
      <c r="R36" s="331" t="s">
        <v>632</v>
      </c>
      <c r="S36" s="331" t="s">
        <v>542</v>
      </c>
      <c r="T36" s="331" t="s">
        <v>632</v>
      </c>
      <c r="U36" s="331" t="s">
        <v>633</v>
      </c>
      <c r="V36" s="331" t="s">
        <v>634</v>
      </c>
      <c r="W36" s="331"/>
      <c r="X36" s="847"/>
      <c r="Y36" s="847"/>
      <c r="Z36" s="847"/>
      <c r="AA36" s="847"/>
      <c r="AB36" s="847"/>
    </row>
    <row r="37" spans="1:38" x14ac:dyDescent="0.2">
      <c r="B37" s="847"/>
      <c r="C37" s="847"/>
      <c r="D37" s="847"/>
      <c r="E37" s="847"/>
      <c r="F37" s="847"/>
      <c r="G37" s="847"/>
      <c r="H37" s="341">
        <f>I37</f>
        <v>5270</v>
      </c>
      <c r="I37" s="341">
        <f t="shared" ref="I37:J41" si="3">H14</f>
        <v>5270</v>
      </c>
      <c r="J37" s="342">
        <f t="shared" si="3"/>
        <v>0.1</v>
      </c>
      <c r="K37" s="331">
        <f>IF(K34&gt;H37,I37,K34)</f>
        <v>0</v>
      </c>
      <c r="L37" s="331">
        <f t="shared" ref="L37:L42" si="4">K37*J37</f>
        <v>0</v>
      </c>
      <c r="M37" s="331">
        <f>L37</f>
        <v>0</v>
      </c>
      <c r="N37" s="331"/>
      <c r="O37" s="847"/>
      <c r="Q37" s="341">
        <f>R37</f>
        <v>63240</v>
      </c>
      <c r="R37" s="341">
        <f>H14*12</f>
        <v>63240</v>
      </c>
      <c r="S37" s="342">
        <f t="shared" ref="S37:S42" si="5">I14</f>
        <v>0.1</v>
      </c>
      <c r="T37" s="331">
        <f>IF(T34&gt;Q37,R37,T34)</f>
        <v>0</v>
      </c>
      <c r="U37" s="331">
        <f t="shared" ref="U37:U42" si="6">T37*S37</f>
        <v>0</v>
      </c>
      <c r="V37" s="331">
        <f>U37</f>
        <v>0</v>
      </c>
      <c r="W37" s="331"/>
      <c r="X37" s="847"/>
      <c r="Y37" s="847"/>
      <c r="Z37" s="847"/>
      <c r="AA37" s="847"/>
      <c r="AB37" s="847"/>
    </row>
    <row r="38" spans="1:38" x14ac:dyDescent="0.2">
      <c r="B38" s="847"/>
      <c r="C38" s="847"/>
      <c r="D38" s="847"/>
      <c r="E38" s="847"/>
      <c r="F38" s="847"/>
      <c r="G38" s="847"/>
      <c r="H38" s="341">
        <f>H37+I38</f>
        <v>9000</v>
      </c>
      <c r="I38" s="341">
        <f t="shared" si="3"/>
        <v>3730</v>
      </c>
      <c r="J38" s="342">
        <f t="shared" si="3"/>
        <v>0.14000000000000001</v>
      </c>
      <c r="K38" s="331">
        <f>IF(K34&gt;H38,I38,IF(K34&lt;H37,0,K34-H37))</f>
        <v>0</v>
      </c>
      <c r="L38" s="331">
        <f t="shared" si="4"/>
        <v>0</v>
      </c>
      <c r="M38" s="331">
        <f>M37+L38</f>
        <v>0</v>
      </c>
      <c r="N38" s="331"/>
      <c r="O38" s="847"/>
      <c r="Q38" s="341">
        <f>Q37+R38</f>
        <v>108000</v>
      </c>
      <c r="R38" s="341">
        <f>H15*12</f>
        <v>44760</v>
      </c>
      <c r="S38" s="342">
        <f t="shared" si="5"/>
        <v>0.14000000000000001</v>
      </c>
      <c r="T38" s="331">
        <f>IF(T34&gt;Q38,R38,IF(T34&lt;Q37,0,T34-Q37))</f>
        <v>0</v>
      </c>
      <c r="U38" s="331">
        <f t="shared" si="6"/>
        <v>0</v>
      </c>
      <c r="V38" s="331">
        <f>V37+U38</f>
        <v>0</v>
      </c>
      <c r="W38" s="331"/>
      <c r="X38" s="847"/>
      <c r="Y38" s="847"/>
      <c r="Z38" s="847"/>
      <c r="AA38" s="847"/>
      <c r="AB38" s="847"/>
    </row>
    <row r="39" spans="1:38" x14ac:dyDescent="0.2">
      <c r="A39" s="1169" t="s">
        <v>997</v>
      </c>
      <c r="B39" s="1170"/>
      <c r="C39" s="1171"/>
      <c r="D39" s="346" t="e">
        <f>D35+D34</f>
        <v>#DIV/0!</v>
      </c>
      <c r="E39" s="847"/>
      <c r="F39" s="847"/>
      <c r="G39" s="847"/>
      <c r="H39" s="341">
        <f>H38+I39</f>
        <v>13990</v>
      </c>
      <c r="I39" s="341">
        <f t="shared" si="3"/>
        <v>4990</v>
      </c>
      <c r="J39" s="342">
        <f t="shared" si="3"/>
        <v>0.21</v>
      </c>
      <c r="K39" s="331">
        <f>IF(K34&gt;H39,I39,IF(K34&lt;H38,0,K34-H38))</f>
        <v>0</v>
      </c>
      <c r="L39" s="331">
        <f t="shared" si="4"/>
        <v>0</v>
      </c>
      <c r="M39" s="331">
        <f>M38+L39</f>
        <v>0</v>
      </c>
      <c r="N39" s="331"/>
      <c r="O39" s="847"/>
      <c r="Q39" s="341">
        <f>Q38+R39</f>
        <v>167880</v>
      </c>
      <c r="R39" s="341">
        <f>H16*12</f>
        <v>59880</v>
      </c>
      <c r="S39" s="342">
        <f t="shared" si="5"/>
        <v>0.21</v>
      </c>
      <c r="T39" s="331">
        <f>IF(T34&gt;Q39,R39,IF(T34&lt;Q38,0,T34-Q38))</f>
        <v>0</v>
      </c>
      <c r="U39" s="331">
        <f t="shared" si="6"/>
        <v>0</v>
      </c>
      <c r="V39" s="331">
        <f>V38+U39</f>
        <v>0</v>
      </c>
      <c r="W39" s="331"/>
      <c r="X39" s="847"/>
      <c r="Y39" s="847"/>
      <c r="Z39" s="847"/>
      <c r="AA39" s="847"/>
      <c r="AB39" s="847"/>
    </row>
    <row r="40" spans="1:38" x14ac:dyDescent="0.2">
      <c r="A40" s="891"/>
      <c r="B40" s="891"/>
      <c r="C40" s="892"/>
      <c r="D40" s="346"/>
      <c r="E40" s="847"/>
      <c r="F40" s="847"/>
      <c r="G40" s="847"/>
      <c r="H40" s="341">
        <f>H39+I40</f>
        <v>19980</v>
      </c>
      <c r="I40" s="341">
        <f t="shared" si="3"/>
        <v>5990</v>
      </c>
      <c r="J40" s="342">
        <f t="shared" si="3"/>
        <v>0.31</v>
      </c>
      <c r="K40" s="331">
        <f>IF(K34&gt;H40,I40,IF(K34&lt;H39,0,K34-H39))</f>
        <v>0</v>
      </c>
      <c r="L40" s="331">
        <f t="shared" si="4"/>
        <v>0</v>
      </c>
      <c r="M40" s="331">
        <f>M39+L40</f>
        <v>0</v>
      </c>
      <c r="N40" s="331"/>
      <c r="O40" s="847"/>
      <c r="Q40" s="341">
        <f>Q39+R40</f>
        <v>239760</v>
      </c>
      <c r="R40" s="341">
        <f>H17*12</f>
        <v>71880</v>
      </c>
      <c r="S40" s="342">
        <f t="shared" si="5"/>
        <v>0.31</v>
      </c>
      <c r="T40" s="331">
        <f>IF(T34&gt;Q40,R40,IF(T34&lt;Q39,0,T34-Q39))</f>
        <v>0</v>
      </c>
      <c r="U40" s="331">
        <f t="shared" si="6"/>
        <v>0</v>
      </c>
      <c r="V40" s="331">
        <f>V39+U40</f>
        <v>0</v>
      </c>
      <c r="W40" s="331"/>
      <c r="X40" s="847"/>
      <c r="Y40" s="847"/>
      <c r="Z40" s="847"/>
      <c r="AA40" s="847"/>
      <c r="AB40" s="847"/>
    </row>
    <row r="41" spans="1:38" x14ac:dyDescent="0.2">
      <c r="B41" s="847"/>
      <c r="C41" s="847"/>
      <c r="D41" s="847"/>
      <c r="E41" s="847"/>
      <c r="F41" s="847"/>
      <c r="G41" s="847"/>
      <c r="H41" s="341">
        <f>H40+I41</f>
        <v>41790</v>
      </c>
      <c r="I41" s="341">
        <f t="shared" si="3"/>
        <v>21810</v>
      </c>
      <c r="J41" s="342">
        <f t="shared" si="3"/>
        <v>0.34</v>
      </c>
      <c r="K41" s="331">
        <f>IF(K34&gt;H41,I41,IF(K34&lt;H40,0,K34-H40))</f>
        <v>0</v>
      </c>
      <c r="L41" s="331">
        <f t="shared" si="4"/>
        <v>0</v>
      </c>
      <c r="M41" s="331">
        <f>M40+L41</f>
        <v>0</v>
      </c>
      <c r="N41" s="331"/>
      <c r="O41" s="847"/>
      <c r="Q41" s="341">
        <f>Q40+R41</f>
        <v>501480</v>
      </c>
      <c r="R41" s="341">
        <f>H18*12</f>
        <v>261720</v>
      </c>
      <c r="S41" s="342">
        <f t="shared" si="5"/>
        <v>0.34</v>
      </c>
      <c r="T41" s="331">
        <f>IF(T34&gt;Q41,R41,IF(T34&lt;Q40,0,T34-Q40))</f>
        <v>0</v>
      </c>
      <c r="U41" s="331">
        <f t="shared" si="6"/>
        <v>0</v>
      </c>
      <c r="V41" s="331">
        <f>V40+U41</f>
        <v>0</v>
      </c>
      <c r="W41" s="331"/>
      <c r="X41" s="847"/>
      <c r="Y41" s="847"/>
      <c r="Z41" s="847"/>
      <c r="AA41" s="847"/>
      <c r="AB41" s="847"/>
    </row>
    <row r="42" spans="1:38" x14ac:dyDescent="0.2">
      <c r="B42" s="847"/>
      <c r="C42" s="847"/>
      <c r="D42" s="847"/>
      <c r="E42" s="847"/>
      <c r="F42" s="847"/>
      <c r="G42" s="847"/>
      <c r="H42" s="341">
        <v>99999999</v>
      </c>
      <c r="I42" s="341">
        <f>IF(K34-H41&gt;=0,K34-H41,0)</f>
        <v>0</v>
      </c>
      <c r="J42" s="342">
        <f>I19</f>
        <v>0.48</v>
      </c>
      <c r="K42" s="331">
        <f>IF(K34&gt;H42,I42,IF(K34&lt;H41,0,K34-H41))</f>
        <v>0</v>
      </c>
      <c r="L42" s="331">
        <f t="shared" si="4"/>
        <v>0</v>
      </c>
      <c r="M42" s="331">
        <f>M41+L42</f>
        <v>0</v>
      </c>
      <c r="N42" s="331"/>
      <c r="O42" s="847"/>
      <c r="Q42" s="341">
        <v>99999999</v>
      </c>
      <c r="R42" s="341">
        <f>IF(T34-Q41&gt;=0,T34-Q41,0)</f>
        <v>0</v>
      </c>
      <c r="S42" s="342">
        <f t="shared" si="5"/>
        <v>0.48</v>
      </c>
      <c r="T42" s="331">
        <f>IF(T34&gt;Q42,R42,IF(T34&lt;Q41,0,T34-Q41))</f>
        <v>0</v>
      </c>
      <c r="U42" s="331">
        <f t="shared" si="6"/>
        <v>0</v>
      </c>
      <c r="V42" s="331">
        <f>V41+U42</f>
        <v>0</v>
      </c>
      <c r="W42" s="331"/>
      <c r="X42" s="847"/>
      <c r="Y42" s="847"/>
      <c r="Z42" s="847"/>
      <c r="AA42" s="847"/>
      <c r="AB42" s="847"/>
      <c r="AC42" s="847"/>
      <c r="AD42" s="847"/>
      <c r="AE42" s="847"/>
      <c r="AF42" s="847"/>
      <c r="AG42" s="847"/>
      <c r="AH42" s="847"/>
      <c r="AI42" s="847"/>
      <c r="AJ42" s="847"/>
      <c r="AK42" s="847"/>
      <c r="AL42" s="847"/>
    </row>
    <row r="43" spans="1:38" ht="25.5" x14ac:dyDescent="0.2">
      <c r="B43" s="847"/>
      <c r="C43" s="847"/>
      <c r="D43" s="847"/>
      <c r="E43" s="847"/>
      <c r="F43" s="847"/>
      <c r="G43" s="847"/>
      <c r="H43" s="331"/>
      <c r="I43" s="331"/>
      <c r="J43" s="331"/>
      <c r="K43" s="331"/>
      <c r="L43" s="331"/>
      <c r="M43" s="331"/>
      <c r="N43" s="331" t="s">
        <v>635</v>
      </c>
      <c r="O43" s="331">
        <f>IF(M42-'[1]נתוני יסוד'!L2&gt;=0,M42-'[1]נתוני יסוד'!L2,0)</f>
        <v>0</v>
      </c>
      <c r="Q43" s="331"/>
      <c r="R43" s="331"/>
      <c r="S43" s="331"/>
      <c r="T43" s="331"/>
      <c r="U43" s="331"/>
      <c r="V43" s="331"/>
      <c r="W43" s="331" t="s">
        <v>635</v>
      </c>
      <c r="X43" s="80">
        <f>IF(V42-'[1]נתוני יסוד'!L1&gt;=0,V42-'[1]נתוני יסוד'!L1,0)</f>
        <v>0</v>
      </c>
      <c r="Y43" s="847"/>
      <c r="Z43" s="847"/>
      <c r="AA43" s="847"/>
      <c r="AB43" s="847"/>
      <c r="AC43" s="847"/>
      <c r="AD43" s="847"/>
      <c r="AE43" s="847"/>
      <c r="AF43" s="847"/>
      <c r="AG43" s="847"/>
      <c r="AH43" s="847"/>
      <c r="AI43" s="847"/>
      <c r="AJ43" s="847"/>
      <c r="AK43" s="847"/>
      <c r="AL43" s="847"/>
    </row>
    <row r="44" spans="1:38" ht="34.5" customHeight="1" x14ac:dyDescent="0.2">
      <c r="B44" s="847"/>
      <c r="C44" s="847"/>
      <c r="D44" s="847"/>
      <c r="E44" s="847"/>
      <c r="F44" s="847"/>
      <c r="G44" s="847"/>
      <c r="H44" s="847"/>
      <c r="I44" s="847"/>
      <c r="J44" s="847"/>
      <c r="K44" s="847"/>
      <c r="L44" s="847"/>
      <c r="M44" s="847"/>
      <c r="N44" s="847" t="s">
        <v>586</v>
      </c>
      <c r="O44" s="893">
        <f>I34-O43</f>
        <v>0</v>
      </c>
      <c r="Q44" s="847"/>
      <c r="R44" s="847"/>
      <c r="S44" s="847"/>
      <c r="T44" s="847"/>
      <c r="U44" s="847"/>
      <c r="V44" s="847"/>
      <c r="W44" s="847" t="s">
        <v>586</v>
      </c>
      <c r="X44" s="894">
        <f>R34-X43</f>
        <v>0</v>
      </c>
      <c r="Y44" s="847"/>
      <c r="Z44" s="847"/>
      <c r="AA44" s="847"/>
      <c r="AB44" s="847"/>
      <c r="AC44" s="847"/>
      <c r="AD44" s="847"/>
      <c r="AE44" s="847"/>
      <c r="AF44" s="847"/>
      <c r="AG44" s="847"/>
      <c r="AH44" s="847"/>
      <c r="AI44" s="847"/>
      <c r="AJ44" s="847"/>
      <c r="AK44" s="847"/>
      <c r="AL44" s="847"/>
    </row>
    <row r="45" spans="1:38" ht="26.85" customHeight="1" x14ac:dyDescent="0.2">
      <c r="B45" s="1165" t="s">
        <v>938</v>
      </c>
      <c r="C45" s="1166"/>
      <c r="D45" s="782">
        <f>'[1]נתוני יסוד'!B26</f>
        <v>0</v>
      </c>
      <c r="E45" s="847"/>
      <c r="F45" s="847"/>
      <c r="G45" s="847"/>
      <c r="H45" s="847"/>
      <c r="I45" s="847"/>
      <c r="J45" s="847"/>
      <c r="K45" s="847"/>
      <c r="L45" s="847"/>
      <c r="M45" s="847"/>
      <c r="N45" s="847"/>
      <c r="O45" s="847"/>
      <c r="P45" s="847"/>
      <c r="Q45" s="847"/>
      <c r="R45" s="847"/>
      <c r="S45" s="847"/>
      <c r="T45" s="847"/>
      <c r="U45" s="847"/>
      <c r="V45" s="847"/>
      <c r="W45" s="847"/>
      <c r="X45" s="847"/>
      <c r="Y45" s="847"/>
      <c r="Z45" s="847"/>
      <c r="AA45" s="847"/>
      <c r="AB45" s="847"/>
      <c r="AC45" s="847"/>
      <c r="AD45" s="847"/>
      <c r="AE45" s="847"/>
      <c r="AF45" s="847"/>
      <c r="AG45" s="847"/>
      <c r="AH45" s="847"/>
      <c r="AI45" s="847"/>
      <c r="AJ45" s="847"/>
      <c r="AK45" s="847"/>
      <c r="AL45" s="847"/>
    </row>
    <row r="46" spans="1:38" ht="26.85" customHeight="1" x14ac:dyDescent="0.2">
      <c r="B46" s="1163" t="s">
        <v>450</v>
      </c>
      <c r="C46" s="1164"/>
      <c r="D46" s="782">
        <f>'[1]נתוני יסוד'!B28</f>
        <v>0</v>
      </c>
      <c r="E46" s="847"/>
      <c r="F46" s="847"/>
      <c r="G46" s="847"/>
      <c r="H46" s="847"/>
      <c r="I46" s="847"/>
      <c r="J46" s="847"/>
      <c r="K46" s="847"/>
      <c r="L46" s="847"/>
      <c r="M46" s="847"/>
      <c r="N46" s="847"/>
      <c r="O46" s="847"/>
      <c r="P46" s="847"/>
      <c r="Q46" s="847"/>
      <c r="R46" s="847"/>
      <c r="S46" s="847"/>
      <c r="T46" s="847"/>
      <c r="U46" s="847"/>
      <c r="V46" s="847"/>
      <c r="W46" s="847"/>
      <c r="X46" s="847"/>
      <c r="Y46" s="847"/>
      <c r="Z46" s="847"/>
      <c r="AA46" s="847"/>
      <c r="AB46" s="847"/>
      <c r="AC46" s="847"/>
      <c r="AD46" s="847"/>
      <c r="AE46" s="847"/>
      <c r="AF46" s="847"/>
      <c r="AG46" s="847"/>
      <c r="AH46" s="847"/>
      <c r="AI46" s="847"/>
      <c r="AJ46" s="847"/>
      <c r="AK46" s="847"/>
      <c r="AL46" s="847"/>
    </row>
    <row r="47" spans="1:38" ht="26.85" customHeight="1" x14ac:dyDescent="0.2">
      <c r="B47" s="1163" t="s">
        <v>452</v>
      </c>
      <c r="C47" s="1164"/>
      <c r="D47" s="782">
        <f>'[1]נתוני יסוד'!B29</f>
        <v>0</v>
      </c>
      <c r="E47" s="847"/>
      <c r="F47" s="847"/>
      <c r="G47" s="847"/>
      <c r="H47" s="847"/>
      <c r="I47" s="847"/>
      <c r="J47" s="847"/>
      <c r="K47" s="847"/>
      <c r="L47" s="847"/>
      <c r="M47" s="847"/>
      <c r="N47" s="847"/>
      <c r="O47" s="847"/>
      <c r="P47" s="847"/>
      <c r="Q47" s="847"/>
      <c r="R47" s="847"/>
      <c r="S47" s="847"/>
      <c r="T47" s="847"/>
      <c r="U47" s="847"/>
      <c r="V47" s="847"/>
      <c r="W47" s="847"/>
      <c r="X47" s="847"/>
      <c r="Y47" s="847"/>
      <c r="Z47" s="847"/>
      <c r="AA47" s="847"/>
      <c r="AB47" s="847"/>
      <c r="AC47" s="847"/>
      <c r="AD47" s="847"/>
      <c r="AE47" s="847"/>
      <c r="AF47" s="847"/>
      <c r="AG47" s="847"/>
      <c r="AH47" s="847"/>
      <c r="AI47" s="847"/>
      <c r="AJ47" s="847"/>
      <c r="AK47" s="847"/>
      <c r="AL47" s="847"/>
    </row>
    <row r="48" spans="1:38" ht="26.85" customHeight="1" x14ac:dyDescent="0.2">
      <c r="B48" s="1163" t="s">
        <v>583</v>
      </c>
      <c r="C48" s="1164"/>
      <c r="D48" s="782">
        <f>'[1]נתוני יסוד'!B30</f>
        <v>0</v>
      </c>
      <c r="E48" s="847"/>
      <c r="F48" s="847"/>
      <c r="G48" s="847"/>
      <c r="H48" s="847"/>
      <c r="I48" s="847"/>
      <c r="J48" s="847"/>
      <c r="K48" s="847"/>
      <c r="L48" s="847"/>
      <c r="M48" s="847"/>
      <c r="N48" s="847"/>
      <c r="O48" s="847"/>
      <c r="P48" s="847"/>
      <c r="Q48" s="847"/>
      <c r="R48" s="847"/>
      <c r="S48" s="847"/>
      <c r="T48" s="847"/>
      <c r="U48" s="847"/>
      <c r="V48" s="847"/>
      <c r="W48" s="847"/>
      <c r="X48" s="847"/>
      <c r="Y48" s="847"/>
      <c r="Z48" s="847"/>
      <c r="AA48" s="847"/>
      <c r="AB48" s="847"/>
      <c r="AC48" s="847"/>
      <c r="AD48" s="847"/>
      <c r="AE48" s="847"/>
      <c r="AF48" s="847"/>
      <c r="AG48" s="847"/>
      <c r="AH48" s="847"/>
      <c r="AI48" s="847"/>
      <c r="AJ48" s="847"/>
      <c r="AK48" s="847"/>
      <c r="AL48" s="847"/>
    </row>
    <row r="49" spans="2:38" ht="26.85" customHeight="1" x14ac:dyDescent="0.2">
      <c r="B49" s="1165" t="s">
        <v>447</v>
      </c>
      <c r="C49" s="1166"/>
      <c r="D49" s="895">
        <f>'[1]נתוני יסוד'!B27</f>
        <v>0</v>
      </c>
      <c r="E49" s="847"/>
      <c r="F49" s="847"/>
      <c r="G49" s="847"/>
      <c r="H49" s="847"/>
      <c r="I49" s="847"/>
      <c r="J49" s="847"/>
      <c r="K49" s="847"/>
      <c r="L49" s="847"/>
      <c r="M49" s="847"/>
      <c r="N49" s="847"/>
      <c r="O49" s="847"/>
      <c r="P49" s="847"/>
      <c r="Q49" s="847"/>
      <c r="R49" s="847"/>
      <c r="S49" s="847"/>
      <c r="T49" s="847"/>
      <c r="U49" s="847"/>
      <c r="V49" s="847"/>
      <c r="W49" s="847"/>
      <c r="X49" s="847"/>
      <c r="Y49" s="847"/>
      <c r="Z49" s="847"/>
      <c r="AA49" s="847"/>
      <c r="AB49" s="847"/>
      <c r="AC49" s="847"/>
      <c r="AD49" s="847"/>
      <c r="AE49" s="847"/>
      <c r="AF49" s="847"/>
      <c r="AG49" s="847"/>
      <c r="AH49" s="847"/>
      <c r="AI49" s="847"/>
      <c r="AJ49" s="847"/>
      <c r="AK49" s="847"/>
      <c r="AL49" s="847"/>
    </row>
    <row r="50" spans="2:38" ht="12.75" customHeight="1" x14ac:dyDescent="0.2">
      <c r="B50" s="847"/>
      <c r="C50" s="847"/>
      <c r="D50" s="847"/>
      <c r="E50" s="847"/>
      <c r="F50" s="847"/>
      <c r="G50" s="847"/>
      <c r="H50" s="847"/>
      <c r="I50" s="847"/>
      <c r="J50" s="847"/>
      <c r="K50" s="847"/>
      <c r="L50" s="847"/>
      <c r="M50" s="847"/>
      <c r="N50" s="847"/>
      <c r="O50" s="847"/>
      <c r="P50" s="847"/>
      <c r="Q50" s="847"/>
      <c r="R50" s="847"/>
      <c r="S50" s="847"/>
      <c r="T50" s="847"/>
      <c r="U50" s="847"/>
      <c r="V50" s="847"/>
      <c r="W50" s="847"/>
      <c r="X50" s="847"/>
      <c r="Y50" s="847"/>
      <c r="Z50" s="847"/>
      <c r="AA50" s="847"/>
      <c r="AB50" s="847"/>
      <c r="AC50" s="847"/>
      <c r="AD50" s="847"/>
      <c r="AE50" s="847"/>
      <c r="AF50" s="847"/>
      <c r="AG50" s="847"/>
      <c r="AH50" s="847"/>
      <c r="AI50" s="847"/>
      <c r="AJ50" s="847"/>
      <c r="AK50" s="847"/>
      <c r="AL50" s="847"/>
    </row>
  </sheetData>
  <sheetProtection password="83F6" sheet="1" objects="1" scenarios="1" selectLockedCells="1" selectUnlockedCells="1"/>
  <mergeCells count="41">
    <mergeCell ref="L1:M5"/>
    <mergeCell ref="E2:G2"/>
    <mergeCell ref="B5:C5"/>
    <mergeCell ref="B6:C6"/>
    <mergeCell ref="F6:G6"/>
    <mergeCell ref="L6:M6"/>
    <mergeCell ref="Q8:S8"/>
    <mergeCell ref="G9:K9"/>
    <mergeCell ref="Q9:U9"/>
    <mergeCell ref="B10:C10"/>
    <mergeCell ref="T24:U24"/>
    <mergeCell ref="B11:C11"/>
    <mergeCell ref="B8:K8"/>
    <mergeCell ref="B23:C23"/>
    <mergeCell ref="G23:J23"/>
    <mergeCell ref="Q23:R23"/>
    <mergeCell ref="B24:C24"/>
    <mergeCell ref="J24:K24"/>
    <mergeCell ref="B12:C12"/>
    <mergeCell ref="B13:C13"/>
    <mergeCell ref="B15:C15"/>
    <mergeCell ref="B16:C16"/>
    <mergeCell ref="B19:C19"/>
    <mergeCell ref="G28:H28"/>
    <mergeCell ref="I28:J28"/>
    <mergeCell ref="Q28:R28"/>
    <mergeCell ref="I26:J26"/>
    <mergeCell ref="S28:T28"/>
    <mergeCell ref="S26:T26"/>
    <mergeCell ref="H32:O32"/>
    <mergeCell ref="B31:C31"/>
    <mergeCell ref="B47:C47"/>
    <mergeCell ref="B32:C32"/>
    <mergeCell ref="B48:C48"/>
    <mergeCell ref="B49:C49"/>
    <mergeCell ref="B33:C33"/>
    <mergeCell ref="B34:C34"/>
    <mergeCell ref="B35:C35"/>
    <mergeCell ref="A39:C39"/>
    <mergeCell ref="B45:C45"/>
    <mergeCell ref="B46:C46"/>
  </mergeCells>
  <pageMargins left="0.75" right="0.75" top="1" bottom="1" header="0.5" footer="0.5"/>
  <pageSetup paperSize="9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111">
    <tabColor indexed="45"/>
  </sheetPr>
  <dimension ref="A1:AL60"/>
  <sheetViews>
    <sheetView rightToLeft="1" workbookViewId="0">
      <selection activeCell="AL8" sqref="AL8"/>
    </sheetView>
  </sheetViews>
  <sheetFormatPr defaultRowHeight="12.75" x14ac:dyDescent="0.2"/>
  <cols>
    <col min="1" max="3" width="9.140625" style="873"/>
    <col min="4" max="4" width="16.28515625" style="873" customWidth="1"/>
    <col min="5" max="5" width="14.28515625" style="873" customWidth="1"/>
    <col min="6" max="6" width="13.28515625" style="873" customWidth="1"/>
    <col min="7" max="7" width="14.28515625" style="873" customWidth="1"/>
    <col min="8" max="8" width="12.7109375" style="873" customWidth="1"/>
    <col min="9" max="9" width="13.28515625" style="873" customWidth="1"/>
    <col min="10" max="10" width="13" style="873" customWidth="1"/>
    <col min="11" max="11" width="14.42578125" style="873" customWidth="1"/>
    <col min="12" max="12" width="13" style="873" customWidth="1"/>
    <col min="13" max="13" width="9.140625" style="873"/>
    <col min="14" max="14" width="14.140625" style="873" customWidth="1"/>
    <col min="15" max="16" width="9.140625" style="873"/>
    <col min="17" max="17" width="15.7109375" style="873" customWidth="1"/>
    <col min="18" max="18" width="16.140625" style="873" customWidth="1"/>
    <col min="19" max="19" width="11.42578125" style="873" customWidth="1"/>
    <col min="20" max="20" width="14.85546875" style="873" customWidth="1"/>
    <col min="21" max="21" width="14.140625" style="873" customWidth="1"/>
    <col min="22" max="22" width="13.5703125" style="873" customWidth="1"/>
    <col min="23" max="23" width="9.140625" style="873"/>
    <col min="24" max="24" width="14.85546875" style="873" customWidth="1"/>
    <col min="25" max="16384" width="9.140625" style="873"/>
  </cols>
  <sheetData>
    <row r="1" spans="1:38" x14ac:dyDescent="0.2">
      <c r="I1" s="1191" t="s">
        <v>676</v>
      </c>
      <c r="J1" s="1192"/>
      <c r="K1" s="1193"/>
      <c r="L1" s="376">
        <f>'[1]נתוני יסוד'!B28</f>
        <v>0</v>
      </c>
    </row>
    <row r="2" spans="1:38" x14ac:dyDescent="0.2">
      <c r="E2" s="1126" t="s">
        <v>645</v>
      </c>
      <c r="F2" s="1126"/>
      <c r="G2" s="1126"/>
      <c r="H2" s="335">
        <f>'[1]פיצויים פטורים והוני'!H2</f>
        <v>0</v>
      </c>
      <c r="I2" s="1191" t="s">
        <v>677</v>
      </c>
      <c r="J2" s="1192"/>
      <c r="K2" s="1193"/>
      <c r="L2" s="376">
        <f>'[1]נתוני יסוד'!B27</f>
        <v>0</v>
      </c>
    </row>
    <row r="3" spans="1:38" x14ac:dyDescent="0.2">
      <c r="B3" s="874"/>
      <c r="C3" s="874"/>
      <c r="D3" s="874"/>
      <c r="E3" s="874"/>
      <c r="F3" s="874"/>
      <c r="G3" s="874"/>
      <c r="H3" s="875"/>
      <c r="I3" s="1188" t="s">
        <v>678</v>
      </c>
      <c r="J3" s="1189"/>
      <c r="K3" s="1190"/>
      <c r="L3" s="67">
        <f>'[1]נתוני יסוד'!B26</f>
        <v>0</v>
      </c>
      <c r="M3" s="872"/>
      <c r="N3" s="874"/>
      <c r="O3" s="874"/>
      <c r="P3" s="874"/>
      <c r="Q3" s="874"/>
      <c r="R3" s="874"/>
      <c r="S3" s="874"/>
      <c r="T3" s="874"/>
      <c r="U3" s="874"/>
      <c r="V3" s="874"/>
      <c r="W3" s="874"/>
      <c r="X3" s="874"/>
      <c r="Y3" s="874"/>
      <c r="Z3" s="874"/>
      <c r="AA3" s="874"/>
      <c r="AB3" s="874"/>
      <c r="AC3" s="874"/>
      <c r="AD3" s="874"/>
      <c r="AE3" s="874"/>
      <c r="AF3" s="874"/>
      <c r="AG3" s="874"/>
      <c r="AH3" s="874"/>
      <c r="AI3" s="874"/>
      <c r="AJ3" s="874"/>
      <c r="AK3" s="874"/>
      <c r="AL3" s="874"/>
    </row>
    <row r="4" spans="1:38" ht="12.75" customHeight="1" x14ac:dyDescent="0.2">
      <c r="B4" s="874"/>
      <c r="C4" s="874"/>
      <c r="D4" s="874"/>
      <c r="E4" s="874"/>
      <c r="F4" s="874"/>
      <c r="G4" s="874"/>
      <c r="H4" s="875"/>
      <c r="I4" s="1188" t="s">
        <v>998</v>
      </c>
      <c r="J4" s="1189"/>
      <c r="K4" s="1190"/>
      <c r="L4" s="67">
        <f>'[1]נתוני יסוד'!B36</f>
        <v>0</v>
      </c>
      <c r="M4" s="876"/>
      <c r="Q4" s="874"/>
      <c r="R4" s="874"/>
      <c r="S4" s="874"/>
      <c r="T4" s="874"/>
      <c r="U4" s="874"/>
      <c r="V4" s="874"/>
      <c r="W4" s="874"/>
      <c r="X4" s="874"/>
      <c r="Y4" s="874"/>
      <c r="Z4" s="874"/>
      <c r="AA4" s="874"/>
      <c r="AB4" s="874"/>
      <c r="AC4" s="874"/>
      <c r="AD4" s="874"/>
      <c r="AE4" s="874"/>
      <c r="AF4" s="874"/>
      <c r="AG4" s="874"/>
      <c r="AH4" s="874"/>
      <c r="AI4" s="874"/>
      <c r="AJ4" s="874"/>
      <c r="AK4" s="874"/>
      <c r="AL4" s="874"/>
    </row>
    <row r="5" spans="1:38" ht="12.75" customHeight="1" x14ac:dyDescent="0.2">
      <c r="B5" s="1129" t="s">
        <v>642</v>
      </c>
      <c r="C5" s="1053"/>
      <c r="D5" s="336">
        <f>'[1]נתוני יסוד'!B4</f>
        <v>0</v>
      </c>
      <c r="E5" s="874" t="s">
        <v>643</v>
      </c>
      <c r="F5" s="874"/>
      <c r="G5" s="874"/>
      <c r="H5" s="875"/>
      <c r="I5" s="1188" t="s">
        <v>679</v>
      </c>
      <c r="J5" s="1189"/>
      <c r="K5" s="1190"/>
      <c r="L5" s="67">
        <f>'[1]נתוני יסוד'!B29</f>
        <v>0</v>
      </c>
      <c r="M5" s="872"/>
      <c r="N5" s="874"/>
      <c r="O5" s="874"/>
      <c r="P5" s="874"/>
      <c r="Q5" s="874"/>
      <c r="R5" s="874"/>
      <c r="S5" s="874"/>
      <c r="T5" s="874"/>
      <c r="U5" s="874"/>
      <c r="V5" s="874"/>
      <c r="W5" s="874"/>
      <c r="X5" s="874"/>
      <c r="Y5" s="874"/>
      <c r="Z5" s="874"/>
      <c r="AA5" s="874"/>
      <c r="AB5" s="874"/>
      <c r="AC5" s="874"/>
      <c r="AD5" s="874"/>
      <c r="AE5" s="874"/>
      <c r="AF5" s="874"/>
      <c r="AG5" s="874"/>
      <c r="AH5" s="874"/>
      <c r="AI5" s="874"/>
      <c r="AJ5" s="874"/>
      <c r="AK5" s="874"/>
      <c r="AL5" s="874"/>
    </row>
    <row r="6" spans="1:38" x14ac:dyDescent="0.2">
      <c r="B6" s="1129" t="s">
        <v>644</v>
      </c>
      <c r="C6" s="1053"/>
      <c r="D6" s="336">
        <f>'[1]נתוני יסוד'!B6</f>
        <v>45874.826249999998</v>
      </c>
      <c r="E6" s="874"/>
      <c r="F6" s="1129" t="s">
        <v>646</v>
      </c>
      <c r="G6" s="1053"/>
      <c r="H6" s="378">
        <f>(D6-D5)/365.25</f>
        <v>125.59842915811087</v>
      </c>
      <c r="I6" s="1188" t="s">
        <v>680</v>
      </c>
      <c r="J6" s="1189"/>
      <c r="K6" s="1190"/>
      <c r="L6" s="67">
        <f>'[1]נתוני יסוד'!B30</f>
        <v>0</v>
      </c>
      <c r="M6" s="872"/>
      <c r="N6" s="874"/>
      <c r="O6" s="874"/>
      <c r="P6" s="874"/>
      <c r="Q6" s="874"/>
      <c r="R6" s="874"/>
      <c r="S6" s="874"/>
      <c r="T6" s="874"/>
      <c r="U6" s="874"/>
      <c r="V6" s="874"/>
      <c r="W6" s="874"/>
      <c r="X6" s="874"/>
      <c r="Y6" s="874"/>
      <c r="Z6" s="874"/>
      <c r="AA6" s="874"/>
      <c r="AB6" s="874"/>
      <c r="AC6" s="874"/>
      <c r="AD6" s="874"/>
      <c r="AE6" s="874"/>
      <c r="AF6" s="874"/>
      <c r="AG6" s="874"/>
      <c r="AH6" s="874"/>
      <c r="AI6" s="874"/>
      <c r="AJ6" s="874"/>
      <c r="AK6" s="874"/>
      <c r="AL6" s="874"/>
    </row>
    <row r="7" spans="1:38" x14ac:dyDescent="0.2">
      <c r="B7" s="874"/>
      <c r="C7" s="874"/>
      <c r="D7" s="874"/>
      <c r="E7" s="874"/>
      <c r="F7" s="874"/>
      <c r="G7" s="874"/>
      <c r="H7" s="874"/>
      <c r="I7" s="874"/>
      <c r="J7" s="874"/>
      <c r="K7" s="874"/>
      <c r="L7" s="874"/>
      <c r="M7" s="874"/>
      <c r="N7" s="874"/>
      <c r="O7" s="874"/>
      <c r="P7" s="874"/>
      <c r="Q7" s="874"/>
      <c r="R7" s="874"/>
      <c r="S7" s="874"/>
      <c r="T7" s="874"/>
      <c r="U7" s="874"/>
      <c r="V7" s="874"/>
      <c r="W7" s="874"/>
      <c r="X7" s="874"/>
      <c r="Y7" s="874"/>
      <c r="Z7" s="874"/>
      <c r="AA7" s="874"/>
      <c r="AB7" s="874"/>
    </row>
    <row r="8" spans="1:38" ht="26.25" x14ac:dyDescent="0.2">
      <c r="B8" s="1130" t="s">
        <v>999</v>
      </c>
      <c r="C8" s="1131"/>
      <c r="D8" s="1131"/>
      <c r="E8" s="1131"/>
      <c r="F8" s="1131"/>
      <c r="G8" s="1131"/>
      <c r="H8" s="1131"/>
      <c r="I8" s="1131"/>
      <c r="J8" s="1131"/>
      <c r="K8" s="1132"/>
      <c r="L8" s="874"/>
      <c r="M8" s="874"/>
      <c r="N8" s="874"/>
      <c r="O8" s="874"/>
      <c r="P8" s="874"/>
      <c r="Q8" s="1133"/>
      <c r="R8" s="1052"/>
      <c r="S8" s="1053"/>
      <c r="T8" s="874"/>
      <c r="U8" s="874"/>
      <c r="V8" s="874"/>
      <c r="W8" s="874"/>
      <c r="X8" s="874"/>
      <c r="Y8" s="874"/>
      <c r="Z8" s="874"/>
      <c r="AA8" s="874"/>
      <c r="AB8" s="874"/>
    </row>
    <row r="9" spans="1:38" ht="26.25" x14ac:dyDescent="0.2">
      <c r="B9" s="874"/>
      <c r="C9" s="874"/>
      <c r="D9" s="874"/>
      <c r="E9" s="874"/>
      <c r="F9" s="874"/>
      <c r="G9" s="1134" t="s">
        <v>647</v>
      </c>
      <c r="H9" s="1135"/>
      <c r="I9" s="1135"/>
      <c r="J9" s="1135"/>
      <c r="K9" s="1136"/>
      <c r="L9" s="874"/>
      <c r="M9" s="874"/>
      <c r="N9" s="874"/>
      <c r="O9" s="874"/>
      <c r="P9" s="874"/>
      <c r="Q9" s="1137" t="s">
        <v>648</v>
      </c>
      <c r="R9" s="1138"/>
      <c r="S9" s="1138"/>
      <c r="T9" s="1138"/>
      <c r="U9" s="1139"/>
      <c r="V9" s="874"/>
      <c r="W9" s="874"/>
      <c r="X9" s="874"/>
      <c r="Y9" s="874"/>
      <c r="Z9" s="874"/>
      <c r="AA9" s="874"/>
      <c r="AB9" s="874"/>
    </row>
    <row r="10" spans="1:38" ht="25.5" x14ac:dyDescent="0.2">
      <c r="A10" s="1125" t="s">
        <v>649</v>
      </c>
      <c r="B10" s="1092"/>
      <c r="C10" s="1092"/>
      <c r="D10" s="337">
        <f>L1+L2+L3+L5+L6</f>
        <v>0</v>
      </c>
      <c r="E10" s="874"/>
      <c r="F10" s="874"/>
      <c r="G10" s="874" t="s">
        <v>650</v>
      </c>
      <c r="H10" s="874" t="s">
        <v>636</v>
      </c>
      <c r="I10" s="330" t="s">
        <v>637</v>
      </c>
      <c r="J10" s="874" t="s">
        <v>638</v>
      </c>
      <c r="K10" s="874"/>
      <c r="L10" s="874"/>
      <c r="M10" s="874"/>
      <c r="N10" s="874"/>
      <c r="O10" s="874"/>
      <c r="P10" s="874"/>
      <c r="Q10" s="874" t="s">
        <v>651</v>
      </c>
      <c r="R10" s="874" t="s">
        <v>639</v>
      </c>
      <c r="S10" s="330" t="s">
        <v>640</v>
      </c>
      <c r="T10" s="874" t="s">
        <v>641</v>
      </c>
      <c r="U10" s="874"/>
      <c r="V10" s="874"/>
      <c r="W10" s="874"/>
      <c r="X10" s="874"/>
      <c r="Y10" s="874"/>
      <c r="Z10" s="874"/>
      <c r="AA10" s="874"/>
      <c r="AB10" s="874"/>
    </row>
    <row r="11" spans="1:38" ht="24" customHeight="1" x14ac:dyDescent="0.2">
      <c r="A11" s="1125" t="s">
        <v>652</v>
      </c>
      <c r="B11" s="1092"/>
      <c r="C11" s="1092"/>
      <c r="D11" s="337">
        <f>SUM(L1:L6)</f>
        <v>0</v>
      </c>
      <c r="E11" s="874"/>
      <c r="F11" s="874"/>
      <c r="G11" s="329" t="e">
        <f>Q11/12</f>
        <v>#DIV/0!</v>
      </c>
      <c r="H11" s="76">
        <f>D11</f>
        <v>0</v>
      </c>
      <c r="I11" s="76">
        <f>L5</f>
        <v>0</v>
      </c>
      <c r="J11" s="338" t="e">
        <f>H11-I11+G11</f>
        <v>#DIV/0!</v>
      </c>
      <c r="K11" s="331"/>
      <c r="L11" s="331"/>
      <c r="M11" s="331"/>
      <c r="N11" s="874"/>
      <c r="O11" s="874"/>
      <c r="P11" s="874"/>
      <c r="Q11" s="76" t="e">
        <f>D22/D23</f>
        <v>#DIV/0!</v>
      </c>
      <c r="R11" s="76">
        <f>H11*12</f>
        <v>0</v>
      </c>
      <c r="S11" s="76">
        <f>I11*12</f>
        <v>0</v>
      </c>
      <c r="T11" s="76" t="e">
        <f>R11-S11+Q11</f>
        <v>#DIV/0!</v>
      </c>
      <c r="U11" s="331"/>
      <c r="V11" s="331"/>
      <c r="W11" s="331"/>
      <c r="X11" s="874"/>
      <c r="Y11" s="874"/>
      <c r="Z11" s="874"/>
      <c r="AA11" s="874"/>
      <c r="AB11" s="874"/>
    </row>
    <row r="12" spans="1:38" ht="24" customHeight="1" x14ac:dyDescent="0.2">
      <c r="A12" s="1125" t="s">
        <v>653</v>
      </c>
      <c r="B12" s="1092"/>
      <c r="C12" s="1092"/>
      <c r="D12" s="64">
        <f>'[1]נתוני יסוד'!B33</f>
        <v>0</v>
      </c>
      <c r="E12" s="874"/>
      <c r="F12" s="874"/>
      <c r="G12" s="331" t="s">
        <v>631</v>
      </c>
      <c r="H12" s="331" t="s">
        <v>632</v>
      </c>
      <c r="I12" s="331" t="s">
        <v>542</v>
      </c>
      <c r="J12" s="331" t="s">
        <v>632</v>
      </c>
      <c r="K12" s="331" t="s">
        <v>633</v>
      </c>
      <c r="L12" s="331" t="s">
        <v>634</v>
      </c>
      <c r="M12" s="331"/>
      <c r="N12" s="874"/>
      <c r="O12" s="874"/>
      <c r="P12" s="874"/>
      <c r="Q12" s="331" t="s">
        <v>631</v>
      </c>
      <c r="R12" s="331" t="s">
        <v>632</v>
      </c>
      <c r="S12" s="331" t="s">
        <v>542</v>
      </c>
      <c r="T12" s="331" t="s">
        <v>632</v>
      </c>
      <c r="U12" s="331" t="s">
        <v>633</v>
      </c>
      <c r="V12" s="331" t="s">
        <v>634</v>
      </c>
      <c r="W12" s="331"/>
      <c r="X12" s="874"/>
      <c r="Y12" s="874"/>
      <c r="Z12" s="874"/>
      <c r="AA12" s="874"/>
      <c r="AB12" s="874"/>
    </row>
    <row r="13" spans="1:38" ht="24" customHeight="1" x14ac:dyDescent="0.2">
      <c r="A13" s="1142" t="s">
        <v>267</v>
      </c>
      <c r="B13" s="1116"/>
      <c r="C13" s="1116"/>
      <c r="D13" s="896">
        <f>'[1]נתוני יסוד'!B35</f>
        <v>0</v>
      </c>
      <c r="E13" s="874"/>
      <c r="F13" s="874"/>
      <c r="G13" s="341">
        <f>H13</f>
        <v>5270</v>
      </c>
      <c r="H13" s="341">
        <f>'[1]חישובי מיסוי פנסיה פתוחים'!B6</f>
        <v>5270</v>
      </c>
      <c r="I13" s="342">
        <f>'[1]חישובי מיסוי פנסיה פתוחים'!C6</f>
        <v>0.1</v>
      </c>
      <c r="J13" s="80" t="e">
        <f>IF(J11&gt;G13,H13,J11)</f>
        <v>#DIV/0!</v>
      </c>
      <c r="K13" s="80" t="e">
        <f t="shared" ref="K13:K18" si="0">J13*I13</f>
        <v>#DIV/0!</v>
      </c>
      <c r="L13" s="80" t="e">
        <f>K13</f>
        <v>#DIV/0!</v>
      </c>
      <c r="M13" s="331"/>
      <c r="N13" s="874"/>
      <c r="O13" s="874"/>
      <c r="P13" s="874"/>
      <c r="Q13" s="341">
        <f>R13</f>
        <v>63240</v>
      </c>
      <c r="R13" s="341">
        <f>H13*12</f>
        <v>63240</v>
      </c>
      <c r="S13" s="342">
        <f t="shared" ref="S13:S18" si="1">I13</f>
        <v>0.1</v>
      </c>
      <c r="T13" s="331" t="e">
        <f>IF(T11&gt;Q13,R13,T11)</f>
        <v>#DIV/0!</v>
      </c>
      <c r="U13" s="331" t="e">
        <f t="shared" ref="U13:U18" si="2">T13*S13</f>
        <v>#DIV/0!</v>
      </c>
      <c r="V13" s="331" t="e">
        <f>U13</f>
        <v>#DIV/0!</v>
      </c>
      <c r="W13" s="331"/>
      <c r="X13" s="874"/>
      <c r="Y13" s="874"/>
      <c r="Z13" s="874"/>
      <c r="AA13" s="874"/>
      <c r="AB13" s="874"/>
    </row>
    <row r="14" spans="1:38" ht="24.75" customHeight="1" x14ac:dyDescent="0.2">
      <c r="A14" s="1140" t="s">
        <v>941</v>
      </c>
      <c r="B14" s="1140"/>
      <c r="C14" s="1140"/>
      <c r="D14" s="897">
        <f>D12-D13</f>
        <v>0</v>
      </c>
      <c r="E14" s="874"/>
      <c r="F14" s="874"/>
      <c r="G14" s="341">
        <f>G13+H14</f>
        <v>9000</v>
      </c>
      <c r="H14" s="341">
        <f>'[1]חישובי מיסוי פנסיה פתוחים'!B7</f>
        <v>3730</v>
      </c>
      <c r="I14" s="342">
        <f>'[1]חישובי מיסוי פנסיה פתוחים'!C7</f>
        <v>0.14000000000000001</v>
      </c>
      <c r="J14" s="80" t="e">
        <f>IF(J11&gt;G14,H14,IF(J11&lt;G13,0,J11-G13))</f>
        <v>#DIV/0!</v>
      </c>
      <c r="K14" s="80" t="e">
        <f t="shared" si="0"/>
        <v>#DIV/0!</v>
      </c>
      <c r="L14" s="80" t="e">
        <f>L13+K14</f>
        <v>#DIV/0!</v>
      </c>
      <c r="M14" s="331"/>
      <c r="N14" s="874"/>
      <c r="O14" s="874"/>
      <c r="P14" s="874"/>
      <c r="Q14" s="341">
        <f>Q13+R14</f>
        <v>108000</v>
      </c>
      <c r="R14" s="341">
        <f>H14*12</f>
        <v>44760</v>
      </c>
      <c r="S14" s="342">
        <f t="shared" si="1"/>
        <v>0.14000000000000001</v>
      </c>
      <c r="T14" s="331" t="e">
        <f>IF(T11&gt;Q14,R14,IF(T11&lt;Q13,0,T11-Q13))</f>
        <v>#DIV/0!</v>
      </c>
      <c r="U14" s="331" t="e">
        <f t="shared" si="2"/>
        <v>#DIV/0!</v>
      </c>
      <c r="V14" s="331" t="e">
        <f>V13+U14</f>
        <v>#DIV/0!</v>
      </c>
      <c r="W14" s="331"/>
      <c r="X14" s="874"/>
      <c r="Y14" s="874"/>
      <c r="Z14" s="874"/>
      <c r="AA14" s="874"/>
      <c r="AB14" s="874"/>
    </row>
    <row r="15" spans="1:38" ht="24.75" customHeight="1" x14ac:dyDescent="0.2">
      <c r="A15" s="1194" t="s">
        <v>1000</v>
      </c>
      <c r="B15" s="1194"/>
      <c r="C15" s="1194"/>
      <c r="D15" s="641">
        <f>'[1]נתוני יסוד'!B34</f>
        <v>0</v>
      </c>
      <c r="E15" s="874"/>
      <c r="F15" s="874"/>
      <c r="G15" s="341">
        <f>G14+H15</f>
        <v>13990</v>
      </c>
      <c r="H15" s="341">
        <f>'[1]חישובי מיסוי פנסיה פתוחים'!B8</f>
        <v>4990</v>
      </c>
      <c r="I15" s="342">
        <f>'[1]חישובי מיסוי פנסיה פתוחים'!C8</f>
        <v>0.21</v>
      </c>
      <c r="J15" s="80" t="e">
        <f>IF(J11&gt;G15,H15,IF(J11&lt;G14,0,J11-G14))</f>
        <v>#DIV/0!</v>
      </c>
      <c r="K15" s="80" t="e">
        <f t="shared" si="0"/>
        <v>#DIV/0!</v>
      </c>
      <c r="L15" s="80" t="e">
        <f>L14+K15</f>
        <v>#DIV/0!</v>
      </c>
      <c r="Q15" s="341">
        <f>Q14+R15</f>
        <v>167880</v>
      </c>
      <c r="R15" s="341">
        <f>H15*12</f>
        <v>59880</v>
      </c>
      <c r="S15" s="342">
        <f t="shared" si="1"/>
        <v>0.21</v>
      </c>
      <c r="T15" s="331" t="e">
        <f>IF(T11&gt;Q15,R15,IF(T11&lt;Q14,0,T11-Q14))</f>
        <v>#DIV/0!</v>
      </c>
      <c r="U15" s="331" t="e">
        <f t="shared" si="2"/>
        <v>#DIV/0!</v>
      </c>
      <c r="V15" s="331" t="e">
        <f>V14+U15</f>
        <v>#DIV/0!</v>
      </c>
      <c r="W15" s="331"/>
      <c r="X15" s="874"/>
      <c r="Y15" s="874"/>
      <c r="Z15" s="874"/>
      <c r="AA15" s="874"/>
      <c r="AB15" s="874"/>
    </row>
    <row r="16" spans="1:38" x14ac:dyDescent="0.2">
      <c r="B16" s="1195" t="s">
        <v>655</v>
      </c>
      <c r="C16" s="1196"/>
      <c r="D16" s="379">
        <f>H6</f>
        <v>125.59842915811087</v>
      </c>
      <c r="E16" s="874"/>
      <c r="F16" s="874"/>
      <c r="G16" s="341">
        <f>G15+H16</f>
        <v>19980</v>
      </c>
      <c r="H16" s="341">
        <f>'[1]חישובי מיסוי פנסיה פתוחים'!B9</f>
        <v>5990</v>
      </c>
      <c r="I16" s="342">
        <f>'[1]חישובי מיסוי פנסיה פתוחים'!C9</f>
        <v>0.31</v>
      </c>
      <c r="J16" s="80" t="e">
        <f>IF(J11&gt;G16,H16,IF(J11&lt;G15,0,J11-G15))</f>
        <v>#DIV/0!</v>
      </c>
      <c r="K16" s="80" t="e">
        <f t="shared" si="0"/>
        <v>#DIV/0!</v>
      </c>
      <c r="L16" s="80" t="e">
        <f>L15+K16</f>
        <v>#DIV/0!</v>
      </c>
      <c r="M16" s="331"/>
      <c r="N16" s="874"/>
      <c r="O16" s="874"/>
      <c r="P16" s="874"/>
      <c r="Q16" s="341">
        <f>Q15+R16</f>
        <v>239760</v>
      </c>
      <c r="R16" s="341">
        <f>H16*12</f>
        <v>71880</v>
      </c>
      <c r="S16" s="342">
        <f t="shared" si="1"/>
        <v>0.31</v>
      </c>
      <c r="T16" s="331" t="e">
        <f>IF(T11&gt;Q16,R16,IF(T11&lt;Q15,0,T11-Q15))</f>
        <v>#DIV/0!</v>
      </c>
      <c r="U16" s="331" t="e">
        <f t="shared" si="2"/>
        <v>#DIV/0!</v>
      </c>
      <c r="V16" s="331" t="e">
        <f>V15+U16</f>
        <v>#DIV/0!</v>
      </c>
      <c r="W16" s="331"/>
      <c r="X16" s="874"/>
      <c r="Y16" s="874"/>
      <c r="Z16" s="874"/>
      <c r="AA16" s="874"/>
      <c r="AB16" s="874"/>
    </row>
    <row r="17" spans="2:28" x14ac:dyDescent="0.2">
      <c r="B17" s="1129" t="s">
        <v>656</v>
      </c>
      <c r="C17" s="1053"/>
      <c r="D17" s="345">
        <f>IF(D16&lt;=3,0,IF(D16&lt;=7,1,IF(D16&lt;=11,2,IF(D16&lt;=15,3,IF(D16&lt;=19,4,IF(D16&lt;=23,5,IF(D16&lt;=99,6,0)))))))</f>
        <v>0</v>
      </c>
      <c r="E17" s="874"/>
      <c r="F17" s="874"/>
      <c r="G17" s="341">
        <f>G16+H17</f>
        <v>41790</v>
      </c>
      <c r="H17" s="341">
        <f>'[1]חישובי מיסוי פנסיה פתוחים'!B10</f>
        <v>21810</v>
      </c>
      <c r="I17" s="342">
        <f>'[1]חישובי מיסוי פנסיה פתוחים'!C10</f>
        <v>0.34</v>
      </c>
      <c r="J17" s="80" t="e">
        <f>IF(J11&gt;G17,H17,IF(J11&lt;G16,0,J11-G16))</f>
        <v>#DIV/0!</v>
      </c>
      <c r="K17" s="80" t="e">
        <f t="shared" si="0"/>
        <v>#DIV/0!</v>
      </c>
      <c r="L17" s="80" t="e">
        <f>L16+K17</f>
        <v>#DIV/0!</v>
      </c>
      <c r="M17" s="331"/>
      <c r="N17" s="874"/>
      <c r="O17" s="874"/>
      <c r="P17" s="874"/>
      <c r="Q17" s="341">
        <f>Q16+R17</f>
        <v>501480</v>
      </c>
      <c r="R17" s="341">
        <f>H17*12</f>
        <v>261720</v>
      </c>
      <c r="S17" s="342">
        <f t="shared" si="1"/>
        <v>0.34</v>
      </c>
      <c r="T17" s="331" t="e">
        <f>IF(T11&gt;Q17,R17,IF(T11&lt;Q16,0,T11-Q16))</f>
        <v>#DIV/0!</v>
      </c>
      <c r="U17" s="331" t="e">
        <f t="shared" si="2"/>
        <v>#DIV/0!</v>
      </c>
      <c r="V17" s="331" t="e">
        <f>V16+U17</f>
        <v>#DIV/0!</v>
      </c>
      <c r="W17" s="331"/>
      <c r="X17" s="874"/>
      <c r="Y17" s="874"/>
      <c r="Z17" s="874"/>
      <c r="AA17" s="874"/>
      <c r="AB17" s="874"/>
    </row>
    <row r="18" spans="2:28" x14ac:dyDescent="0.2">
      <c r="B18" s="1129" t="s">
        <v>576</v>
      </c>
      <c r="C18" s="1053"/>
      <c r="D18" s="99">
        <f>IF(D14&gt;'[1]נתוני יסוד'!M6,'[1]נתוני יסוד'!M6,D14)</f>
        <v>0</v>
      </c>
      <c r="E18" s="874"/>
      <c r="F18" s="874"/>
      <c r="G18" s="341">
        <v>99999999</v>
      </c>
      <c r="H18" s="341" t="e">
        <f>IF(J11-G17&gt;=0,J11-G17,0)</f>
        <v>#DIV/0!</v>
      </c>
      <c r="I18" s="342">
        <f>'[1]חישובי מיסוי פנסיה פתוחים'!C11</f>
        <v>0.48</v>
      </c>
      <c r="J18" s="80" t="e">
        <f>IF(J11&gt;G18,H18,IF(J11&lt;G17,0,J11-G17))</f>
        <v>#DIV/0!</v>
      </c>
      <c r="K18" s="80" t="e">
        <f t="shared" si="0"/>
        <v>#DIV/0!</v>
      </c>
      <c r="L18" s="80" t="e">
        <f>L17+K18</f>
        <v>#DIV/0!</v>
      </c>
      <c r="M18" s="331"/>
      <c r="N18" s="874"/>
      <c r="O18" s="874"/>
      <c r="P18" s="874"/>
      <c r="Q18" s="341">
        <v>99999999</v>
      </c>
      <c r="R18" s="341" t="e">
        <f>IF(T11-Q17&gt;=0,T11-Q17,0)</f>
        <v>#DIV/0!</v>
      </c>
      <c r="S18" s="342">
        <f t="shared" si="1"/>
        <v>0.48</v>
      </c>
      <c r="T18" s="331" t="e">
        <f>IF(T11&gt;Q18,R18,IF(T11&lt;Q17,0,T11-Q17))</f>
        <v>#DIV/0!</v>
      </c>
      <c r="U18" s="331" t="e">
        <f t="shared" si="2"/>
        <v>#DIV/0!</v>
      </c>
      <c r="V18" s="331" t="e">
        <f>V17+U18</f>
        <v>#DIV/0!</v>
      </c>
      <c r="W18" s="331"/>
      <c r="X18" s="874"/>
      <c r="Y18" s="874"/>
      <c r="Z18" s="874"/>
      <c r="AA18" s="874"/>
      <c r="AB18" s="874"/>
    </row>
    <row r="19" spans="2:28" ht="25.5" x14ac:dyDescent="0.2">
      <c r="B19" s="874" t="s">
        <v>370</v>
      </c>
      <c r="C19" s="874" t="s">
        <v>376</v>
      </c>
      <c r="D19" s="874"/>
      <c r="E19" s="346"/>
      <c r="F19" s="874"/>
      <c r="G19" s="331"/>
      <c r="H19" s="331"/>
      <c r="I19" s="331"/>
      <c r="J19" s="331"/>
      <c r="K19" s="331"/>
      <c r="L19" s="331"/>
      <c r="M19" s="331" t="s">
        <v>635</v>
      </c>
      <c r="N19" s="331" t="e">
        <f>IF(L18-'[1]נתוני יסוד'!L2&gt;=0,L18-'[1]נתוני יסוד'!L2,0)</f>
        <v>#DIV/0!</v>
      </c>
      <c r="O19" s="874"/>
      <c r="P19" s="874"/>
      <c r="Q19" s="331"/>
      <c r="R19" s="331"/>
      <c r="S19" s="331"/>
      <c r="T19" s="331"/>
      <c r="U19" s="331"/>
      <c r="V19" s="331"/>
      <c r="W19" s="331" t="s">
        <v>635</v>
      </c>
      <c r="X19" s="331" t="e">
        <f>IF(V18-'[1]נתוני יסוד'!L1&gt;=0,V18-'[1]נתוני יסוד'!L1,0)</f>
        <v>#DIV/0!</v>
      </c>
      <c r="Y19" s="874"/>
      <c r="Z19" s="874"/>
      <c r="AA19" s="874"/>
      <c r="AB19" s="874"/>
    </row>
    <row r="20" spans="2:28" x14ac:dyDescent="0.2">
      <c r="B20" s="64">
        <f>'[1]פיצויים פטורים והוני'!B21</f>
        <v>7200</v>
      </c>
      <c r="C20" s="64">
        <f>'[1]פיצויים פטורים והוני'!C21</f>
        <v>7400</v>
      </c>
      <c r="D20" s="874"/>
      <c r="E20" s="874"/>
      <c r="F20" s="874"/>
      <c r="G20" s="874"/>
      <c r="H20" s="874"/>
      <c r="I20" s="874"/>
      <c r="J20" s="874"/>
      <c r="K20" s="874"/>
      <c r="L20" s="874"/>
      <c r="M20" s="874" t="s">
        <v>586</v>
      </c>
      <c r="N20" s="331" t="e">
        <f>H11+G11-N19</f>
        <v>#DIV/0!</v>
      </c>
      <c r="O20" s="874"/>
      <c r="P20" s="874"/>
      <c r="Q20" s="874"/>
      <c r="R20" s="874"/>
      <c r="S20" s="874"/>
      <c r="T20" s="874"/>
      <c r="U20" s="874"/>
      <c r="V20" s="874"/>
      <c r="W20" s="874" t="s">
        <v>586</v>
      </c>
      <c r="X20" s="331" t="e">
        <f>R11+Q11-X19</f>
        <v>#DIV/0!</v>
      </c>
      <c r="Y20" s="874"/>
      <c r="Z20" s="874"/>
      <c r="AA20" s="874"/>
      <c r="AB20" s="874"/>
    </row>
    <row r="21" spans="2:28" x14ac:dyDescent="0.2">
      <c r="B21" s="875"/>
      <c r="C21" s="872"/>
      <c r="D21" s="874"/>
      <c r="E21" s="874"/>
      <c r="F21" s="874"/>
      <c r="G21" s="874"/>
      <c r="H21" s="874"/>
      <c r="I21" s="874"/>
      <c r="J21" s="874"/>
      <c r="K21" s="874"/>
      <c r="L21" s="874"/>
      <c r="M21" s="874"/>
      <c r="N21" s="874"/>
      <c r="O21" s="874"/>
      <c r="P21" s="874"/>
      <c r="Q21" s="874"/>
      <c r="R21" s="874"/>
      <c r="S21" s="874"/>
      <c r="T21" s="874"/>
      <c r="U21" s="874"/>
      <c r="V21" s="874"/>
      <c r="W21" s="874"/>
      <c r="X21" s="874"/>
      <c r="Y21" s="874"/>
      <c r="Z21" s="874"/>
      <c r="AA21" s="874"/>
      <c r="AB21" s="874"/>
    </row>
    <row r="22" spans="2:28" ht="33" x14ac:dyDescent="0.2">
      <c r="B22" s="1129" t="s">
        <v>657</v>
      </c>
      <c r="C22" s="1053"/>
      <c r="D22" s="347">
        <f>IF(H2=1,((D14-D18)/6)*5,D14-D18)</f>
        <v>0</v>
      </c>
      <c r="E22" s="874"/>
      <c r="F22" s="874"/>
      <c r="G22" s="1143" t="s">
        <v>658</v>
      </c>
      <c r="H22" s="1144"/>
      <c r="I22" s="1144"/>
      <c r="J22" s="1145"/>
      <c r="K22" s="874"/>
      <c r="L22" s="874"/>
      <c r="M22" s="874"/>
      <c r="N22" s="874"/>
      <c r="O22" s="874"/>
      <c r="P22" s="874"/>
      <c r="Q22" s="1146" t="s">
        <v>658</v>
      </c>
      <c r="R22" s="1146"/>
      <c r="S22" s="874"/>
      <c r="T22" s="874"/>
      <c r="U22" s="874"/>
      <c r="V22" s="874"/>
      <c r="W22" s="874"/>
      <c r="X22" s="874"/>
      <c r="Y22" s="874"/>
      <c r="Z22" s="874"/>
      <c r="AA22" s="874"/>
      <c r="AB22" s="874"/>
    </row>
    <row r="23" spans="2:28" x14ac:dyDescent="0.2">
      <c r="B23" s="1147" t="s">
        <v>659</v>
      </c>
      <c r="C23" s="1148"/>
      <c r="D23" s="348">
        <f>IF(H2=1,D17-1,D17)</f>
        <v>0</v>
      </c>
      <c r="E23" s="874"/>
      <c r="F23" s="874"/>
      <c r="G23" s="874"/>
      <c r="H23" s="874" t="s">
        <v>163</v>
      </c>
      <c r="I23" s="65">
        <v>67</v>
      </c>
      <c r="J23" s="1140" t="s">
        <v>433</v>
      </c>
      <c r="K23" s="1140"/>
      <c r="L23" s="65">
        <v>90</v>
      </c>
      <c r="M23" s="874" t="s">
        <v>231</v>
      </c>
      <c r="N23" s="82">
        <v>3</v>
      </c>
      <c r="O23" s="874"/>
      <c r="P23" s="874"/>
      <c r="Q23" s="874"/>
      <c r="R23" s="874" t="s">
        <v>163</v>
      </c>
      <c r="S23" s="65">
        <v>67</v>
      </c>
      <c r="T23" s="1140" t="s">
        <v>433</v>
      </c>
      <c r="U23" s="1140"/>
      <c r="V23" s="65">
        <v>90</v>
      </c>
      <c r="W23" s="874" t="s">
        <v>231</v>
      </c>
      <c r="X23" s="82">
        <v>3</v>
      </c>
      <c r="Y23" s="874"/>
      <c r="Z23" s="874"/>
      <c r="AA23" s="874"/>
      <c r="AB23" s="874"/>
    </row>
    <row r="24" spans="2:28" x14ac:dyDescent="0.2">
      <c r="B24" s="104"/>
      <c r="C24" s="104"/>
      <c r="D24" s="104"/>
      <c r="E24" s="874"/>
      <c r="F24" s="874"/>
      <c r="G24" s="874"/>
      <c r="H24" s="874"/>
      <c r="I24" s="874"/>
      <c r="J24" s="874"/>
      <c r="K24" s="874"/>
      <c r="L24" s="874"/>
      <c r="M24" s="874"/>
      <c r="N24" s="874"/>
      <c r="O24" s="874"/>
      <c r="P24" s="874"/>
      <c r="Q24" s="874"/>
      <c r="R24" s="874"/>
      <c r="S24" s="874"/>
      <c r="T24" s="874"/>
      <c r="U24" s="874"/>
      <c r="V24" s="874"/>
      <c r="W24" s="874"/>
      <c r="X24" s="874"/>
      <c r="Y24" s="874"/>
      <c r="Z24" s="874"/>
      <c r="AA24" s="874"/>
      <c r="AB24" s="874"/>
    </row>
    <row r="25" spans="2:28" x14ac:dyDescent="0.2">
      <c r="B25" s="104"/>
      <c r="C25" s="104"/>
      <c r="D25" s="104"/>
      <c r="E25" s="874"/>
      <c r="F25" s="874"/>
      <c r="G25" s="874"/>
      <c r="H25" s="874" t="s">
        <v>245</v>
      </c>
      <c r="I25" s="1141" t="e">
        <f>PV(N23/100/12,(L23-I23)*12,N20,,1)*(-1)</f>
        <v>#DIV/0!</v>
      </c>
      <c r="J25" s="1141"/>
      <c r="K25" s="874"/>
      <c r="L25" s="874"/>
      <c r="M25" s="874"/>
      <c r="N25" s="874"/>
      <c r="O25" s="874"/>
      <c r="P25" s="874"/>
      <c r="Q25" s="874"/>
      <c r="R25" s="874" t="s">
        <v>245</v>
      </c>
      <c r="S25" s="1141" t="e">
        <f>PV(X23/100,(V23-S23),X20,,1)*(-1)</f>
        <v>#DIV/0!</v>
      </c>
      <c r="T25" s="1141"/>
      <c r="U25" s="874"/>
      <c r="V25" s="874"/>
      <c r="W25" s="874"/>
      <c r="X25" s="874"/>
      <c r="Y25" s="874"/>
      <c r="Z25" s="874"/>
      <c r="AA25" s="874"/>
      <c r="AB25" s="874"/>
    </row>
    <row r="26" spans="2:28" x14ac:dyDescent="0.2">
      <c r="B26" s="104"/>
      <c r="C26" s="104"/>
      <c r="D26" s="104"/>
      <c r="E26" s="874"/>
      <c r="F26" s="874"/>
      <c r="G26" s="874"/>
      <c r="H26" s="874"/>
      <c r="I26" s="874"/>
      <c r="J26" s="874"/>
      <c r="K26" s="874"/>
      <c r="L26" s="874"/>
      <c r="M26" s="874"/>
      <c r="N26" s="874"/>
      <c r="O26" s="874"/>
      <c r="P26" s="874"/>
      <c r="Q26" s="874"/>
      <c r="R26" s="874"/>
      <c r="S26" s="874"/>
      <c r="T26" s="874"/>
      <c r="U26" s="874"/>
      <c r="V26" s="874"/>
      <c r="W26" s="874"/>
      <c r="X26" s="874"/>
      <c r="Y26" s="874"/>
      <c r="Z26" s="874"/>
      <c r="AA26" s="874"/>
      <c r="AB26" s="874"/>
    </row>
    <row r="27" spans="2:28" x14ac:dyDescent="0.2">
      <c r="B27" s="104"/>
      <c r="C27" s="104"/>
      <c r="D27" s="104"/>
      <c r="E27" s="874"/>
      <c r="F27" s="874"/>
      <c r="G27" s="1140" t="s">
        <v>660</v>
      </c>
      <c r="H27" s="1140"/>
      <c r="I27" s="1141">
        <f>PV(N23/100/12,(L23-I23)*12,I11,,1)*(-1)</f>
        <v>0</v>
      </c>
      <c r="J27" s="1141"/>
      <c r="K27" s="874"/>
      <c r="L27" s="874"/>
      <c r="M27" s="874"/>
      <c r="N27" s="874"/>
      <c r="O27" s="874"/>
      <c r="P27" s="874"/>
      <c r="Q27" s="1140" t="s">
        <v>660</v>
      </c>
      <c r="R27" s="1140"/>
      <c r="S27" s="1141">
        <f>PV(X23/100,(V23-S23),S11,,1)*(-1)</f>
        <v>0</v>
      </c>
      <c r="T27" s="1141"/>
      <c r="U27" s="874"/>
      <c r="V27" s="874"/>
      <c r="W27" s="874"/>
      <c r="X27" s="874"/>
      <c r="Y27" s="874"/>
      <c r="Z27" s="874"/>
      <c r="AA27" s="874"/>
      <c r="AB27" s="874"/>
    </row>
    <row r="28" spans="2:28" x14ac:dyDescent="0.2">
      <c r="B28" s="874"/>
      <c r="C28" s="874"/>
      <c r="D28" s="874"/>
      <c r="E28" s="874"/>
      <c r="F28" s="874"/>
      <c r="G28" s="874"/>
      <c r="H28" s="874"/>
      <c r="I28" s="874"/>
      <c r="J28" s="874"/>
      <c r="K28" s="874"/>
      <c r="L28" s="874"/>
      <c r="M28" s="874"/>
      <c r="N28" s="874"/>
      <c r="O28" s="874"/>
      <c r="P28" s="874"/>
      <c r="Q28" s="874"/>
      <c r="R28" s="874"/>
      <c r="S28" s="874"/>
      <c r="T28" s="874"/>
      <c r="U28" s="874"/>
      <c r="V28" s="874"/>
      <c r="W28" s="874"/>
      <c r="X28" s="874"/>
      <c r="Y28" s="874"/>
      <c r="Z28" s="874"/>
      <c r="AA28" s="874"/>
      <c r="AB28" s="874"/>
    </row>
    <row r="29" spans="2:28" x14ac:dyDescent="0.2">
      <c r="B29" s="874"/>
      <c r="C29" s="874"/>
      <c r="D29" s="874"/>
      <c r="E29" s="874"/>
      <c r="F29" s="874"/>
      <c r="G29" s="874"/>
      <c r="H29" s="874"/>
      <c r="I29" s="874"/>
      <c r="J29" s="874"/>
      <c r="K29" s="874"/>
      <c r="L29" s="874"/>
      <c r="M29" s="874"/>
      <c r="N29" s="874"/>
      <c r="O29" s="874"/>
      <c r="P29" s="874"/>
      <c r="Q29" s="874"/>
      <c r="R29" s="874"/>
      <c r="S29" s="874"/>
      <c r="T29" s="874"/>
      <c r="U29" s="874"/>
      <c r="V29" s="874"/>
      <c r="W29" s="874"/>
      <c r="X29" s="874"/>
      <c r="Y29" s="874"/>
      <c r="Z29" s="874"/>
      <c r="AA29" s="874"/>
      <c r="AB29" s="874"/>
    </row>
    <row r="30" spans="2:28" ht="20.25" customHeight="1" x14ac:dyDescent="0.2">
      <c r="B30" s="1129" t="s">
        <v>269</v>
      </c>
      <c r="C30" s="1053"/>
      <c r="D30" s="380">
        <f>D12</f>
        <v>0</v>
      </c>
      <c r="E30" s="874"/>
      <c r="F30" s="331"/>
      <c r="G30" s="356"/>
      <c r="H30" s="357"/>
      <c r="I30" s="358"/>
      <c r="J30" s="874"/>
      <c r="K30" s="874"/>
      <c r="L30" s="874"/>
      <c r="M30" s="874"/>
      <c r="N30" s="874"/>
      <c r="O30" s="874"/>
      <c r="P30" s="874"/>
      <c r="Q30" s="874"/>
      <c r="R30" s="874"/>
      <c r="S30" s="874"/>
      <c r="T30" s="874"/>
      <c r="U30" s="874"/>
      <c r="V30" s="874"/>
      <c r="W30" s="874"/>
      <c r="X30" s="874"/>
      <c r="Y30" s="874"/>
      <c r="Z30" s="874"/>
      <c r="AA30" s="874"/>
      <c r="AB30" s="874"/>
    </row>
    <row r="31" spans="2:28" ht="20.100000000000001" customHeight="1" x14ac:dyDescent="0.2">
      <c r="B31" s="1129" t="s">
        <v>661</v>
      </c>
      <c r="C31" s="1053"/>
      <c r="D31" s="380">
        <f>D18</f>
        <v>0</v>
      </c>
      <c r="E31" s="874"/>
      <c r="F31" s="874"/>
      <c r="G31" s="877"/>
      <c r="H31" s="360"/>
      <c r="I31" s="878"/>
      <c r="J31" s="874"/>
      <c r="K31" s="874"/>
      <c r="L31" s="874"/>
      <c r="M31" s="874"/>
      <c r="N31" s="874"/>
      <c r="O31" s="874"/>
      <c r="P31" s="874"/>
      <c r="Q31" s="874"/>
      <c r="R31" s="874"/>
      <c r="S31" s="874"/>
      <c r="T31" s="874"/>
      <c r="U31" s="874"/>
      <c r="V31" s="874"/>
      <c r="W31" s="874"/>
      <c r="X31" s="874"/>
      <c r="Y31" s="874"/>
      <c r="Z31" s="874"/>
      <c r="AA31" s="874"/>
      <c r="AB31" s="874"/>
    </row>
    <row r="32" spans="2:28" ht="20.100000000000001" customHeight="1" thickBot="1" x14ac:dyDescent="0.25">
      <c r="B32" s="1129" t="s">
        <v>662</v>
      </c>
      <c r="C32" s="1053"/>
      <c r="D32" s="381">
        <f>D13</f>
        <v>0</v>
      </c>
      <c r="E32" s="874"/>
      <c r="F32" s="874" t="s">
        <v>681</v>
      </c>
      <c r="G32" s="877"/>
      <c r="H32" s="360"/>
      <c r="I32" s="878"/>
      <c r="J32" s="874"/>
      <c r="K32" s="874"/>
      <c r="L32" s="874"/>
      <c r="M32" s="874"/>
      <c r="N32" s="874"/>
      <c r="O32" s="874"/>
      <c r="P32" s="874"/>
      <c r="Q32" s="874"/>
      <c r="R32" s="874"/>
      <c r="S32" s="874"/>
      <c r="T32" s="874"/>
      <c r="U32" s="874"/>
      <c r="V32" s="874"/>
      <c r="W32" s="874"/>
      <c r="X32" s="874"/>
      <c r="Y32" s="874"/>
      <c r="Z32" s="874"/>
      <c r="AA32" s="874"/>
      <c r="AB32" s="874"/>
    </row>
    <row r="33" spans="2:38" ht="20.100000000000001" customHeight="1" x14ac:dyDescent="0.2">
      <c r="B33" s="1129" t="s">
        <v>663</v>
      </c>
      <c r="C33" s="1053"/>
      <c r="D33" s="382">
        <f>D30-D31-D32</f>
        <v>0</v>
      </c>
      <c r="E33" s="346" t="e">
        <f>D34</f>
        <v>#DIV/0!</v>
      </c>
      <c r="F33" s="64" t="e">
        <f>D33-E33</f>
        <v>#DIV/0!</v>
      </c>
      <c r="G33" s="874"/>
      <c r="H33" s="874"/>
      <c r="I33" s="874"/>
      <c r="J33" s="874"/>
      <c r="K33" s="874"/>
      <c r="L33" s="874"/>
      <c r="M33" s="874"/>
      <c r="N33" s="874"/>
      <c r="O33" s="874"/>
      <c r="P33" s="874"/>
      <c r="Q33" s="874"/>
      <c r="R33" s="874"/>
      <c r="S33" s="874"/>
      <c r="T33" s="874"/>
      <c r="U33" s="874"/>
      <c r="V33" s="874"/>
      <c r="W33" s="874"/>
      <c r="X33" s="874"/>
      <c r="Y33" s="874"/>
      <c r="Z33" s="874"/>
      <c r="AA33" s="874"/>
      <c r="AB33" s="874"/>
    </row>
    <row r="34" spans="2:38" ht="30.75" customHeight="1" x14ac:dyDescent="0.2">
      <c r="B34" s="1129" t="s">
        <v>664</v>
      </c>
      <c r="C34" s="1053"/>
      <c r="D34" s="380" t="e">
        <f>IF(H2=1,((X19-X50)*D23)+(Q11*50/100),(X19-X50)*D23)</f>
        <v>#DIV/0!</v>
      </c>
      <c r="E34" s="874"/>
      <c r="F34" s="874"/>
      <c r="G34" s="874"/>
      <c r="H34" s="874"/>
      <c r="I34" s="874"/>
      <c r="J34" s="874"/>
      <c r="K34" s="874"/>
      <c r="L34" s="874"/>
      <c r="M34" s="874"/>
      <c r="N34" s="874"/>
      <c r="O34" s="874"/>
      <c r="P34" s="874"/>
      <c r="Q34" s="874"/>
      <c r="R34" s="874"/>
      <c r="S34" s="874"/>
      <c r="T34" s="874"/>
      <c r="U34" s="874"/>
      <c r="V34" s="874"/>
      <c r="W34" s="874"/>
      <c r="X34" s="874"/>
      <c r="Y34" s="874"/>
      <c r="Z34" s="874"/>
      <c r="AA34" s="874"/>
      <c r="AB34" s="874"/>
    </row>
    <row r="35" spans="2:38" ht="24.95" customHeight="1" x14ac:dyDescent="0.2">
      <c r="B35" s="1129" t="s">
        <v>625</v>
      </c>
      <c r="C35" s="1053"/>
      <c r="D35" s="375" t="e">
        <f>D30-D32-D34</f>
        <v>#DIV/0!</v>
      </c>
      <c r="E35" s="346" t="e">
        <f>D31+D33-D34</f>
        <v>#DIV/0!</v>
      </c>
      <c r="F35" s="874"/>
      <c r="G35" s="874"/>
      <c r="H35" s="874"/>
      <c r="I35" s="874"/>
      <c r="J35" s="874"/>
      <c r="K35" s="874"/>
      <c r="L35" s="874"/>
      <c r="M35" s="874"/>
      <c r="N35" s="874"/>
      <c r="O35" s="874"/>
      <c r="P35" s="874"/>
      <c r="Q35" s="874"/>
      <c r="R35" s="874"/>
      <c r="S35" s="874"/>
      <c r="T35" s="874"/>
      <c r="U35" s="874"/>
      <c r="V35" s="874"/>
      <c r="W35" s="874"/>
      <c r="X35" s="874"/>
      <c r="Y35" s="874"/>
      <c r="Z35" s="874"/>
      <c r="AA35" s="874"/>
      <c r="AB35" s="874"/>
    </row>
    <row r="36" spans="2:38" x14ac:dyDescent="0.2">
      <c r="B36" s="874"/>
      <c r="C36" s="874"/>
      <c r="D36" s="874"/>
      <c r="E36" s="874"/>
      <c r="F36" s="874"/>
      <c r="G36" s="874"/>
      <c r="H36" s="874"/>
      <c r="I36" s="874"/>
      <c r="J36" s="874"/>
      <c r="K36" s="874"/>
      <c r="L36" s="874"/>
      <c r="M36" s="874"/>
      <c r="N36" s="874"/>
      <c r="O36" s="874"/>
      <c r="P36" s="874"/>
      <c r="Q36" s="874"/>
      <c r="R36" s="874"/>
      <c r="S36" s="874"/>
      <c r="T36" s="874"/>
      <c r="U36" s="874"/>
      <c r="V36" s="874"/>
      <c r="W36" s="874"/>
      <c r="X36" s="874"/>
      <c r="Y36" s="874"/>
      <c r="Z36" s="874"/>
      <c r="AA36" s="874"/>
      <c r="AB36" s="874"/>
    </row>
    <row r="37" spans="2:38" x14ac:dyDescent="0.2">
      <c r="B37" s="874"/>
      <c r="C37" s="874"/>
      <c r="D37" s="874"/>
      <c r="E37" s="874"/>
      <c r="F37" s="874"/>
      <c r="G37" s="874"/>
      <c r="H37" s="874"/>
      <c r="I37" s="874"/>
      <c r="J37" s="874"/>
      <c r="K37" s="874"/>
      <c r="L37" s="874"/>
      <c r="M37" s="874"/>
      <c r="N37" s="874"/>
      <c r="O37" s="874"/>
      <c r="P37" s="874"/>
      <c r="Q37" s="874"/>
      <c r="R37" s="874"/>
      <c r="S37" s="874"/>
      <c r="T37" s="874"/>
      <c r="U37" s="874"/>
      <c r="V37" s="874"/>
      <c r="W37" s="874"/>
      <c r="X37" s="874"/>
      <c r="Y37" s="874"/>
      <c r="Z37" s="874"/>
      <c r="AA37" s="874"/>
      <c r="AB37" s="874"/>
    </row>
    <row r="38" spans="2:38" ht="26.25" customHeight="1" x14ac:dyDescent="0.2">
      <c r="B38" s="1197" t="s">
        <v>682</v>
      </c>
      <c r="C38" s="1150"/>
      <c r="D38" s="1150"/>
      <c r="E38" s="1150"/>
      <c r="F38" s="1150"/>
      <c r="G38" s="1150"/>
      <c r="H38" s="1150"/>
      <c r="I38" s="1150"/>
      <c r="J38" s="1150"/>
      <c r="K38" s="1151"/>
      <c r="L38" s="874"/>
      <c r="M38" s="874"/>
      <c r="N38" s="874"/>
      <c r="O38" s="874"/>
      <c r="P38" s="874"/>
      <c r="Q38" s="874"/>
      <c r="R38" s="874"/>
      <c r="S38" s="874"/>
      <c r="T38" s="874"/>
      <c r="U38" s="874"/>
      <c r="V38" s="874"/>
      <c r="W38" s="874"/>
      <c r="X38" s="874"/>
      <c r="Y38" s="874"/>
      <c r="Z38" s="874"/>
      <c r="AA38" s="874"/>
      <c r="AB38" s="874"/>
      <c r="AC38" s="874"/>
      <c r="AD38" s="874"/>
      <c r="AE38" s="874"/>
      <c r="AF38" s="874"/>
      <c r="AG38" s="874"/>
      <c r="AH38" s="874"/>
      <c r="AI38" s="874"/>
      <c r="AJ38" s="874"/>
      <c r="AK38" s="874"/>
      <c r="AL38" s="874"/>
    </row>
    <row r="39" spans="2:38" ht="26.25" customHeight="1" x14ac:dyDescent="0.2">
      <c r="B39" s="874"/>
      <c r="C39" s="874"/>
      <c r="D39" s="874"/>
      <c r="E39" s="874"/>
      <c r="F39" s="874"/>
      <c r="G39" s="1134" t="s">
        <v>665</v>
      </c>
      <c r="H39" s="1135"/>
      <c r="I39" s="1135"/>
      <c r="J39" s="1135"/>
      <c r="K39" s="1136"/>
      <c r="L39" s="874"/>
      <c r="M39" s="874"/>
      <c r="N39" s="874"/>
      <c r="O39" s="874"/>
      <c r="P39" s="874"/>
      <c r="Q39" s="1152" t="s">
        <v>666</v>
      </c>
      <c r="R39" s="1153"/>
      <c r="S39" s="1153"/>
      <c r="T39" s="1153"/>
      <c r="U39" s="1154"/>
      <c r="V39" s="874"/>
      <c r="W39" s="874"/>
      <c r="X39" s="874"/>
      <c r="Y39" s="874"/>
      <c r="Z39" s="874"/>
      <c r="AA39" s="874"/>
      <c r="AB39" s="874"/>
      <c r="AC39" s="874"/>
      <c r="AD39" s="874"/>
      <c r="AE39" s="874"/>
      <c r="AF39" s="874"/>
      <c r="AG39" s="874"/>
      <c r="AH39" s="874"/>
      <c r="AI39" s="874"/>
      <c r="AJ39" s="874"/>
      <c r="AK39" s="874"/>
      <c r="AL39" s="874"/>
    </row>
    <row r="40" spans="2:38" ht="25.5" x14ac:dyDescent="0.2">
      <c r="B40" s="874"/>
      <c r="C40" s="874"/>
      <c r="D40" s="874"/>
      <c r="E40" s="874"/>
      <c r="F40" s="874"/>
      <c r="G40" s="874" t="s">
        <v>650</v>
      </c>
      <c r="H40" s="874" t="s">
        <v>636</v>
      </c>
      <c r="I40" s="330" t="s">
        <v>637</v>
      </c>
      <c r="J40" s="874" t="s">
        <v>638</v>
      </c>
      <c r="K40" s="874"/>
      <c r="L40" s="874"/>
      <c r="M40" s="874"/>
      <c r="N40" s="874"/>
      <c r="O40" s="874"/>
      <c r="P40" s="874"/>
      <c r="Q40" s="874" t="s">
        <v>651</v>
      </c>
      <c r="R40" s="874" t="s">
        <v>639</v>
      </c>
      <c r="S40" s="330" t="s">
        <v>640</v>
      </c>
      <c r="T40" s="874" t="s">
        <v>641</v>
      </c>
      <c r="U40" s="874"/>
      <c r="V40" s="874"/>
      <c r="W40" s="874"/>
      <c r="X40" s="874"/>
      <c r="Y40" s="874"/>
      <c r="Z40" s="874"/>
      <c r="AA40" s="874"/>
      <c r="AB40" s="874"/>
      <c r="AC40" s="874"/>
      <c r="AD40" s="874"/>
      <c r="AE40" s="874"/>
      <c r="AF40" s="874"/>
      <c r="AG40" s="874"/>
      <c r="AH40" s="874"/>
      <c r="AI40" s="874"/>
      <c r="AJ40" s="874"/>
      <c r="AK40" s="874"/>
      <c r="AL40" s="874"/>
    </row>
    <row r="41" spans="2:38" ht="12.75" customHeight="1" x14ac:dyDescent="0.2">
      <c r="B41" s="874"/>
      <c r="C41" s="874"/>
      <c r="D41" s="874"/>
      <c r="E41" s="874"/>
      <c r="F41" s="874"/>
      <c r="G41" s="350" t="s">
        <v>667</v>
      </c>
      <c r="H41" s="339">
        <f>H11</f>
        <v>0</v>
      </c>
      <c r="I41" s="339">
        <f>L5</f>
        <v>0</v>
      </c>
      <c r="J41" s="351">
        <f>H41-I41</f>
        <v>0</v>
      </c>
      <c r="K41" s="331"/>
      <c r="L41" s="331"/>
      <c r="M41" s="331"/>
      <c r="N41" s="874"/>
      <c r="O41" s="874"/>
      <c r="P41" s="874"/>
      <c r="Q41" s="76" t="s">
        <v>667</v>
      </c>
      <c r="R41" s="76">
        <f>H41*12</f>
        <v>0</v>
      </c>
      <c r="S41" s="76">
        <f>I41*12</f>
        <v>0</v>
      </c>
      <c r="T41" s="76">
        <f>R41-S41</f>
        <v>0</v>
      </c>
      <c r="U41" s="331"/>
      <c r="V41" s="331"/>
      <c r="W41" s="331"/>
      <c r="X41" s="874"/>
      <c r="Y41" s="874"/>
      <c r="Z41" s="874"/>
      <c r="AA41" s="874"/>
      <c r="AB41" s="874"/>
      <c r="AC41" s="874"/>
      <c r="AD41" s="874"/>
      <c r="AE41" s="874"/>
      <c r="AF41" s="874"/>
      <c r="AG41" s="874"/>
      <c r="AH41" s="874"/>
      <c r="AI41" s="874"/>
      <c r="AJ41" s="874"/>
      <c r="AK41" s="874"/>
      <c r="AL41" s="874"/>
    </row>
    <row r="42" spans="2:38" x14ac:dyDescent="0.2">
      <c r="B42" s="874"/>
      <c r="C42" s="874"/>
      <c r="D42" s="874"/>
      <c r="E42" s="874"/>
      <c r="F42" s="874"/>
      <c r="G42" s="331"/>
      <c r="H42" s="331"/>
      <c r="I42" s="331"/>
      <c r="J42" s="331"/>
      <c r="K42" s="331"/>
      <c r="L42" s="331"/>
      <c r="M42" s="331"/>
      <c r="N42" s="874"/>
      <c r="O42" s="874"/>
      <c r="P42" s="874"/>
      <c r="Q42" s="331"/>
      <c r="R42" s="331"/>
      <c r="S42" s="331"/>
      <c r="T42" s="331"/>
      <c r="U42" s="331"/>
      <c r="V42" s="331"/>
      <c r="W42" s="331"/>
      <c r="X42" s="874"/>
      <c r="Y42" s="874"/>
      <c r="Z42" s="874"/>
      <c r="AA42" s="874"/>
      <c r="AB42" s="874"/>
      <c r="AC42" s="874"/>
      <c r="AD42" s="874"/>
      <c r="AE42" s="874"/>
      <c r="AF42" s="874"/>
      <c r="AG42" s="874"/>
      <c r="AH42" s="874"/>
      <c r="AI42" s="874"/>
      <c r="AJ42" s="874"/>
      <c r="AK42" s="874"/>
      <c r="AL42" s="874"/>
    </row>
    <row r="43" spans="2:38" ht="12.75" customHeight="1" x14ac:dyDescent="0.2">
      <c r="B43" s="874"/>
      <c r="C43" s="874"/>
      <c r="D43" s="874"/>
      <c r="E43" s="874"/>
      <c r="F43" s="874"/>
      <c r="G43" s="331" t="s">
        <v>631</v>
      </c>
      <c r="H43" s="331" t="s">
        <v>632</v>
      </c>
      <c r="I43" s="331" t="s">
        <v>542</v>
      </c>
      <c r="J43" s="331" t="s">
        <v>632</v>
      </c>
      <c r="K43" s="331" t="s">
        <v>633</v>
      </c>
      <c r="L43" s="331" t="s">
        <v>634</v>
      </c>
      <c r="M43" s="331"/>
      <c r="N43" s="874"/>
      <c r="O43" s="874"/>
      <c r="P43" s="874"/>
      <c r="Q43" s="331" t="s">
        <v>631</v>
      </c>
      <c r="R43" s="331" t="s">
        <v>632</v>
      </c>
      <c r="S43" s="331" t="s">
        <v>542</v>
      </c>
      <c r="T43" s="331" t="s">
        <v>632</v>
      </c>
      <c r="U43" s="331" t="s">
        <v>633</v>
      </c>
      <c r="V43" s="331" t="s">
        <v>634</v>
      </c>
      <c r="W43" s="331"/>
      <c r="X43" s="874"/>
      <c r="Y43" s="874"/>
      <c r="Z43" s="874"/>
      <c r="AA43" s="874"/>
      <c r="AB43" s="874"/>
      <c r="AC43" s="874"/>
      <c r="AD43" s="874"/>
      <c r="AE43" s="874"/>
      <c r="AF43" s="874"/>
      <c r="AG43" s="874"/>
      <c r="AH43" s="874"/>
      <c r="AI43" s="874"/>
      <c r="AJ43" s="874"/>
      <c r="AK43" s="874"/>
      <c r="AL43" s="874"/>
    </row>
    <row r="44" spans="2:38" x14ac:dyDescent="0.2">
      <c r="F44" s="874"/>
      <c r="G44" s="341">
        <f>H44</f>
        <v>5270</v>
      </c>
      <c r="H44" s="341">
        <f t="shared" ref="H44:I48" si="3">H13</f>
        <v>5270</v>
      </c>
      <c r="I44" s="342">
        <f t="shared" si="3"/>
        <v>0.1</v>
      </c>
      <c r="J44" s="80">
        <f>IF(J41&gt;G44,H44,J41)</f>
        <v>0</v>
      </c>
      <c r="K44" s="80">
        <f t="shared" ref="K44:K49" si="4">J44*I44</f>
        <v>0</v>
      </c>
      <c r="L44" s="80">
        <f>K44</f>
        <v>0</v>
      </c>
      <c r="M44" s="331"/>
      <c r="N44" s="874"/>
      <c r="O44" s="874"/>
      <c r="P44" s="874"/>
      <c r="Q44" s="341">
        <f>R44</f>
        <v>63240</v>
      </c>
      <c r="R44" s="341">
        <f>H44*12</f>
        <v>63240</v>
      </c>
      <c r="S44" s="342">
        <f t="shared" ref="S44:S49" si="5">I13</f>
        <v>0.1</v>
      </c>
      <c r="T44" s="331">
        <f>IF(T41&gt;Q44,R44,T41)</f>
        <v>0</v>
      </c>
      <c r="U44" s="331">
        <f t="shared" ref="U44:U49" si="6">T44*S44</f>
        <v>0</v>
      </c>
      <c r="V44" s="331">
        <f>U44</f>
        <v>0</v>
      </c>
      <c r="W44" s="331"/>
      <c r="X44" s="874"/>
    </row>
    <row r="45" spans="2:38" x14ac:dyDescent="0.2">
      <c r="F45" s="874"/>
      <c r="G45" s="341">
        <f>G44+H45</f>
        <v>9000</v>
      </c>
      <c r="H45" s="341">
        <f t="shared" si="3"/>
        <v>3730</v>
      </c>
      <c r="I45" s="342">
        <f t="shared" si="3"/>
        <v>0.14000000000000001</v>
      </c>
      <c r="J45" s="80">
        <f>IF(J41&gt;G45,H45,IF(J41&lt;G44,0,J41-G44))</f>
        <v>0</v>
      </c>
      <c r="K45" s="80">
        <f t="shared" si="4"/>
        <v>0</v>
      </c>
      <c r="L45" s="80">
        <f>L44+K45</f>
        <v>0</v>
      </c>
      <c r="M45" s="331"/>
      <c r="N45" s="874"/>
      <c r="O45" s="874"/>
      <c r="P45" s="874"/>
      <c r="Q45" s="341">
        <f>Q44+R45</f>
        <v>108000</v>
      </c>
      <c r="R45" s="341">
        <f>H45*12</f>
        <v>44760</v>
      </c>
      <c r="S45" s="342">
        <f t="shared" si="5"/>
        <v>0.14000000000000001</v>
      </c>
      <c r="T45" s="331">
        <f>IF(T41&gt;Q45,R45,IF(T41&lt;Q44,0,T41-Q44))</f>
        <v>0</v>
      </c>
      <c r="U45" s="331">
        <f t="shared" si="6"/>
        <v>0</v>
      </c>
      <c r="V45" s="331">
        <f>V44+U45</f>
        <v>0</v>
      </c>
      <c r="W45" s="331"/>
      <c r="X45" s="874"/>
    </row>
    <row r="46" spans="2:38" x14ac:dyDescent="0.2">
      <c r="F46" s="874"/>
      <c r="G46" s="341">
        <f>G45+H46</f>
        <v>13990</v>
      </c>
      <c r="H46" s="341">
        <f t="shared" si="3"/>
        <v>4990</v>
      </c>
      <c r="I46" s="342">
        <f t="shared" si="3"/>
        <v>0.21</v>
      </c>
      <c r="J46" s="80">
        <f>IF(J41&gt;G46,H46,IF(J41&lt;G45,0,J41-G45))</f>
        <v>0</v>
      </c>
      <c r="K46" s="80">
        <f t="shared" si="4"/>
        <v>0</v>
      </c>
      <c r="L46" s="80">
        <f>L45+K46</f>
        <v>0</v>
      </c>
      <c r="M46" s="331"/>
      <c r="N46" s="874"/>
      <c r="O46" s="874"/>
      <c r="P46" s="874"/>
      <c r="Q46" s="341">
        <f>Q45+R46</f>
        <v>167880</v>
      </c>
      <c r="R46" s="341">
        <f>H46*12</f>
        <v>59880</v>
      </c>
      <c r="S46" s="342">
        <f t="shared" si="5"/>
        <v>0.21</v>
      </c>
      <c r="T46" s="331">
        <f>IF(T41&gt;Q46,R46,IF(T41&lt;Q45,0,T41-Q45))</f>
        <v>0</v>
      </c>
      <c r="U46" s="331">
        <f t="shared" si="6"/>
        <v>0</v>
      </c>
      <c r="V46" s="331">
        <f>V45+U46</f>
        <v>0</v>
      </c>
      <c r="W46" s="331"/>
      <c r="X46" s="874"/>
    </row>
    <row r="47" spans="2:38" x14ac:dyDescent="0.2">
      <c r="F47" s="874"/>
      <c r="G47" s="341">
        <f>G46+H47</f>
        <v>19980</v>
      </c>
      <c r="H47" s="341">
        <f t="shared" si="3"/>
        <v>5990</v>
      </c>
      <c r="I47" s="342">
        <f t="shared" si="3"/>
        <v>0.31</v>
      </c>
      <c r="J47" s="80">
        <f>IF(J41&gt;G47,H47,IF(J41&lt;G46,0,J41-G46))</f>
        <v>0</v>
      </c>
      <c r="K47" s="80">
        <f t="shared" si="4"/>
        <v>0</v>
      </c>
      <c r="L47" s="80">
        <f>L46+K47</f>
        <v>0</v>
      </c>
      <c r="M47" s="331"/>
      <c r="N47" s="874"/>
      <c r="O47" s="874"/>
      <c r="P47" s="874"/>
      <c r="Q47" s="341">
        <f>Q46+R47</f>
        <v>239760</v>
      </c>
      <c r="R47" s="341">
        <f>H47*12</f>
        <v>71880</v>
      </c>
      <c r="S47" s="342">
        <f t="shared" si="5"/>
        <v>0.31</v>
      </c>
      <c r="T47" s="331">
        <f>IF(T41&gt;Q47,R47,IF(T41&lt;Q46,0,T41-Q46))</f>
        <v>0</v>
      </c>
      <c r="U47" s="331">
        <f t="shared" si="6"/>
        <v>0</v>
      </c>
      <c r="V47" s="331">
        <f>V46+U47</f>
        <v>0</v>
      </c>
      <c r="W47" s="331"/>
      <c r="X47" s="874"/>
    </row>
    <row r="48" spans="2:38" x14ac:dyDescent="0.2">
      <c r="F48" s="874"/>
      <c r="G48" s="341">
        <f>G47+H48</f>
        <v>41790</v>
      </c>
      <c r="H48" s="341">
        <f t="shared" si="3"/>
        <v>21810</v>
      </c>
      <c r="I48" s="342">
        <f t="shared" si="3"/>
        <v>0.34</v>
      </c>
      <c r="J48" s="80">
        <f>IF(J41&gt;G48,H48,IF(J41&lt;G47,0,J41-G47))</f>
        <v>0</v>
      </c>
      <c r="K48" s="80">
        <f t="shared" si="4"/>
        <v>0</v>
      </c>
      <c r="L48" s="80">
        <f>L47+K48</f>
        <v>0</v>
      </c>
      <c r="M48" s="331"/>
      <c r="N48" s="874"/>
      <c r="O48" s="874"/>
      <c r="P48" s="874"/>
      <c r="Q48" s="341">
        <f>Q47+R48</f>
        <v>501480</v>
      </c>
      <c r="R48" s="341">
        <f>H48*12</f>
        <v>261720</v>
      </c>
      <c r="S48" s="342">
        <f t="shared" si="5"/>
        <v>0.34</v>
      </c>
      <c r="T48" s="331">
        <f>IF(T41&gt;Q48,R48,IF(T41&lt;Q47,0,T41-Q47))</f>
        <v>0</v>
      </c>
      <c r="U48" s="331">
        <f t="shared" si="6"/>
        <v>0</v>
      </c>
      <c r="V48" s="331">
        <f>V47+U48</f>
        <v>0</v>
      </c>
      <c r="W48" s="331"/>
      <c r="X48" s="874"/>
    </row>
    <row r="49" spans="6:24" x14ac:dyDescent="0.2">
      <c r="F49" s="874"/>
      <c r="G49" s="341">
        <v>99999999</v>
      </c>
      <c r="H49" s="341">
        <f>IF(J41-G48&gt;=0,J41-G48,0)</f>
        <v>0</v>
      </c>
      <c r="I49" s="342">
        <f>I18</f>
        <v>0.48</v>
      </c>
      <c r="J49" s="80">
        <f>IF(J41&gt;G49,H49,IF(J41&lt;G48,0,J41-G48))</f>
        <v>0</v>
      </c>
      <c r="K49" s="80">
        <f t="shared" si="4"/>
        <v>0</v>
      </c>
      <c r="L49" s="80">
        <f>L48+K49</f>
        <v>0</v>
      </c>
      <c r="M49" s="331"/>
      <c r="N49" s="874"/>
      <c r="O49" s="874"/>
      <c r="P49" s="874"/>
      <c r="Q49" s="341">
        <v>99999999</v>
      </c>
      <c r="R49" s="341">
        <f>IF(T41-Q48&gt;=0,T41-Q48,0)</f>
        <v>0</v>
      </c>
      <c r="S49" s="342">
        <f t="shared" si="5"/>
        <v>0.48</v>
      </c>
      <c r="T49" s="331">
        <f>IF(T41&gt;Q49,R49,IF(T41&lt;Q48,0,T41-Q48))</f>
        <v>0</v>
      </c>
      <c r="U49" s="331">
        <f t="shared" si="6"/>
        <v>0</v>
      </c>
      <c r="V49" s="331">
        <f>V48+U49</f>
        <v>0</v>
      </c>
      <c r="W49" s="331"/>
      <c r="X49" s="874"/>
    </row>
    <row r="50" spans="6:24" ht="25.5" x14ac:dyDescent="0.2">
      <c r="F50" s="874"/>
      <c r="G50" s="331"/>
      <c r="H50" s="331"/>
      <c r="I50" s="331"/>
      <c r="J50" s="331"/>
      <c r="K50" s="331"/>
      <c r="L50" s="331"/>
      <c r="M50" s="331" t="s">
        <v>635</v>
      </c>
      <c r="N50" s="331">
        <f>IF(L49-'[1]נתוני יסוד'!L2&gt;=0,L49-'[1]נתוני יסוד'!L2,0)</f>
        <v>0</v>
      </c>
      <c r="O50" s="874"/>
      <c r="P50" s="874"/>
      <c r="Q50" s="331"/>
      <c r="R50" s="331"/>
      <c r="S50" s="331"/>
      <c r="T50" s="331"/>
      <c r="U50" s="331"/>
      <c r="V50" s="331"/>
      <c r="W50" s="331" t="s">
        <v>635</v>
      </c>
      <c r="X50" s="331">
        <f>IF(V49-'[1]נתוני יסוד'!L1&gt;=0,V49-'[1]נתוני יסוד'!L1,0)</f>
        <v>0</v>
      </c>
    </row>
    <row r="51" spans="6:24" ht="27" customHeight="1" x14ac:dyDescent="0.2">
      <c r="F51" s="874"/>
      <c r="G51" s="874"/>
      <c r="H51" s="874"/>
      <c r="I51" s="874"/>
      <c r="J51" s="874"/>
      <c r="K51" s="874"/>
      <c r="L51" s="874"/>
      <c r="M51" s="874" t="s">
        <v>586</v>
      </c>
      <c r="N51" s="355">
        <f>H41-N50</f>
        <v>0</v>
      </c>
      <c r="O51" s="874"/>
      <c r="P51" s="874"/>
      <c r="Q51" s="874"/>
      <c r="R51" s="874"/>
      <c r="S51" s="874"/>
      <c r="T51" s="874"/>
      <c r="U51" s="874"/>
      <c r="V51" s="874"/>
      <c r="W51" s="874" t="s">
        <v>586</v>
      </c>
      <c r="X51" s="331">
        <f>R41-X50</f>
        <v>0</v>
      </c>
    </row>
    <row r="52" spans="6:24" x14ac:dyDescent="0.2">
      <c r="F52" s="874"/>
      <c r="G52" s="874"/>
      <c r="H52" s="874"/>
      <c r="I52" s="874"/>
      <c r="J52" s="874"/>
      <c r="K52" s="874"/>
      <c r="L52" s="874"/>
      <c r="M52" s="874"/>
      <c r="N52" s="874"/>
      <c r="O52" s="874"/>
      <c r="P52" s="874"/>
      <c r="Q52" s="874"/>
      <c r="R52" s="874"/>
      <c r="S52" s="874"/>
      <c r="T52" s="874"/>
      <c r="U52" s="874"/>
      <c r="V52" s="874"/>
      <c r="W52" s="874"/>
      <c r="X52" s="874"/>
    </row>
    <row r="53" spans="6:24" ht="33" x14ac:dyDescent="0.2">
      <c r="F53" s="874"/>
      <c r="G53" s="1143" t="s">
        <v>658</v>
      </c>
      <c r="H53" s="1144"/>
      <c r="I53" s="1144"/>
      <c r="J53" s="1145"/>
      <c r="K53" s="874"/>
      <c r="L53" s="874"/>
      <c r="M53" s="874"/>
      <c r="N53" s="874"/>
      <c r="O53" s="874"/>
      <c r="P53" s="874"/>
      <c r="Q53" s="1146" t="s">
        <v>658</v>
      </c>
      <c r="R53" s="1146"/>
      <c r="S53" s="874"/>
      <c r="T53" s="874"/>
      <c r="U53" s="874"/>
      <c r="V53" s="874"/>
      <c r="W53" s="874"/>
      <c r="X53" s="874"/>
    </row>
    <row r="54" spans="6:24" x14ac:dyDescent="0.2">
      <c r="F54" s="874"/>
      <c r="G54" s="874"/>
      <c r="H54" s="874" t="s">
        <v>163</v>
      </c>
      <c r="I54" s="65">
        <v>68</v>
      </c>
      <c r="J54" s="1140" t="s">
        <v>433</v>
      </c>
      <c r="K54" s="1140"/>
      <c r="L54" s="65">
        <v>120</v>
      </c>
      <c r="M54" s="874" t="s">
        <v>231</v>
      </c>
      <c r="N54" s="82">
        <v>3.5</v>
      </c>
      <c r="O54" s="874"/>
      <c r="P54" s="874"/>
      <c r="Q54" s="874"/>
      <c r="R54" s="874" t="s">
        <v>163</v>
      </c>
      <c r="S54" s="65">
        <v>68</v>
      </c>
      <c r="T54" s="1140" t="s">
        <v>433</v>
      </c>
      <c r="U54" s="1140"/>
      <c r="V54" s="65">
        <v>120</v>
      </c>
      <c r="W54" s="874" t="s">
        <v>231</v>
      </c>
      <c r="X54" s="82">
        <v>3.5</v>
      </c>
    </row>
    <row r="55" spans="6:24" x14ac:dyDescent="0.2">
      <c r="F55" s="874"/>
      <c r="G55" s="874"/>
      <c r="H55" s="874"/>
      <c r="I55" s="874"/>
      <c r="J55" s="874"/>
      <c r="K55" s="874"/>
      <c r="L55" s="874"/>
      <c r="M55" s="874"/>
      <c r="N55" s="874"/>
      <c r="O55" s="874"/>
      <c r="P55" s="874"/>
      <c r="Q55" s="874"/>
      <c r="R55" s="874"/>
      <c r="S55" s="874"/>
      <c r="T55" s="874"/>
      <c r="U55" s="874"/>
      <c r="V55" s="874"/>
      <c r="W55" s="874"/>
      <c r="X55" s="874"/>
    </row>
    <row r="56" spans="6:24" x14ac:dyDescent="0.2">
      <c r="F56" s="874"/>
      <c r="G56" s="874"/>
      <c r="H56" s="874" t="s">
        <v>245</v>
      </c>
      <c r="I56" s="1141">
        <f>PV(N54/100/12,(L54-I54)*12,N51,,1)*(-1)</f>
        <v>0</v>
      </c>
      <c r="J56" s="1141"/>
      <c r="K56" s="874"/>
      <c r="L56" s="874"/>
      <c r="M56" s="874"/>
      <c r="N56" s="874"/>
      <c r="O56" s="874"/>
      <c r="P56" s="874"/>
      <c r="Q56" s="874"/>
      <c r="R56" s="874" t="s">
        <v>245</v>
      </c>
      <c r="S56" s="1141">
        <f>PV(X54/100,(V54-S54),X51,,1)*(-1)</f>
        <v>0</v>
      </c>
      <c r="T56" s="1141"/>
      <c r="U56" s="874"/>
      <c r="V56" s="874"/>
      <c r="W56" s="874"/>
      <c r="X56" s="874"/>
    </row>
    <row r="57" spans="6:24" x14ac:dyDescent="0.2">
      <c r="F57" s="874"/>
      <c r="G57" s="874"/>
      <c r="H57" s="874"/>
      <c r="I57" s="874"/>
      <c r="J57" s="874"/>
      <c r="K57" s="874"/>
      <c r="L57" s="874"/>
      <c r="M57" s="874"/>
      <c r="N57" s="874"/>
      <c r="O57" s="874"/>
      <c r="P57" s="874"/>
      <c r="Q57" s="874"/>
      <c r="R57" s="874"/>
      <c r="S57" s="874"/>
      <c r="T57" s="874"/>
      <c r="U57" s="874"/>
      <c r="V57" s="874"/>
      <c r="W57" s="874"/>
      <c r="X57" s="874"/>
    </row>
    <row r="58" spans="6:24" x14ac:dyDescent="0.2">
      <c r="F58" s="874"/>
      <c r="G58" s="1140" t="s">
        <v>660</v>
      </c>
      <c r="H58" s="1140"/>
      <c r="I58" s="1141">
        <f>PV(N54/100/12,(L54-I54)*12,I41,,1)*(-1)</f>
        <v>0</v>
      </c>
      <c r="J58" s="1141"/>
      <c r="K58" s="874"/>
      <c r="L58" s="874"/>
      <c r="M58" s="874"/>
      <c r="N58" s="874"/>
      <c r="O58" s="874"/>
      <c r="P58" s="874"/>
      <c r="Q58" s="1140" t="s">
        <v>660</v>
      </c>
      <c r="R58" s="1140"/>
      <c r="S58" s="1141">
        <f>PV(X54/100,(V54-S54),S41,,1)*(-1)</f>
        <v>0</v>
      </c>
      <c r="T58" s="1141"/>
      <c r="U58" s="874"/>
      <c r="V58" s="874"/>
      <c r="W58" s="874"/>
      <c r="X58" s="874"/>
    </row>
    <row r="59" spans="6:24" x14ac:dyDescent="0.2">
      <c r="F59" s="874"/>
      <c r="G59" s="874"/>
      <c r="H59" s="874"/>
      <c r="I59" s="874"/>
      <c r="J59" s="874"/>
      <c r="K59" s="874"/>
      <c r="L59" s="874"/>
      <c r="M59" s="874"/>
      <c r="N59" s="874"/>
      <c r="O59" s="874"/>
      <c r="P59" s="874"/>
      <c r="Q59" s="874"/>
      <c r="R59" s="874"/>
      <c r="S59" s="874"/>
      <c r="T59" s="874"/>
      <c r="U59" s="874"/>
      <c r="V59" s="874"/>
      <c r="W59" s="874"/>
      <c r="X59" s="874"/>
    </row>
    <row r="60" spans="6:24" x14ac:dyDescent="0.2">
      <c r="F60" s="874"/>
      <c r="G60" s="874"/>
      <c r="H60" s="874"/>
      <c r="I60" s="874"/>
      <c r="J60" s="874"/>
      <c r="K60" s="874"/>
      <c r="L60" s="874"/>
      <c r="M60" s="874"/>
      <c r="N60" s="874"/>
      <c r="O60" s="874"/>
      <c r="P60" s="874"/>
      <c r="Q60" s="874"/>
      <c r="R60" s="874"/>
      <c r="S60" s="874"/>
      <c r="T60" s="874"/>
      <c r="U60" s="874"/>
      <c r="V60" s="874"/>
      <c r="W60" s="874"/>
      <c r="X60" s="874"/>
    </row>
  </sheetData>
  <sheetProtection password="83F6" sheet="1" objects="1" scenarios="1" selectLockedCells="1" selectUnlockedCells="1"/>
  <mergeCells count="54">
    <mergeCell ref="I56:J56"/>
    <mergeCell ref="S56:T56"/>
    <mergeCell ref="G58:H58"/>
    <mergeCell ref="I58:J58"/>
    <mergeCell ref="Q58:R58"/>
    <mergeCell ref="S58:T58"/>
    <mergeCell ref="J54:K54"/>
    <mergeCell ref="T54:U54"/>
    <mergeCell ref="B30:C30"/>
    <mergeCell ref="B31:C31"/>
    <mergeCell ref="B32:C32"/>
    <mergeCell ref="B33:C33"/>
    <mergeCell ref="B34:C34"/>
    <mergeCell ref="B35:C35"/>
    <mergeCell ref="B38:K38"/>
    <mergeCell ref="G39:K39"/>
    <mergeCell ref="Q39:U39"/>
    <mergeCell ref="G53:J53"/>
    <mergeCell ref="Q53:R53"/>
    <mergeCell ref="G27:H27"/>
    <mergeCell ref="I27:J27"/>
    <mergeCell ref="Q27:R27"/>
    <mergeCell ref="S27:T27"/>
    <mergeCell ref="B16:C16"/>
    <mergeCell ref="B17:C17"/>
    <mergeCell ref="B18:C18"/>
    <mergeCell ref="B22:C22"/>
    <mergeCell ref="G22:J22"/>
    <mergeCell ref="Q22:R22"/>
    <mergeCell ref="B23:C23"/>
    <mergeCell ref="J23:K23"/>
    <mergeCell ref="T23:U23"/>
    <mergeCell ref="I25:J25"/>
    <mergeCell ref="S25:T25"/>
    <mergeCell ref="A15:C15"/>
    <mergeCell ref="B6:C6"/>
    <mergeCell ref="F6:G6"/>
    <mergeCell ref="I6:K6"/>
    <mergeCell ref="B8:K8"/>
    <mergeCell ref="A10:C10"/>
    <mergeCell ref="A11:C11"/>
    <mergeCell ref="A12:C12"/>
    <mergeCell ref="A13:C13"/>
    <mergeCell ref="A14:C14"/>
    <mergeCell ref="I1:K1"/>
    <mergeCell ref="E2:G2"/>
    <mergeCell ref="I2:K2"/>
    <mergeCell ref="I3:K3"/>
    <mergeCell ref="I4:K4"/>
    <mergeCell ref="B5:C5"/>
    <mergeCell ref="I5:K5"/>
    <mergeCell ref="Q8:S8"/>
    <mergeCell ref="G9:K9"/>
    <mergeCell ref="Q9:U9"/>
  </mergeCells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17">
    <tabColor indexed="45"/>
  </sheetPr>
  <dimension ref="A1:AL62"/>
  <sheetViews>
    <sheetView rightToLeft="1" workbookViewId="0">
      <selection activeCell="AL8" sqref="AL8"/>
    </sheetView>
  </sheetViews>
  <sheetFormatPr defaultRowHeight="12.75" x14ac:dyDescent="0.2"/>
  <cols>
    <col min="1" max="1" width="15.140625" style="323" customWidth="1"/>
    <col min="2" max="3" width="9.140625" style="323"/>
    <col min="4" max="4" width="16.28515625" style="323" customWidth="1"/>
    <col min="5" max="5" width="15.85546875" style="323" customWidth="1"/>
    <col min="6" max="6" width="13.28515625" style="323" customWidth="1"/>
    <col min="7" max="7" width="14.28515625" style="323" customWidth="1"/>
    <col min="8" max="8" width="15" style="323" customWidth="1"/>
    <col min="9" max="9" width="13.28515625" style="323" customWidth="1"/>
    <col min="10" max="10" width="16" style="323" customWidth="1"/>
    <col min="11" max="11" width="14.42578125" style="323" customWidth="1"/>
    <col min="12" max="12" width="13" style="323" customWidth="1"/>
    <col min="13" max="13" width="12.5703125" style="323" customWidth="1"/>
    <col min="14" max="14" width="14.140625" style="323" customWidth="1"/>
    <col min="15" max="15" width="12.42578125" style="323" customWidth="1"/>
    <col min="16" max="16" width="9.140625" style="323"/>
    <col min="17" max="17" width="15.7109375" style="323" customWidth="1"/>
    <col min="18" max="18" width="16.140625" style="323" customWidth="1"/>
    <col min="19" max="19" width="11.42578125" style="323" customWidth="1"/>
    <col min="20" max="20" width="14.85546875" style="323" customWidth="1"/>
    <col min="21" max="21" width="14.140625" style="323" customWidth="1"/>
    <col min="22" max="22" width="13.5703125" style="323" customWidth="1"/>
    <col min="23" max="23" width="9.140625" style="323"/>
    <col min="24" max="24" width="14.85546875" style="323" customWidth="1"/>
    <col min="25" max="16384" width="9.140625" style="323"/>
  </cols>
  <sheetData>
    <row r="1" spans="2:38" x14ac:dyDescent="0.2">
      <c r="I1" s="383" t="s">
        <v>669</v>
      </c>
      <c r="J1" s="362" t="s">
        <v>627</v>
      </c>
      <c r="K1" s="363">
        <f>'[1]נתוני יסוד'!B26</f>
        <v>0</v>
      </c>
      <c r="L1" s="1183" t="s">
        <v>481</v>
      </c>
      <c r="M1" s="1183"/>
      <c r="N1" s="384" t="e">
        <f>((X19-Q41*12)*D23)+(D22/D23/2)</f>
        <v>#DIV/0!</v>
      </c>
    </row>
    <row r="2" spans="2:38" x14ac:dyDescent="0.2">
      <c r="E2" s="1126" t="s">
        <v>645</v>
      </c>
      <c r="F2" s="1126"/>
      <c r="G2" s="1126"/>
      <c r="H2" s="364">
        <f>'[1]נתוני יסוד'!E6</f>
        <v>0</v>
      </c>
      <c r="I2" s="385"/>
      <c r="J2" s="325" t="s">
        <v>670</v>
      </c>
      <c r="K2" s="365">
        <f>'[1]נתוני יסוד'!B27</f>
        <v>0</v>
      </c>
      <c r="L2" s="1184"/>
      <c r="M2" s="1184"/>
      <c r="N2" s="386" t="e">
        <f>((X19-Q41*12)*D23)</f>
        <v>#DIV/0!</v>
      </c>
    </row>
    <row r="3" spans="2:38" x14ac:dyDescent="0.2">
      <c r="B3" s="34"/>
      <c r="C3" s="34"/>
      <c r="D3" s="34"/>
      <c r="E3" s="34"/>
      <c r="F3" s="34"/>
      <c r="G3" s="34"/>
      <c r="H3" s="34"/>
      <c r="I3" s="366"/>
      <c r="J3" s="367" t="s">
        <v>671</v>
      </c>
      <c r="K3" s="368">
        <f>'[1]נתוני יסוד'!B28</f>
        <v>0</v>
      </c>
      <c r="L3" s="1184"/>
      <c r="M3" s="1184"/>
      <c r="N3" s="369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</row>
    <row r="4" spans="2:38" x14ac:dyDescent="0.2">
      <c r="B4" s="34"/>
      <c r="C4" s="34"/>
      <c r="D4" s="34"/>
      <c r="E4" s="34"/>
      <c r="F4" s="34"/>
      <c r="G4" s="34"/>
      <c r="H4" s="34"/>
      <c r="I4" s="366"/>
      <c r="J4" s="367" t="s">
        <v>382</v>
      </c>
      <c r="K4" s="368">
        <f>'[1]נתוני יסוד'!B29</f>
        <v>0</v>
      </c>
      <c r="L4" s="1184"/>
      <c r="M4" s="1184"/>
      <c r="N4" s="369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</row>
    <row r="5" spans="2:38" ht="13.5" thickBot="1" x14ac:dyDescent="0.25">
      <c r="B5" s="1129" t="s">
        <v>642</v>
      </c>
      <c r="C5" s="1053"/>
      <c r="D5" s="370">
        <f>'[1]נתוני יסוד'!B4</f>
        <v>0</v>
      </c>
      <c r="E5" s="34" t="s">
        <v>643</v>
      </c>
      <c r="F5" s="34"/>
      <c r="G5" s="34"/>
      <c r="H5" s="34"/>
      <c r="I5" s="371"/>
      <c r="J5" s="372" t="s">
        <v>672</v>
      </c>
      <c r="K5" s="373">
        <f>'[1]נתוני יסוד'!B30</f>
        <v>0</v>
      </c>
      <c r="L5" s="1185"/>
      <c r="M5" s="1185"/>
      <c r="N5" s="37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</row>
    <row r="6" spans="2:38" x14ac:dyDescent="0.2">
      <c r="B6" s="1129" t="s">
        <v>644</v>
      </c>
      <c r="C6" s="1053"/>
      <c r="D6" s="370">
        <f>'[1]נתוני יסוד'!B6</f>
        <v>45874.826249999998</v>
      </c>
      <c r="E6" s="34"/>
      <c r="F6" s="1129" t="s">
        <v>646</v>
      </c>
      <c r="G6" s="1053"/>
      <c r="H6" s="333">
        <f>(D6-D5)/365.25</f>
        <v>125.59842915811087</v>
      </c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</row>
    <row r="7" spans="2:38" x14ac:dyDescent="0.2"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</row>
    <row r="8" spans="2:38" ht="26.25" x14ac:dyDescent="0.2">
      <c r="B8" s="1198" t="s">
        <v>683</v>
      </c>
      <c r="C8" s="1199"/>
      <c r="D8" s="1199"/>
      <c r="E8" s="1199"/>
      <c r="F8" s="1199"/>
      <c r="G8" s="1199"/>
      <c r="H8" s="1199"/>
      <c r="I8" s="1199"/>
      <c r="J8" s="1199"/>
      <c r="K8" s="1200"/>
      <c r="L8" s="34"/>
      <c r="M8" s="34"/>
      <c r="N8" s="34"/>
      <c r="O8" s="34"/>
      <c r="P8" s="34"/>
      <c r="Q8" s="1133"/>
      <c r="R8" s="1052"/>
      <c r="S8" s="1053"/>
      <c r="T8" s="34"/>
      <c r="U8" s="34"/>
      <c r="V8" s="34"/>
      <c r="W8" s="34"/>
      <c r="X8" s="34"/>
      <c r="Y8" s="34"/>
      <c r="Z8" s="34"/>
      <c r="AA8" s="34"/>
      <c r="AB8" s="34"/>
    </row>
    <row r="9" spans="2:38" ht="26.25" x14ac:dyDescent="0.2">
      <c r="B9" s="34"/>
      <c r="C9" s="34"/>
      <c r="D9" s="34"/>
      <c r="E9" s="34"/>
      <c r="F9" s="34"/>
      <c r="G9" s="1134" t="s">
        <v>264</v>
      </c>
      <c r="H9" s="1135"/>
      <c r="I9" s="1135"/>
      <c r="J9" s="1135"/>
      <c r="K9" s="1136"/>
      <c r="L9" s="34"/>
      <c r="M9" s="34"/>
      <c r="N9" s="34"/>
      <c r="O9" s="34"/>
      <c r="P9" s="34"/>
      <c r="Q9" s="1137" t="s">
        <v>630</v>
      </c>
      <c r="R9" s="1138"/>
      <c r="S9" s="1138"/>
      <c r="T9" s="1138"/>
      <c r="U9" s="1139"/>
      <c r="V9" s="34"/>
      <c r="W9" s="34"/>
      <c r="X9" s="34"/>
      <c r="Y9" s="34"/>
      <c r="Z9" s="34"/>
      <c r="AA9" s="34"/>
      <c r="AB9" s="34"/>
    </row>
    <row r="10" spans="2:38" ht="25.5" x14ac:dyDescent="0.2">
      <c r="B10" s="1129" t="s">
        <v>636</v>
      </c>
      <c r="C10" s="1053"/>
      <c r="D10" s="339">
        <f>'[1]פיצויים פטורים והוני'!D10</f>
        <v>0</v>
      </c>
      <c r="E10" s="80"/>
      <c r="F10" s="80"/>
      <c r="G10" s="34" t="s">
        <v>650</v>
      </c>
      <c r="H10" s="34" t="s">
        <v>636</v>
      </c>
      <c r="I10" s="330" t="s">
        <v>637</v>
      </c>
      <c r="J10" s="34" t="s">
        <v>638</v>
      </c>
      <c r="K10" s="34"/>
      <c r="L10" s="34"/>
      <c r="M10" s="34"/>
      <c r="N10" s="34"/>
      <c r="O10" s="34"/>
      <c r="P10" s="34"/>
      <c r="Q10" s="34" t="s">
        <v>651</v>
      </c>
      <c r="R10" s="34" t="s">
        <v>639</v>
      </c>
      <c r="S10" s="330" t="s">
        <v>640</v>
      </c>
      <c r="T10" s="34" t="s">
        <v>641</v>
      </c>
      <c r="U10" s="34"/>
      <c r="V10" s="34"/>
      <c r="W10" s="34"/>
      <c r="X10" s="34"/>
      <c r="Y10" s="34"/>
      <c r="Z10" s="34"/>
      <c r="AA10" s="34"/>
      <c r="AB10" s="34"/>
    </row>
    <row r="11" spans="2:38" x14ac:dyDescent="0.2">
      <c r="B11" s="1129" t="s">
        <v>673</v>
      </c>
      <c r="C11" s="1053"/>
      <c r="D11" s="339">
        <f>K1+K3+K4+K5</f>
        <v>0</v>
      </c>
      <c r="E11" s="80"/>
      <c r="F11" s="80"/>
      <c r="G11" s="329" t="e">
        <f>Q11/12</f>
        <v>#DIV/0!</v>
      </c>
      <c r="H11" s="76">
        <f>D11</f>
        <v>0</v>
      </c>
      <c r="I11" s="76">
        <f>K4</f>
        <v>0</v>
      </c>
      <c r="J11" s="338" t="e">
        <f>H11-I11+G11</f>
        <v>#DIV/0!</v>
      </c>
      <c r="K11" s="331"/>
      <c r="L11" s="331"/>
      <c r="M11" s="331"/>
      <c r="N11" s="34"/>
      <c r="O11" s="34"/>
      <c r="P11" s="34"/>
      <c r="Q11" s="76" t="e">
        <f>(D22)/D23</f>
        <v>#DIV/0!</v>
      </c>
      <c r="R11" s="76">
        <f>H11*12</f>
        <v>0</v>
      </c>
      <c r="S11" s="76">
        <f>I11*12</f>
        <v>0</v>
      </c>
      <c r="T11" s="76" t="e">
        <f>R11-S11+Q11</f>
        <v>#DIV/0!</v>
      </c>
      <c r="U11" s="331"/>
      <c r="V11" s="331"/>
      <c r="W11" s="331"/>
      <c r="X11" s="34"/>
      <c r="Y11" s="34"/>
      <c r="Z11" s="34"/>
      <c r="AA11" s="34"/>
      <c r="AB11" s="34"/>
    </row>
    <row r="12" spans="2:38" x14ac:dyDescent="0.2">
      <c r="B12" s="1129" t="s">
        <v>674</v>
      </c>
      <c r="C12" s="1053"/>
      <c r="D12" s="67">
        <f>'[1]נתוני יסוד'!B33</f>
        <v>0</v>
      </c>
      <c r="E12" s="80"/>
      <c r="F12" s="80"/>
      <c r="G12" s="331" t="s">
        <v>631</v>
      </c>
      <c r="H12" s="331" t="s">
        <v>632</v>
      </c>
      <c r="I12" s="331" t="s">
        <v>542</v>
      </c>
      <c r="J12" s="331" t="s">
        <v>632</v>
      </c>
      <c r="K12" s="331" t="s">
        <v>633</v>
      </c>
      <c r="L12" s="331" t="s">
        <v>634</v>
      </c>
      <c r="M12" s="331"/>
      <c r="N12" s="34"/>
      <c r="O12" s="34"/>
      <c r="P12" s="34"/>
      <c r="Q12" s="331" t="s">
        <v>631</v>
      </c>
      <c r="R12" s="331" t="s">
        <v>632</v>
      </c>
      <c r="S12" s="331" t="s">
        <v>542</v>
      </c>
      <c r="T12" s="331" t="s">
        <v>632</v>
      </c>
      <c r="U12" s="331" t="s">
        <v>633</v>
      </c>
      <c r="V12" s="331" t="s">
        <v>634</v>
      </c>
      <c r="W12" s="331"/>
      <c r="X12" s="34"/>
      <c r="Y12" s="34"/>
      <c r="Z12" s="34"/>
      <c r="AA12" s="34"/>
      <c r="AB12" s="34"/>
    </row>
    <row r="13" spans="2:38" x14ac:dyDescent="0.2">
      <c r="B13" s="1181" t="s">
        <v>684</v>
      </c>
      <c r="C13" s="1182"/>
      <c r="D13" s="351">
        <f>D12-D18</f>
        <v>0</v>
      </c>
      <c r="E13" s="80"/>
      <c r="F13" s="80"/>
      <c r="G13" s="341">
        <f>H13</f>
        <v>5270</v>
      </c>
      <c r="H13" s="341">
        <f>'[1]חישובי מיסוי פנסיה פתוחים'!B6</f>
        <v>5270</v>
      </c>
      <c r="I13" s="342">
        <f>'[1]חישובי מיסוי פנסיה פתוחים'!C6</f>
        <v>0.1</v>
      </c>
      <c r="J13" s="331" t="e">
        <f>IF(J11&gt;G13,H13,J11)</f>
        <v>#DIV/0!</v>
      </c>
      <c r="K13" s="331" t="e">
        <f t="shared" ref="K13:K18" si="0">J13*I13</f>
        <v>#DIV/0!</v>
      </c>
      <c r="L13" s="331" t="e">
        <f>K13</f>
        <v>#DIV/0!</v>
      </c>
      <c r="M13" s="331"/>
      <c r="N13" s="34"/>
      <c r="O13" s="34"/>
      <c r="P13" s="34"/>
      <c r="Q13" s="341">
        <f>R13</f>
        <v>63240</v>
      </c>
      <c r="R13" s="341">
        <f>H13*12</f>
        <v>63240</v>
      </c>
      <c r="S13" s="342">
        <f t="shared" ref="S13:S18" si="1">I13</f>
        <v>0.1</v>
      </c>
      <c r="T13" s="331" t="e">
        <f>IF(T11&gt;Q13,R13,T11)</f>
        <v>#DIV/0!</v>
      </c>
      <c r="U13" s="331" t="e">
        <f t="shared" ref="U13:U18" si="2">T13*S13</f>
        <v>#DIV/0!</v>
      </c>
      <c r="V13" s="331" t="e">
        <f>U13</f>
        <v>#DIV/0!</v>
      </c>
      <c r="W13" s="331"/>
      <c r="X13" s="34"/>
      <c r="Y13" s="34"/>
      <c r="Z13" s="34"/>
      <c r="AA13" s="34"/>
      <c r="AB13" s="34"/>
    </row>
    <row r="14" spans="2:38" x14ac:dyDescent="0.2">
      <c r="B14" s="34"/>
      <c r="C14" s="34"/>
      <c r="D14" s="80"/>
      <c r="E14" s="80"/>
      <c r="F14" s="80"/>
      <c r="G14" s="341">
        <f>G13+H14</f>
        <v>9000</v>
      </c>
      <c r="H14" s="341">
        <f>'[1]חישובי מיסוי פנסיה פתוחים'!B7</f>
        <v>3730</v>
      </c>
      <c r="I14" s="342">
        <f>'[1]חישובי מיסוי פנסיה פתוחים'!C7</f>
        <v>0.14000000000000001</v>
      </c>
      <c r="J14" s="331" t="e">
        <f>IF(J11&gt;G14,H14,IF(J11&lt;G13,0,J11-G13))</f>
        <v>#DIV/0!</v>
      </c>
      <c r="K14" s="331" t="e">
        <f t="shared" si="0"/>
        <v>#DIV/0!</v>
      </c>
      <c r="L14" s="331" t="e">
        <f>L13+K14</f>
        <v>#DIV/0!</v>
      </c>
      <c r="M14" s="331"/>
      <c r="N14" s="34"/>
      <c r="O14" s="34"/>
      <c r="P14" s="34"/>
      <c r="Q14" s="341">
        <f>Q13+R14</f>
        <v>108000</v>
      </c>
      <c r="R14" s="341">
        <f>H14*12</f>
        <v>44760</v>
      </c>
      <c r="S14" s="342">
        <f t="shared" si="1"/>
        <v>0.14000000000000001</v>
      </c>
      <c r="T14" s="331" t="e">
        <f>IF(T11&gt;Q14,R14,IF(T11&lt;Q13,0,T11-Q13))</f>
        <v>#DIV/0!</v>
      </c>
      <c r="U14" s="331" t="e">
        <f t="shared" si="2"/>
        <v>#DIV/0!</v>
      </c>
      <c r="V14" s="331" t="e">
        <f>V13+U14</f>
        <v>#DIV/0!</v>
      </c>
      <c r="W14" s="331"/>
      <c r="X14" s="34"/>
      <c r="Y14" s="34"/>
      <c r="Z14" s="34"/>
      <c r="AA14" s="34"/>
      <c r="AB14" s="34"/>
    </row>
    <row r="15" spans="2:38" x14ac:dyDescent="0.2">
      <c r="B15" s="1129" t="s">
        <v>655</v>
      </c>
      <c r="C15" s="1053"/>
      <c r="D15" s="339">
        <f>H6</f>
        <v>125.59842915811087</v>
      </c>
      <c r="E15" s="80"/>
      <c r="F15" s="80"/>
      <c r="G15" s="341">
        <f>G14+H15</f>
        <v>13990</v>
      </c>
      <c r="H15" s="341">
        <f>'[1]חישובי מיסוי פנסיה פתוחים'!B8</f>
        <v>4990</v>
      </c>
      <c r="I15" s="342">
        <f>'[1]חישובי מיסוי פנסיה פתוחים'!C8</f>
        <v>0.21</v>
      </c>
      <c r="J15" s="331" t="e">
        <f>IF(J11&gt;G15,H15,IF(J11&lt;G14,0,J11-G14))</f>
        <v>#DIV/0!</v>
      </c>
      <c r="K15" s="331" t="e">
        <f t="shared" si="0"/>
        <v>#DIV/0!</v>
      </c>
      <c r="L15" s="331" t="e">
        <f>L14+K15</f>
        <v>#DIV/0!</v>
      </c>
      <c r="Q15" s="341">
        <f>Q14+R15</f>
        <v>167880</v>
      </c>
      <c r="R15" s="341">
        <f>H15*12</f>
        <v>59880</v>
      </c>
      <c r="S15" s="342">
        <f t="shared" si="1"/>
        <v>0.21</v>
      </c>
      <c r="T15" s="331" t="e">
        <f>IF(T11&gt;Q15,R15,IF(T11&lt;Q14,0,T11-Q14))</f>
        <v>#DIV/0!</v>
      </c>
      <c r="U15" s="331" t="e">
        <f t="shared" si="2"/>
        <v>#DIV/0!</v>
      </c>
      <c r="V15" s="331" t="e">
        <f>V14+U15</f>
        <v>#DIV/0!</v>
      </c>
      <c r="W15" s="331"/>
      <c r="X15" s="34"/>
      <c r="Y15" s="34"/>
      <c r="Z15" s="34"/>
      <c r="AA15" s="34"/>
      <c r="AB15" s="34"/>
    </row>
    <row r="16" spans="2:38" x14ac:dyDescent="0.2">
      <c r="B16" s="1129" t="s">
        <v>656</v>
      </c>
      <c r="C16" s="1053"/>
      <c r="D16" s="339">
        <f>IF(D15&lt;=3,0,IF(D15&lt;=7,1,IF(D15&lt;=11,2,IF(D15&lt;=15,3,IF(D15&lt;=19,4,IF(D15&lt;=23,5,IF(D15&lt;=99,6,0)))))))</f>
        <v>0</v>
      </c>
      <c r="E16" s="80"/>
      <c r="F16" s="80"/>
      <c r="G16" s="341">
        <f>G15+H16</f>
        <v>19980</v>
      </c>
      <c r="H16" s="341">
        <f>'[1]חישובי מיסוי פנסיה פתוחים'!B9</f>
        <v>5990</v>
      </c>
      <c r="I16" s="342">
        <f>'[1]חישובי מיסוי פנסיה פתוחים'!C9</f>
        <v>0.31</v>
      </c>
      <c r="J16" s="331" t="e">
        <f>IF(J11&gt;G16,H16,IF(J11&lt;G15,0,J11-G15))</f>
        <v>#DIV/0!</v>
      </c>
      <c r="K16" s="331" t="e">
        <f t="shared" si="0"/>
        <v>#DIV/0!</v>
      </c>
      <c r="L16" s="331" t="e">
        <f>L15+K16</f>
        <v>#DIV/0!</v>
      </c>
      <c r="M16" s="331"/>
      <c r="N16" s="34"/>
      <c r="O16" s="34"/>
      <c r="P16" s="34"/>
      <c r="Q16" s="341">
        <f>Q15+R16</f>
        <v>239760</v>
      </c>
      <c r="R16" s="341">
        <f>H16*12</f>
        <v>71880</v>
      </c>
      <c r="S16" s="342">
        <f t="shared" si="1"/>
        <v>0.31</v>
      </c>
      <c r="T16" s="331" t="e">
        <f>IF(T11&gt;Q16,R16,IF(T11&lt;Q15,0,T11-Q15))</f>
        <v>#DIV/0!</v>
      </c>
      <c r="U16" s="331" t="e">
        <f t="shared" si="2"/>
        <v>#DIV/0!</v>
      </c>
      <c r="V16" s="331" t="e">
        <f>V15+U16</f>
        <v>#DIV/0!</v>
      </c>
      <c r="W16" s="331"/>
      <c r="X16" s="34"/>
      <c r="Y16" s="34"/>
      <c r="Z16" s="34"/>
      <c r="AA16" s="34"/>
      <c r="AB16" s="34"/>
    </row>
    <row r="17" spans="2:28" x14ac:dyDescent="0.2">
      <c r="B17" s="34"/>
      <c r="C17" s="34"/>
      <c r="D17" s="80"/>
      <c r="E17" s="80"/>
      <c r="F17" s="80"/>
      <c r="G17" s="341">
        <f>G16+H17</f>
        <v>41790</v>
      </c>
      <c r="H17" s="341">
        <f>'[1]חישובי מיסוי פנסיה פתוחים'!B10</f>
        <v>21810</v>
      </c>
      <c r="I17" s="342">
        <f>'[1]חישובי מיסוי פנסיה פתוחים'!C10</f>
        <v>0.34</v>
      </c>
      <c r="J17" s="331" t="e">
        <f>IF(J11&gt;G17,H17,IF(J11&lt;G16,0,J11-G16))</f>
        <v>#DIV/0!</v>
      </c>
      <c r="K17" s="331" t="e">
        <f t="shared" si="0"/>
        <v>#DIV/0!</v>
      </c>
      <c r="L17" s="331" t="e">
        <f>L16+K17</f>
        <v>#DIV/0!</v>
      </c>
      <c r="M17" s="331"/>
      <c r="N17" s="34"/>
      <c r="O17" s="34"/>
      <c r="P17" s="34"/>
      <c r="Q17" s="341">
        <f>Q16+R17</f>
        <v>501480</v>
      </c>
      <c r="R17" s="341">
        <f>H17*12</f>
        <v>261720</v>
      </c>
      <c r="S17" s="342">
        <f t="shared" si="1"/>
        <v>0.34</v>
      </c>
      <c r="T17" s="331" t="e">
        <f>IF(T11&gt;Q17,R17,IF(T11&lt;Q16,0,T11-Q16))</f>
        <v>#DIV/0!</v>
      </c>
      <c r="U17" s="331" t="e">
        <f t="shared" si="2"/>
        <v>#DIV/0!</v>
      </c>
      <c r="V17" s="331" t="e">
        <f>V16+U17</f>
        <v>#DIV/0!</v>
      </c>
      <c r="W17" s="331"/>
      <c r="X17" s="34"/>
      <c r="Y17" s="34"/>
      <c r="Z17" s="34"/>
      <c r="AA17" s="34"/>
      <c r="AB17" s="34"/>
    </row>
    <row r="18" spans="2:28" x14ac:dyDescent="0.2">
      <c r="B18" s="1129" t="s">
        <v>576</v>
      </c>
      <c r="C18" s="1053"/>
      <c r="D18" s="55">
        <f>IF(D12&gt;'[1]נתוני יסוד'!M6,'[1]נתוני יסוד'!M6,D12)</f>
        <v>0</v>
      </c>
      <c r="E18" s="80"/>
      <c r="F18" s="80"/>
      <c r="G18" s="341">
        <v>99999999</v>
      </c>
      <c r="H18" s="341" t="e">
        <f>IF(J11-G17&gt;=0,J11-G17,0)</f>
        <v>#DIV/0!</v>
      </c>
      <c r="I18" s="342">
        <f>'[1]חישובי מיסוי פנסיה פתוחים'!C11</f>
        <v>0.48</v>
      </c>
      <c r="J18" s="331" t="e">
        <f>IF(J11&gt;G18,H18,IF(J11&lt;G17,0,J11-G17))</f>
        <v>#DIV/0!</v>
      </c>
      <c r="K18" s="331" t="e">
        <f t="shared" si="0"/>
        <v>#DIV/0!</v>
      </c>
      <c r="L18" s="331" t="e">
        <f>L17+K18</f>
        <v>#DIV/0!</v>
      </c>
      <c r="M18" s="331"/>
      <c r="N18" s="34"/>
      <c r="O18" s="34"/>
      <c r="P18" s="34"/>
      <c r="Q18" s="341">
        <v>99999999</v>
      </c>
      <c r="R18" s="341" t="e">
        <f>IF(T11-Q17&gt;=0,T11-Q17,0)</f>
        <v>#DIV/0!</v>
      </c>
      <c r="S18" s="342">
        <f t="shared" si="1"/>
        <v>0.48</v>
      </c>
      <c r="T18" s="331" t="e">
        <f>IF(T11&gt;Q18,R18,IF(T11&lt;Q17,0,T11-Q17))</f>
        <v>#DIV/0!</v>
      </c>
      <c r="U18" s="331" t="e">
        <f t="shared" si="2"/>
        <v>#DIV/0!</v>
      </c>
      <c r="V18" s="331" t="e">
        <f>V17+U18</f>
        <v>#DIV/0!</v>
      </c>
      <c r="W18" s="331"/>
      <c r="X18" s="34"/>
      <c r="Y18" s="34"/>
      <c r="Z18" s="34"/>
      <c r="AA18" s="34"/>
      <c r="AB18" s="34"/>
    </row>
    <row r="19" spans="2:28" ht="25.5" x14ac:dyDescent="0.2">
      <c r="B19" s="34" t="s">
        <v>370</v>
      </c>
      <c r="C19" s="34" t="s">
        <v>376</v>
      </c>
      <c r="D19" s="80"/>
      <c r="E19" s="80"/>
      <c r="F19" s="80"/>
      <c r="G19" s="331"/>
      <c r="H19" s="331"/>
      <c r="I19" s="331"/>
      <c r="J19" s="331"/>
      <c r="K19" s="331"/>
      <c r="L19" s="331"/>
      <c r="M19" s="331" t="s">
        <v>635</v>
      </c>
      <c r="N19" s="331" t="e">
        <f>IF(L18-'[1]נתוני יסוד'!L2&gt;=0,L18-'[1]נתוני יסוד'!L2,0)</f>
        <v>#DIV/0!</v>
      </c>
      <c r="O19" s="34"/>
      <c r="P19" s="34"/>
      <c r="Q19" s="331"/>
      <c r="R19" s="331"/>
      <c r="S19" s="331"/>
      <c r="T19" s="331"/>
      <c r="U19" s="331"/>
      <c r="V19" s="331"/>
      <c r="W19" s="331" t="s">
        <v>635</v>
      </c>
      <c r="X19" s="331" t="e">
        <f>IF(V18-'[1]נתוני יסוד'!L1&gt;=0,V18-'[1]נתוני יסוד'!L1,0)</f>
        <v>#DIV/0!</v>
      </c>
      <c r="Y19" s="34"/>
      <c r="Z19" s="34"/>
      <c r="AA19" s="34"/>
      <c r="AB19" s="34"/>
    </row>
    <row r="20" spans="2:28" x14ac:dyDescent="0.2">
      <c r="B20" s="64">
        <f>'[1]נתוני יסוד'!E9</f>
        <v>7200</v>
      </c>
      <c r="C20" s="64">
        <f>'[1]נתוני יסוד'!E10</f>
        <v>7400</v>
      </c>
      <c r="D20" s="80"/>
      <c r="E20" s="80"/>
      <c r="F20" s="80"/>
      <c r="G20" s="34"/>
      <c r="H20" s="34"/>
      <c r="I20" s="34"/>
      <c r="J20" s="34"/>
      <c r="K20" s="34"/>
      <c r="L20" s="34"/>
      <c r="M20" s="34" t="s">
        <v>586</v>
      </c>
      <c r="N20" s="331" t="e">
        <f>H11+G11-N19</f>
        <v>#DIV/0!</v>
      </c>
      <c r="O20" s="34"/>
      <c r="P20" s="34"/>
      <c r="Q20" s="34"/>
      <c r="R20" s="34"/>
      <c r="S20" s="34"/>
      <c r="T20" s="34"/>
      <c r="U20" s="34"/>
      <c r="V20" s="34"/>
      <c r="W20" s="34" t="s">
        <v>586</v>
      </c>
      <c r="X20" s="331" t="e">
        <f>R11+Q11-X19</f>
        <v>#DIV/0!</v>
      </c>
      <c r="Y20" s="34"/>
      <c r="Z20" s="34"/>
      <c r="AA20" s="34"/>
      <c r="AB20" s="34"/>
    </row>
    <row r="21" spans="2:28" x14ac:dyDescent="0.2">
      <c r="B21" s="34"/>
      <c r="C21" s="34"/>
      <c r="D21" s="80"/>
      <c r="E21" s="80"/>
      <c r="F21" s="80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</row>
    <row r="22" spans="2:28" ht="33" x14ac:dyDescent="0.2">
      <c r="B22" s="1129" t="s">
        <v>657</v>
      </c>
      <c r="C22" s="1053"/>
      <c r="D22" s="339">
        <f>IF(H2=1,(D13/6)*5,D13)</f>
        <v>0</v>
      </c>
      <c r="E22" s="80"/>
      <c r="F22" s="80"/>
      <c r="G22" s="1143" t="s">
        <v>658</v>
      </c>
      <c r="H22" s="1144"/>
      <c r="I22" s="1144"/>
      <c r="J22" s="1145"/>
      <c r="K22" s="34"/>
      <c r="L22" s="34"/>
      <c r="M22" s="34"/>
      <c r="N22" s="34"/>
      <c r="O22" s="34"/>
      <c r="P22" s="34"/>
      <c r="Q22" s="1146" t="s">
        <v>658</v>
      </c>
      <c r="R22" s="1146"/>
      <c r="S22" s="34"/>
      <c r="T22" s="34"/>
      <c r="U22" s="34"/>
      <c r="V22" s="34"/>
      <c r="W22" s="34"/>
      <c r="X22" s="34"/>
      <c r="Y22" s="34"/>
      <c r="Z22" s="34"/>
      <c r="AA22" s="34"/>
      <c r="AB22" s="34"/>
    </row>
    <row r="23" spans="2:28" x14ac:dyDescent="0.2">
      <c r="B23" s="1147" t="s">
        <v>629</v>
      </c>
      <c r="C23" s="1148"/>
      <c r="D23" s="332">
        <f>IF(H2=1,D16-1,D16)</f>
        <v>0</v>
      </c>
      <c r="E23" s="80"/>
      <c r="F23" s="80"/>
      <c r="G23" s="34"/>
      <c r="H23" s="34" t="s">
        <v>163</v>
      </c>
      <c r="I23" s="65">
        <v>68</v>
      </c>
      <c r="J23" s="1140" t="s">
        <v>433</v>
      </c>
      <c r="K23" s="1140"/>
      <c r="L23" s="65">
        <v>120</v>
      </c>
      <c r="M23" s="34" t="s">
        <v>231</v>
      </c>
      <c r="N23" s="82">
        <v>3.5</v>
      </c>
      <c r="O23" s="34"/>
      <c r="P23" s="34"/>
      <c r="Q23" s="34"/>
      <c r="R23" s="34" t="s">
        <v>163</v>
      </c>
      <c r="S23" s="65">
        <v>68</v>
      </c>
      <c r="T23" s="1140" t="s">
        <v>433</v>
      </c>
      <c r="U23" s="1140"/>
      <c r="V23" s="65">
        <v>120</v>
      </c>
      <c r="W23" s="34" t="s">
        <v>231</v>
      </c>
      <c r="X23" s="82">
        <v>3.5</v>
      </c>
      <c r="Y23" s="34"/>
      <c r="Z23" s="34"/>
      <c r="AA23" s="34"/>
      <c r="AB23" s="34"/>
    </row>
    <row r="24" spans="2:28" x14ac:dyDescent="0.2">
      <c r="B24" s="104"/>
      <c r="C24" s="104"/>
      <c r="D24" s="332"/>
      <c r="E24" s="80"/>
      <c r="F24" s="80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</row>
    <row r="25" spans="2:28" x14ac:dyDescent="0.2">
      <c r="B25" s="104"/>
      <c r="C25" s="104"/>
      <c r="D25" s="332"/>
      <c r="E25" s="80"/>
      <c r="F25" s="80"/>
      <c r="G25" s="34"/>
      <c r="H25" s="34" t="s">
        <v>245</v>
      </c>
      <c r="I25" s="1141" t="e">
        <f>PV(N23/100/12,(L23-I23)*12,N20,,1)*(-1)</f>
        <v>#DIV/0!</v>
      </c>
      <c r="J25" s="1141"/>
      <c r="K25" s="34"/>
      <c r="L25" s="34"/>
      <c r="M25" s="34"/>
      <c r="N25" s="34"/>
      <c r="O25" s="34"/>
      <c r="P25" s="34"/>
      <c r="Q25" s="34"/>
      <c r="R25" s="34" t="s">
        <v>245</v>
      </c>
      <c r="S25" s="1141" t="e">
        <f>PV(X23/100,(V23-S23),X20,,1)*(-1)</f>
        <v>#DIV/0!</v>
      </c>
      <c r="T25" s="1141"/>
      <c r="U25" s="34"/>
      <c r="V25" s="34"/>
      <c r="W25" s="34"/>
      <c r="X25" s="34"/>
      <c r="Y25" s="34"/>
      <c r="Z25" s="34"/>
      <c r="AA25" s="34"/>
      <c r="AB25" s="34"/>
    </row>
    <row r="26" spans="2:28" x14ac:dyDescent="0.2">
      <c r="B26" s="104"/>
      <c r="C26" s="104"/>
      <c r="D26" s="332"/>
      <c r="E26" s="80"/>
      <c r="F26" s="80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</row>
    <row r="27" spans="2:28" x14ac:dyDescent="0.2">
      <c r="B27" s="104"/>
      <c r="C27" s="104"/>
      <c r="D27" s="332"/>
      <c r="E27" s="80"/>
      <c r="F27" s="80"/>
      <c r="G27" s="1140" t="s">
        <v>660</v>
      </c>
      <c r="H27" s="1140"/>
      <c r="I27" s="1141">
        <f>PV(N23/100/12,(L23-I23)*12,I11,,1)*(-1)</f>
        <v>0</v>
      </c>
      <c r="J27" s="1141"/>
      <c r="K27" s="34"/>
      <c r="L27" s="34"/>
      <c r="M27" s="34"/>
      <c r="N27" s="34"/>
      <c r="O27" s="34"/>
      <c r="P27" s="34"/>
      <c r="Q27" s="1140" t="s">
        <v>660</v>
      </c>
      <c r="R27" s="1140"/>
      <c r="S27" s="1141">
        <f>PV(X23/100,(V23-S23),S11,,1)*(-1)</f>
        <v>0</v>
      </c>
      <c r="T27" s="1141"/>
      <c r="U27" s="34"/>
      <c r="V27" s="34"/>
      <c r="W27" s="34"/>
      <c r="X27" s="34"/>
      <c r="Y27" s="34"/>
      <c r="Z27" s="34"/>
      <c r="AA27" s="34"/>
      <c r="AB27" s="34"/>
    </row>
    <row r="28" spans="2:28" x14ac:dyDescent="0.2">
      <c r="B28" s="34"/>
      <c r="C28" s="34"/>
      <c r="D28" s="80"/>
      <c r="E28" s="80"/>
      <c r="F28" s="80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</row>
    <row r="29" spans="2:28" x14ac:dyDescent="0.2">
      <c r="B29" s="34"/>
      <c r="C29" s="34"/>
      <c r="D29" s="80"/>
      <c r="E29" s="80"/>
      <c r="F29" s="80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</row>
    <row r="30" spans="2:28" ht="24" customHeight="1" x14ac:dyDescent="0.2">
      <c r="B30" s="1167" t="s">
        <v>269</v>
      </c>
      <c r="C30" s="1168"/>
      <c r="D30" s="349">
        <f>D12</f>
        <v>0</v>
      </c>
      <c r="E30" s="387"/>
      <c r="F30" s="80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</row>
    <row r="31" spans="2:28" ht="24" customHeight="1" x14ac:dyDescent="0.2">
      <c r="B31" s="1167" t="s">
        <v>661</v>
      </c>
      <c r="C31" s="1168"/>
      <c r="D31" s="388">
        <f>D18</f>
        <v>0</v>
      </c>
      <c r="E31" s="387"/>
      <c r="F31" s="80" t="s">
        <v>675</v>
      </c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</row>
    <row r="32" spans="2:28" ht="24" customHeight="1" x14ac:dyDescent="0.2">
      <c r="B32" s="1167" t="s">
        <v>663</v>
      </c>
      <c r="C32" s="1168"/>
      <c r="D32" s="389">
        <f>D30-D31</f>
        <v>0</v>
      </c>
      <c r="E32" s="390" t="e">
        <f>D33</f>
        <v>#DIV/0!</v>
      </c>
      <c r="F32" s="391" t="e">
        <f>D32-E32</f>
        <v>#DIV/0!</v>
      </c>
      <c r="G32" s="218"/>
      <c r="H32" s="34"/>
      <c r="I32" s="34"/>
      <c r="J32" s="34"/>
      <c r="K32" s="34" t="s">
        <v>636</v>
      </c>
      <c r="L32" s="330" t="s">
        <v>637</v>
      </c>
      <c r="M32" s="34" t="s">
        <v>638</v>
      </c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</row>
    <row r="33" spans="1:38" ht="29.25" customHeight="1" x14ac:dyDescent="0.2">
      <c r="B33" s="1167" t="s">
        <v>664</v>
      </c>
      <c r="C33" s="1168"/>
      <c r="D33" s="388" t="e">
        <f>IF(H2=1,N1,N2)</f>
        <v>#DIV/0!</v>
      </c>
      <c r="E33" s="387"/>
      <c r="F33" s="80"/>
      <c r="G33" s="34"/>
      <c r="H33" s="34"/>
      <c r="I33" s="34"/>
      <c r="J33" s="331"/>
      <c r="K33" s="76">
        <f>D11</f>
        <v>0</v>
      </c>
      <c r="L33" s="76">
        <f>K4</f>
        <v>0</v>
      </c>
      <c r="M33" s="338">
        <f>K33-L33</f>
        <v>0</v>
      </c>
      <c r="N33" s="331"/>
      <c r="O33" s="331"/>
      <c r="P33" s="331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</row>
    <row r="34" spans="1:38" ht="24" customHeight="1" x14ac:dyDescent="0.2">
      <c r="B34" s="1167" t="s">
        <v>625</v>
      </c>
      <c r="C34" s="1168"/>
      <c r="D34" s="392" t="e">
        <f>D31+D32-D33</f>
        <v>#DIV/0!</v>
      </c>
      <c r="E34" s="349" t="e">
        <f>D30-D33</f>
        <v>#DIV/0!</v>
      </c>
      <c r="F34" s="80"/>
      <c r="G34" s="34"/>
      <c r="H34" s="34"/>
      <c r="I34" s="34"/>
      <c r="J34" s="331" t="s">
        <v>631</v>
      </c>
      <c r="K34" s="331" t="s">
        <v>632</v>
      </c>
      <c r="L34" s="331" t="s">
        <v>542</v>
      </c>
      <c r="M34" s="331" t="s">
        <v>632</v>
      </c>
      <c r="N34" s="331" t="s">
        <v>633</v>
      </c>
      <c r="O34" s="331" t="s">
        <v>634</v>
      </c>
      <c r="P34" s="331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</row>
    <row r="35" spans="1:38" x14ac:dyDescent="0.2">
      <c r="B35" s="34"/>
      <c r="C35" s="34"/>
      <c r="D35" s="34"/>
      <c r="E35" s="34"/>
      <c r="F35" s="34"/>
      <c r="G35" s="34"/>
      <c r="H35" s="34"/>
      <c r="I35" s="34"/>
      <c r="J35" s="341">
        <f>K35</f>
        <v>5270</v>
      </c>
      <c r="K35" s="341">
        <f t="shared" ref="K35:L39" si="3">H13</f>
        <v>5270</v>
      </c>
      <c r="L35" s="342">
        <f t="shared" si="3"/>
        <v>0.1</v>
      </c>
      <c r="M35" s="331">
        <f>IF(M33&gt;J35,K35,M33)</f>
        <v>0</v>
      </c>
      <c r="N35" s="331">
        <f t="shared" ref="N35:N40" si="4">M35*L35</f>
        <v>0</v>
      </c>
      <c r="O35" s="331">
        <f>N35</f>
        <v>0</v>
      </c>
      <c r="P35" s="331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</row>
    <row r="36" spans="1:38" x14ac:dyDescent="0.2">
      <c r="B36" s="34"/>
      <c r="C36" s="34"/>
      <c r="D36" s="34"/>
      <c r="E36" s="34"/>
      <c r="F36" s="34"/>
      <c r="G36" s="34"/>
      <c r="H36" s="34"/>
      <c r="I36" s="34"/>
      <c r="J36" s="341">
        <f>J35+K36</f>
        <v>9000</v>
      </c>
      <c r="K36" s="341">
        <f t="shared" si="3"/>
        <v>3730</v>
      </c>
      <c r="L36" s="342">
        <f t="shared" si="3"/>
        <v>0.14000000000000001</v>
      </c>
      <c r="M36" s="331">
        <f>IF(M33&gt;J36,K36,IF(M33&lt;J35,0,M33-J35))</f>
        <v>0</v>
      </c>
      <c r="N36" s="331">
        <f t="shared" si="4"/>
        <v>0</v>
      </c>
      <c r="O36" s="331">
        <f>O35+N36</f>
        <v>0</v>
      </c>
      <c r="P36" s="331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</row>
    <row r="37" spans="1:38" x14ac:dyDescent="0.2">
      <c r="A37" s="323" t="s">
        <v>685</v>
      </c>
      <c r="B37" s="1202">
        <f>'[1]חישובי מקורות א'!BZ3</f>
        <v>0</v>
      </c>
      <c r="C37" s="1203"/>
      <c r="D37" s="34"/>
      <c r="E37" s="34"/>
      <c r="F37" s="34"/>
      <c r="G37" s="34"/>
      <c r="H37" s="34"/>
      <c r="I37" s="34"/>
      <c r="J37" s="341">
        <f>J36+K37</f>
        <v>13990</v>
      </c>
      <c r="K37" s="341">
        <f t="shared" si="3"/>
        <v>4990</v>
      </c>
      <c r="L37" s="342">
        <f t="shared" si="3"/>
        <v>0.21</v>
      </c>
      <c r="M37" s="331">
        <f>IF(M33&gt;J37,K37,IF(M33&lt;J36,0,M33-J36))</f>
        <v>0</v>
      </c>
      <c r="N37" s="331">
        <f t="shared" si="4"/>
        <v>0</v>
      </c>
      <c r="O37" s="331">
        <f>O36+N37</f>
        <v>0</v>
      </c>
      <c r="P37" s="331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</row>
    <row r="38" spans="1:38" x14ac:dyDescent="0.2">
      <c r="A38" s="323" t="s">
        <v>686</v>
      </c>
      <c r="B38" s="393">
        <v>0.45</v>
      </c>
      <c r="E38" s="34"/>
      <c r="F38" s="34"/>
      <c r="G38" s="34"/>
      <c r="H38" s="34"/>
      <c r="I38" s="34"/>
      <c r="J38" s="341">
        <f>J37+K38</f>
        <v>19980</v>
      </c>
      <c r="K38" s="341">
        <f t="shared" si="3"/>
        <v>5990</v>
      </c>
      <c r="L38" s="342">
        <f t="shared" si="3"/>
        <v>0.31</v>
      </c>
      <c r="M38" s="331">
        <f>IF(M33&gt;J38,K38,IF(M33&lt;J37,0,M33-J37))</f>
        <v>0</v>
      </c>
      <c r="N38" s="331">
        <f t="shared" si="4"/>
        <v>0</v>
      </c>
      <c r="O38" s="331">
        <f>O37+N38</f>
        <v>0</v>
      </c>
      <c r="P38" s="331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</row>
    <row r="39" spans="1:38" x14ac:dyDescent="0.2">
      <c r="A39" s="323" t="s">
        <v>687</v>
      </c>
      <c r="B39" s="1202">
        <f>B37-(B37*B38)</f>
        <v>0</v>
      </c>
      <c r="C39" s="1203"/>
      <c r="D39" s="34"/>
      <c r="E39" s="34"/>
      <c r="F39" s="34"/>
      <c r="G39" s="34"/>
      <c r="H39" s="34"/>
      <c r="I39" s="34"/>
      <c r="J39" s="341">
        <f>J38+K39</f>
        <v>41790</v>
      </c>
      <c r="K39" s="341">
        <f t="shared" si="3"/>
        <v>21810</v>
      </c>
      <c r="L39" s="342">
        <f t="shared" si="3"/>
        <v>0.34</v>
      </c>
      <c r="M39" s="331">
        <f>IF(M33&gt;J39,K39,IF(M33&lt;J38,0,M33-J38))</f>
        <v>0</v>
      </c>
      <c r="N39" s="331">
        <f t="shared" si="4"/>
        <v>0</v>
      </c>
      <c r="O39" s="331">
        <f>O38+N39</f>
        <v>0</v>
      </c>
      <c r="P39" s="331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</row>
    <row r="40" spans="1:38" x14ac:dyDescent="0.2">
      <c r="B40" s="34"/>
      <c r="C40" s="34"/>
      <c r="D40" s="34"/>
      <c r="E40" s="34"/>
      <c r="F40" s="34"/>
      <c r="G40" s="34"/>
      <c r="H40" s="34"/>
      <c r="I40" s="34"/>
      <c r="J40" s="341">
        <v>99999999</v>
      </c>
      <c r="K40" s="341">
        <f>IF(M33-J39&gt;=0,M33-J39,0)</f>
        <v>0</v>
      </c>
      <c r="L40" s="342">
        <f>I18</f>
        <v>0.48</v>
      </c>
      <c r="M40" s="331">
        <f>IF(M33&gt;J40,K40,IF(M33&lt;J39,0,M33-J39))</f>
        <v>0</v>
      </c>
      <c r="N40" s="331">
        <f t="shared" si="4"/>
        <v>0</v>
      </c>
      <c r="O40" s="331">
        <f>O39+N40</f>
        <v>0</v>
      </c>
      <c r="P40" s="331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</row>
    <row r="41" spans="1:38" ht="25.5" x14ac:dyDescent="0.2">
      <c r="B41" s="34"/>
      <c r="C41" s="34"/>
      <c r="D41" s="34"/>
      <c r="E41" s="34"/>
      <c r="F41" s="34"/>
      <c r="G41" s="34"/>
      <c r="H41" s="34"/>
      <c r="I41" s="34"/>
      <c r="J41" s="331"/>
      <c r="K41" s="331"/>
      <c r="L41" s="331"/>
      <c r="M41" s="331"/>
      <c r="N41" s="331"/>
      <c r="O41" s="331"/>
      <c r="P41" s="331" t="s">
        <v>635</v>
      </c>
      <c r="Q41" s="331">
        <f>IF(O40-'[1]נתוני יסוד'!L2&gt;=0,O40-'[1]נתוני יסוד'!L2,0)</f>
        <v>0</v>
      </c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</row>
    <row r="42" spans="1:38" ht="34.5" customHeight="1" x14ac:dyDescent="0.2"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 t="s">
        <v>586</v>
      </c>
      <c r="Q42" s="354">
        <f>K33-Q41</f>
        <v>0</v>
      </c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</row>
    <row r="43" spans="1:38" ht="26.25" customHeight="1" x14ac:dyDescent="0.2">
      <c r="A43" s="1142" t="s">
        <v>270</v>
      </c>
      <c r="B43" s="1201"/>
      <c r="C43" s="1204"/>
      <c r="D43" s="346" t="e">
        <f>D34+D33</f>
        <v>#DIV/0!</v>
      </c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</row>
    <row r="44" spans="1:38" ht="26.25" customHeight="1" x14ac:dyDescent="0.2">
      <c r="A44" s="394" t="s">
        <v>481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</row>
    <row r="45" spans="1:38" x14ac:dyDescent="0.2">
      <c r="A45" s="395">
        <v>0.35</v>
      </c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</row>
    <row r="46" spans="1:38" ht="12.75" customHeight="1" x14ac:dyDescent="0.2">
      <c r="A46" s="395">
        <v>0.45</v>
      </c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</row>
    <row r="47" spans="1:38" ht="13.5" thickBot="1" x14ac:dyDescent="0.25">
      <c r="A47" s="395">
        <v>0.5</v>
      </c>
      <c r="B47" s="34"/>
      <c r="C47" s="34"/>
      <c r="D47" s="34"/>
      <c r="E47" s="59"/>
      <c r="F47" s="59"/>
      <c r="G47" s="59"/>
      <c r="H47" s="59"/>
      <c r="I47" s="59"/>
      <c r="J47" s="59"/>
      <c r="K47" s="59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</row>
    <row r="48" spans="1:38" ht="12.75" customHeight="1" thickTop="1" x14ac:dyDescent="0.2">
      <c r="B48" s="34"/>
      <c r="C48" s="34"/>
      <c r="D48" s="37"/>
      <c r="E48" s="396"/>
      <c r="F48" s="397"/>
      <c r="G48" s="397"/>
      <c r="H48" s="397"/>
      <c r="I48" s="397"/>
      <c r="J48" s="397"/>
      <c r="K48" s="398"/>
      <c r="L48" s="218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</row>
    <row r="49" spans="5:11" x14ac:dyDescent="0.2">
      <c r="E49" s="399"/>
      <c r="F49" s="1205" t="s">
        <v>688</v>
      </c>
      <c r="G49" s="1205"/>
      <c r="H49" s="1205"/>
      <c r="I49" s="1205"/>
      <c r="J49" s="1205"/>
      <c r="K49" s="1206"/>
    </row>
    <row r="50" spans="5:11" x14ac:dyDescent="0.2">
      <c r="E50" s="399"/>
      <c r="F50" s="1207"/>
      <c r="G50" s="1207"/>
      <c r="H50" s="1207"/>
      <c r="I50" s="1207"/>
      <c r="J50" s="1207"/>
      <c r="K50" s="1208"/>
    </row>
    <row r="51" spans="5:11" x14ac:dyDescent="0.2">
      <c r="E51" s="399"/>
      <c r="F51" s="296"/>
      <c r="G51" s="296"/>
      <c r="H51" s="296"/>
      <c r="I51" s="296"/>
      <c r="J51" s="296"/>
      <c r="K51" s="400"/>
    </row>
    <row r="52" spans="5:11" x14ac:dyDescent="0.2">
      <c r="E52" s="399"/>
      <c r="F52" s="296"/>
      <c r="G52" s="296"/>
      <c r="H52" s="296"/>
      <c r="I52" s="296"/>
      <c r="J52" s="296"/>
      <c r="K52" s="400"/>
    </row>
    <row r="53" spans="5:11" x14ac:dyDescent="0.2">
      <c r="E53" s="399"/>
      <c r="F53" s="1201" t="s">
        <v>668</v>
      </c>
      <c r="G53" s="1201"/>
      <c r="H53" s="401">
        <f>Q42</f>
        <v>0</v>
      </c>
      <c r="I53" s="296"/>
      <c r="J53" s="296"/>
      <c r="K53" s="400"/>
    </row>
    <row r="54" spans="5:11" x14ac:dyDescent="0.2">
      <c r="E54" s="399"/>
      <c r="F54" s="296"/>
      <c r="G54" s="296"/>
      <c r="H54" s="401"/>
      <c r="I54" s="296"/>
      <c r="J54" s="296"/>
      <c r="K54" s="400"/>
    </row>
    <row r="55" spans="5:11" x14ac:dyDescent="0.2">
      <c r="E55" s="399" t="s">
        <v>689</v>
      </c>
      <c r="F55" s="1201" t="s">
        <v>625</v>
      </c>
      <c r="G55" s="1201"/>
      <c r="H55" s="401" t="e">
        <f>D34</f>
        <v>#DIV/0!</v>
      </c>
      <c r="I55" s="296"/>
      <c r="J55" s="296"/>
      <c r="K55" s="400"/>
    </row>
    <row r="56" spans="5:11" x14ac:dyDescent="0.2">
      <c r="E56" s="399"/>
      <c r="F56" s="296"/>
      <c r="G56" s="296"/>
      <c r="H56" s="401"/>
      <c r="I56" s="296"/>
      <c r="J56" s="296"/>
      <c r="K56" s="400"/>
    </row>
    <row r="57" spans="5:11" x14ac:dyDescent="0.2">
      <c r="E57" s="399"/>
      <c r="F57" s="1201" t="s">
        <v>690</v>
      </c>
      <c r="G57" s="1201"/>
      <c r="H57" s="401">
        <f>'[1]נתוני יסוד'!B38</f>
        <v>0</v>
      </c>
      <c r="I57" s="296"/>
      <c r="J57" s="296"/>
      <c r="K57" s="400"/>
    </row>
    <row r="58" spans="5:11" x14ac:dyDescent="0.2">
      <c r="E58" s="399"/>
      <c r="F58" s="1201" t="s">
        <v>691</v>
      </c>
      <c r="G58" s="1201"/>
      <c r="H58" s="401">
        <f>B39</f>
        <v>0</v>
      </c>
      <c r="I58" s="296"/>
      <c r="J58" s="296"/>
      <c r="K58" s="400"/>
    </row>
    <row r="59" spans="5:11" x14ac:dyDescent="0.2">
      <c r="E59" s="399"/>
      <c r="F59" s="296"/>
      <c r="G59" s="296"/>
      <c r="H59" s="296"/>
      <c r="I59" s="296"/>
      <c r="J59" s="296"/>
      <c r="K59" s="400"/>
    </row>
    <row r="60" spans="5:11" x14ac:dyDescent="0.2">
      <c r="E60" s="399"/>
      <c r="F60" s="1201" t="s">
        <v>692</v>
      </c>
      <c r="G60" s="1201"/>
      <c r="H60" s="401" t="e">
        <f>H55+H57+H58</f>
        <v>#DIV/0!</v>
      </c>
      <c r="I60" s="296"/>
      <c r="J60" s="296"/>
      <c r="K60" s="400"/>
    </row>
    <row r="61" spans="5:11" ht="13.5" thickBot="1" x14ac:dyDescent="0.25">
      <c r="E61" s="402"/>
      <c r="F61" s="403"/>
      <c r="G61" s="403"/>
      <c r="H61" s="403"/>
      <c r="I61" s="403"/>
      <c r="J61" s="403"/>
      <c r="K61" s="404"/>
    </row>
    <row r="62" spans="5:11" ht="13.5" thickTop="1" x14ac:dyDescent="0.2"/>
  </sheetData>
  <sheetProtection password="83F6" sheet="1" objects="1" scenarios="1" selectLockedCells="1" selectUnlockedCells="1"/>
  <mergeCells count="42">
    <mergeCell ref="F60:G60"/>
    <mergeCell ref="B32:C32"/>
    <mergeCell ref="B33:C33"/>
    <mergeCell ref="B34:C34"/>
    <mergeCell ref="B37:C37"/>
    <mergeCell ref="B39:C39"/>
    <mergeCell ref="A43:C43"/>
    <mergeCell ref="F49:K50"/>
    <mergeCell ref="F53:G53"/>
    <mergeCell ref="F55:G55"/>
    <mergeCell ref="F57:G57"/>
    <mergeCell ref="F58:G58"/>
    <mergeCell ref="B31:C31"/>
    <mergeCell ref="Q22:R22"/>
    <mergeCell ref="B23:C23"/>
    <mergeCell ref="J23:K23"/>
    <mergeCell ref="T23:U23"/>
    <mergeCell ref="I25:J25"/>
    <mergeCell ref="S25:T25"/>
    <mergeCell ref="G22:J22"/>
    <mergeCell ref="G27:H27"/>
    <mergeCell ref="I27:J27"/>
    <mergeCell ref="Q27:R27"/>
    <mergeCell ref="S27:T27"/>
    <mergeCell ref="B30:C30"/>
    <mergeCell ref="B13:C13"/>
    <mergeCell ref="B15:C15"/>
    <mergeCell ref="B16:C16"/>
    <mergeCell ref="B18:C18"/>
    <mergeCell ref="B22:C22"/>
    <mergeCell ref="Q8:S8"/>
    <mergeCell ref="G9:K9"/>
    <mergeCell ref="Q9:U9"/>
    <mergeCell ref="B10:C10"/>
    <mergeCell ref="B11:C11"/>
    <mergeCell ref="B12:C12"/>
    <mergeCell ref="L1:M5"/>
    <mergeCell ref="E2:G2"/>
    <mergeCell ref="B5:C5"/>
    <mergeCell ref="B6:C6"/>
    <mergeCell ref="F6:G6"/>
    <mergeCell ref="B8:K8"/>
  </mergeCells>
  <dataValidations count="1">
    <dataValidation type="list" allowBlank="1" showInputMessage="1" showErrorMessage="1" sqref="B38">
      <formula1>$A$45:$A$47</formula1>
    </dataValidation>
  </dataValidations>
  <pageMargins left="0.75" right="0.75" top="1" bottom="1" header="0.5" footer="0.5"/>
  <headerFooter alignWithMargins="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18">
    <tabColor indexed="45"/>
  </sheetPr>
  <dimension ref="A1:AL66"/>
  <sheetViews>
    <sheetView rightToLeft="1" workbookViewId="0">
      <selection activeCell="AL8" sqref="AL8"/>
    </sheetView>
  </sheetViews>
  <sheetFormatPr defaultRowHeight="12.75" x14ac:dyDescent="0.2"/>
  <cols>
    <col min="1" max="3" width="9.140625" style="323"/>
    <col min="4" max="4" width="16.28515625" style="323" customWidth="1"/>
    <col min="5" max="5" width="14.28515625" style="323" customWidth="1"/>
    <col min="6" max="6" width="13.28515625" style="323" customWidth="1"/>
    <col min="7" max="7" width="14.28515625" style="323" customWidth="1"/>
    <col min="8" max="8" width="12.7109375" style="323" customWidth="1"/>
    <col min="9" max="9" width="13.28515625" style="323" customWidth="1"/>
    <col min="10" max="10" width="13" style="323" customWidth="1"/>
    <col min="11" max="11" width="14.42578125" style="323" customWidth="1"/>
    <col min="12" max="12" width="13" style="323" customWidth="1"/>
    <col min="13" max="13" width="9.140625" style="323"/>
    <col min="14" max="14" width="14.140625" style="323" customWidth="1"/>
    <col min="15" max="16" width="9.140625" style="323"/>
    <col min="17" max="17" width="15.7109375" style="323" customWidth="1"/>
    <col min="18" max="18" width="16.140625" style="323" customWidth="1"/>
    <col min="19" max="19" width="11.42578125" style="323" customWidth="1"/>
    <col min="20" max="20" width="14.85546875" style="323" customWidth="1"/>
    <col min="21" max="21" width="14.140625" style="323" customWidth="1"/>
    <col min="22" max="22" width="13.5703125" style="323" customWidth="1"/>
    <col min="23" max="23" width="9.140625" style="323"/>
    <col min="24" max="24" width="14.85546875" style="323" customWidth="1"/>
    <col min="25" max="16384" width="9.140625" style="323"/>
  </cols>
  <sheetData>
    <row r="1" spans="1:38" x14ac:dyDescent="0.2">
      <c r="I1" s="383" t="s">
        <v>669</v>
      </c>
      <c r="J1" s="405" t="s">
        <v>627</v>
      </c>
      <c r="K1" s="405">
        <f>'[1]נתוני יסוד'!B26</f>
        <v>0</v>
      </c>
      <c r="L1" s="1183" t="s">
        <v>481</v>
      </c>
      <c r="M1" s="1183"/>
    </row>
    <row r="2" spans="1:38" x14ac:dyDescent="0.2">
      <c r="E2" s="1126" t="s">
        <v>645</v>
      </c>
      <c r="F2" s="1126"/>
      <c r="G2" s="1126"/>
      <c r="H2" s="335">
        <f>'[1]פיצויים פטורים והוני'!H2</f>
        <v>0</v>
      </c>
      <c r="I2" s="385"/>
      <c r="J2" s="326" t="s">
        <v>670</v>
      </c>
      <c r="K2" s="326">
        <f>'[1]נתוני יסוד'!B27</f>
        <v>0</v>
      </c>
      <c r="L2" s="1184"/>
      <c r="M2" s="1184"/>
    </row>
    <row r="3" spans="1:38" x14ac:dyDescent="0.2">
      <c r="B3" s="34"/>
      <c r="C3" s="34"/>
      <c r="D3" s="34"/>
      <c r="E3" s="34"/>
      <c r="F3" s="34"/>
      <c r="G3" s="34"/>
      <c r="H3" s="34"/>
      <c r="I3" s="366"/>
      <c r="J3" s="367" t="s">
        <v>671</v>
      </c>
      <c r="K3" s="368">
        <f>'[1]נתוני יסוד'!B28</f>
        <v>0</v>
      </c>
      <c r="L3" s="1184"/>
      <c r="M3" s="118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</row>
    <row r="4" spans="1:38" x14ac:dyDescent="0.2">
      <c r="B4" s="34"/>
      <c r="C4" s="34"/>
      <c r="D4" s="34"/>
      <c r="E4" s="34"/>
      <c r="F4" s="34"/>
      <c r="G4" s="34"/>
      <c r="H4" s="34"/>
      <c r="I4" s="366"/>
      <c r="J4" s="367" t="s">
        <v>382</v>
      </c>
      <c r="K4" s="368">
        <f>'[1]נתוני יסוד'!B29</f>
        <v>0</v>
      </c>
      <c r="L4" s="1184"/>
      <c r="M4" s="1184"/>
      <c r="O4" s="1127"/>
      <c r="P4" s="1128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</row>
    <row r="5" spans="1:38" ht="13.5" thickBot="1" x14ac:dyDescent="0.25">
      <c r="B5" s="1129" t="s">
        <v>642</v>
      </c>
      <c r="C5" s="1053"/>
      <c r="D5" s="336">
        <f>'[1]נתוני יסוד'!B4</f>
        <v>0</v>
      </c>
      <c r="E5" s="34" t="s">
        <v>643</v>
      </c>
      <c r="F5" s="34"/>
      <c r="G5" s="34"/>
      <c r="H5" s="34"/>
      <c r="I5" s="371"/>
      <c r="J5" s="372" t="s">
        <v>672</v>
      </c>
      <c r="K5" s="373">
        <f>'[1]נתוני יסוד'!B30</f>
        <v>0</v>
      </c>
      <c r="L5" s="1185"/>
      <c r="M5" s="1185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</row>
    <row r="6" spans="1:38" x14ac:dyDescent="0.2">
      <c r="B6" s="1129" t="s">
        <v>644</v>
      </c>
      <c r="C6" s="1053"/>
      <c r="D6" s="336">
        <f>'[1]נתוני יסוד'!B6</f>
        <v>45874.826249999998</v>
      </c>
      <c r="E6" s="34"/>
      <c r="F6" s="1129" t="s">
        <v>646</v>
      </c>
      <c r="G6" s="1053"/>
      <c r="H6" s="333">
        <f>(D6-D5)/365.25</f>
        <v>125.59842915811087</v>
      </c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</row>
    <row r="7" spans="1:38" x14ac:dyDescent="0.2"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</row>
    <row r="8" spans="1:38" ht="26.25" x14ac:dyDescent="0.2">
      <c r="B8" s="1130" t="s">
        <v>693</v>
      </c>
      <c r="C8" s="1131"/>
      <c r="D8" s="1131"/>
      <c r="E8" s="1131"/>
      <c r="F8" s="1131"/>
      <c r="G8" s="1131"/>
      <c r="H8" s="1131"/>
      <c r="I8" s="1131"/>
      <c r="J8" s="1131"/>
      <c r="K8" s="1132"/>
      <c r="L8" s="34"/>
      <c r="M8" s="34"/>
      <c r="N8" s="34"/>
      <c r="O8" s="34"/>
      <c r="P8" s="34"/>
      <c r="Q8" s="1133"/>
      <c r="R8" s="1052"/>
      <c r="S8" s="1053"/>
      <c r="T8" s="34"/>
      <c r="U8" s="34"/>
      <c r="V8" s="34"/>
      <c r="W8" s="34"/>
      <c r="X8" s="34"/>
      <c r="Y8" s="34"/>
      <c r="Z8" s="34"/>
      <c r="AA8" s="34"/>
      <c r="AB8" s="34"/>
    </row>
    <row r="9" spans="1:38" ht="26.25" x14ac:dyDescent="0.2">
      <c r="B9" s="34"/>
      <c r="C9" s="34"/>
      <c r="D9" s="34"/>
      <c r="E9" s="34"/>
      <c r="F9" s="34"/>
      <c r="G9" s="1134" t="s">
        <v>647</v>
      </c>
      <c r="H9" s="1135"/>
      <c r="I9" s="1135"/>
      <c r="J9" s="1135"/>
      <c r="K9" s="1136"/>
      <c r="L9" s="34"/>
      <c r="M9" s="34"/>
      <c r="N9" s="34"/>
      <c r="O9" s="34"/>
      <c r="P9" s="34"/>
      <c r="Q9" s="1137" t="s">
        <v>648</v>
      </c>
      <c r="R9" s="1138"/>
      <c r="S9" s="1138"/>
      <c r="T9" s="1138"/>
      <c r="U9" s="1139"/>
      <c r="V9" s="34"/>
      <c r="W9" s="34"/>
      <c r="X9" s="34"/>
      <c r="Y9" s="34"/>
      <c r="Z9" s="34"/>
      <c r="AA9" s="34"/>
      <c r="AB9" s="34"/>
    </row>
    <row r="10" spans="1:38" ht="25.5" x14ac:dyDescent="0.2">
      <c r="A10" s="1125" t="s">
        <v>649</v>
      </c>
      <c r="B10" s="1092"/>
      <c r="C10" s="1092"/>
      <c r="D10" s="337">
        <f>K1+K2+K3+K4+K5</f>
        <v>0</v>
      </c>
      <c r="E10" s="34"/>
      <c r="F10" s="34"/>
      <c r="G10" s="34" t="s">
        <v>650</v>
      </c>
      <c r="H10" s="34" t="s">
        <v>636</v>
      </c>
      <c r="I10" s="330" t="s">
        <v>637</v>
      </c>
      <c r="J10" s="34" t="s">
        <v>638</v>
      </c>
      <c r="K10" s="34"/>
      <c r="L10" s="34"/>
      <c r="M10" s="34"/>
      <c r="N10" s="34"/>
      <c r="O10" s="34"/>
      <c r="P10" s="34"/>
      <c r="Q10" s="34" t="s">
        <v>651</v>
      </c>
      <c r="R10" s="34" t="s">
        <v>639</v>
      </c>
      <c r="S10" s="330" t="s">
        <v>640</v>
      </c>
      <c r="T10" s="34" t="s">
        <v>641</v>
      </c>
      <c r="U10" s="34"/>
      <c r="V10" s="34"/>
      <c r="W10" s="34"/>
      <c r="X10" s="34"/>
      <c r="Y10" s="34"/>
      <c r="Z10" s="34"/>
      <c r="AA10" s="34"/>
      <c r="AB10" s="34"/>
    </row>
    <row r="11" spans="1:38" ht="24" customHeight="1" x14ac:dyDescent="0.2">
      <c r="A11" s="1125" t="s">
        <v>694</v>
      </c>
      <c r="B11" s="1092"/>
      <c r="C11" s="1092"/>
      <c r="D11" s="103">
        <f>'[1]נתוני יסוד'!B26+'[1]נתוני יסוד'!B27+'[1]נתוני יסוד'!B28+'[1]נתוני יסוד'!B29+'[1]נתוני יסוד'!B30</f>
        <v>0</v>
      </c>
      <c r="E11" s="34"/>
      <c r="F11" s="34"/>
      <c r="G11" s="329" t="e">
        <f>Q11/12</f>
        <v>#DIV/0!</v>
      </c>
      <c r="H11" s="76">
        <f>D10</f>
        <v>0</v>
      </c>
      <c r="I11" s="339">
        <f>D20+K4</f>
        <v>0</v>
      </c>
      <c r="J11" s="338" t="e">
        <f>H11-I11+G11</f>
        <v>#DIV/0!</v>
      </c>
      <c r="K11" s="331"/>
      <c r="L11" s="331"/>
      <c r="M11" s="331"/>
      <c r="N11" s="34"/>
      <c r="O11" s="34"/>
      <c r="P11" s="34"/>
      <c r="Q11" s="76" t="e">
        <f>D22/D23</f>
        <v>#DIV/0!</v>
      </c>
      <c r="R11" s="76">
        <f>H11*12</f>
        <v>0</v>
      </c>
      <c r="S11" s="76">
        <f>I11*12</f>
        <v>0</v>
      </c>
      <c r="T11" s="76" t="e">
        <f>R11-S11+Q11</f>
        <v>#DIV/0!</v>
      </c>
      <c r="U11" s="331"/>
      <c r="V11" s="331"/>
      <c r="W11" s="331"/>
      <c r="X11" s="34"/>
      <c r="Y11" s="34"/>
      <c r="Z11" s="34"/>
      <c r="AA11" s="34"/>
      <c r="AB11" s="34"/>
    </row>
    <row r="12" spans="1:38" ht="24" customHeight="1" x14ac:dyDescent="0.2">
      <c r="A12" s="1125" t="s">
        <v>653</v>
      </c>
      <c r="B12" s="1092"/>
      <c r="C12" s="1092"/>
      <c r="D12" s="64">
        <f>'[1]נתוני יסוד'!B33</f>
        <v>0</v>
      </c>
      <c r="E12" s="34"/>
      <c r="F12" s="34"/>
      <c r="G12" s="331" t="s">
        <v>631</v>
      </c>
      <c r="H12" s="331" t="s">
        <v>632</v>
      </c>
      <c r="I12" s="331" t="s">
        <v>542</v>
      </c>
      <c r="J12" s="331" t="s">
        <v>632</v>
      </c>
      <c r="K12" s="331" t="s">
        <v>633</v>
      </c>
      <c r="L12" s="331" t="s">
        <v>634</v>
      </c>
      <c r="M12" s="331"/>
      <c r="N12" s="34"/>
      <c r="O12" s="34"/>
      <c r="P12" s="34"/>
      <c r="Q12" s="331" t="s">
        <v>631</v>
      </c>
      <c r="R12" s="331" t="s">
        <v>632</v>
      </c>
      <c r="S12" s="331" t="s">
        <v>542</v>
      </c>
      <c r="T12" s="331" t="s">
        <v>632</v>
      </c>
      <c r="U12" s="331" t="s">
        <v>633</v>
      </c>
      <c r="V12" s="331" t="s">
        <v>634</v>
      </c>
      <c r="W12" s="331"/>
      <c r="X12" s="34"/>
      <c r="Y12" s="34"/>
      <c r="Z12" s="34"/>
      <c r="AA12" s="34"/>
      <c r="AB12" s="34"/>
    </row>
    <row r="13" spans="1:38" ht="24" customHeight="1" x14ac:dyDescent="0.2">
      <c r="A13" s="1092" t="s">
        <v>695</v>
      </c>
      <c r="B13" s="1092"/>
      <c r="C13" s="1092"/>
      <c r="D13" s="340">
        <f>D12</f>
        <v>0</v>
      </c>
      <c r="E13" s="34"/>
      <c r="F13" s="34"/>
      <c r="G13" s="341">
        <f>H13</f>
        <v>5270</v>
      </c>
      <c r="H13" s="341">
        <f>'[1]חישובי מיסוי פנסיה פתוחים'!B6</f>
        <v>5270</v>
      </c>
      <c r="I13" s="342">
        <f>'[1]חישובי מיסוי פנסיה פתוחים'!C6</f>
        <v>0.1</v>
      </c>
      <c r="J13" s="331" t="e">
        <f>IF(J11&gt;G13,H13,J11)</f>
        <v>#DIV/0!</v>
      </c>
      <c r="K13" s="331" t="e">
        <f t="shared" ref="K13:K18" si="0">J13*I13</f>
        <v>#DIV/0!</v>
      </c>
      <c r="L13" s="331" t="e">
        <f>K13</f>
        <v>#DIV/0!</v>
      </c>
      <c r="M13" s="331"/>
      <c r="N13" s="34"/>
      <c r="O13" s="34"/>
      <c r="P13" s="34"/>
      <c r="Q13" s="341">
        <f>R13</f>
        <v>63240</v>
      </c>
      <c r="R13" s="341">
        <f>H13*12</f>
        <v>63240</v>
      </c>
      <c r="S13" s="342">
        <f t="shared" ref="S13:S18" si="1">I13</f>
        <v>0.1</v>
      </c>
      <c r="T13" s="331" t="e">
        <f>IF(T11&gt;Q13,R13,T11)</f>
        <v>#DIV/0!</v>
      </c>
      <c r="U13" s="331" t="e">
        <f t="shared" ref="U13:U18" si="2">T13*S13</f>
        <v>#DIV/0!</v>
      </c>
      <c r="V13" s="331" t="e">
        <f>U13</f>
        <v>#DIV/0!</v>
      </c>
      <c r="W13" s="331"/>
      <c r="X13" s="34"/>
      <c r="Y13" s="34"/>
      <c r="Z13" s="34"/>
      <c r="AA13" s="34"/>
      <c r="AB13" s="34"/>
    </row>
    <row r="14" spans="1:38" x14ac:dyDescent="0.2">
      <c r="A14" s="1142" t="s">
        <v>654</v>
      </c>
      <c r="B14" s="1116"/>
      <c r="C14" s="1116"/>
      <c r="D14" s="343">
        <f>'[1]פיצויים פטורים וקצבה'!D13</f>
        <v>0</v>
      </c>
      <c r="E14" s="337">
        <f>'[1]פיצויים פטורים וקצבה'!L4</f>
        <v>0</v>
      </c>
      <c r="G14" s="341">
        <f>G13+H14</f>
        <v>9000</v>
      </c>
      <c r="H14" s="341">
        <f>'[1]חישובי מיסוי פנסיה פתוחים'!B7</f>
        <v>3730</v>
      </c>
      <c r="I14" s="342">
        <f>'[1]חישובי מיסוי פנסיה פתוחים'!C7</f>
        <v>0.14000000000000001</v>
      </c>
      <c r="J14" s="331" t="e">
        <f>IF(J11&gt;G14,H14,IF(J11&lt;G13,0,J11-G13))</f>
        <v>#DIV/0!</v>
      </c>
      <c r="K14" s="331" t="e">
        <f t="shared" si="0"/>
        <v>#DIV/0!</v>
      </c>
      <c r="L14" s="331" t="e">
        <f>L13+K14</f>
        <v>#DIV/0!</v>
      </c>
      <c r="M14" s="331"/>
      <c r="N14" s="34"/>
      <c r="O14" s="34"/>
      <c r="P14" s="34"/>
      <c r="Q14" s="341">
        <f>Q13+R14</f>
        <v>108000</v>
      </c>
      <c r="R14" s="341">
        <f>H14*12</f>
        <v>44760</v>
      </c>
      <c r="S14" s="342">
        <f t="shared" si="1"/>
        <v>0.14000000000000001</v>
      </c>
      <c r="T14" s="331" t="e">
        <f>IF(T11&gt;Q14,R14,IF(T11&lt;Q13,0,T11-Q13))</f>
        <v>#DIV/0!</v>
      </c>
      <c r="U14" s="331" t="e">
        <f t="shared" si="2"/>
        <v>#DIV/0!</v>
      </c>
      <c r="V14" s="331" t="e">
        <f>V13+U14</f>
        <v>#DIV/0!</v>
      </c>
      <c r="W14" s="331"/>
      <c r="X14" s="34"/>
      <c r="Y14" s="34"/>
      <c r="Z14" s="34"/>
      <c r="AA14" s="34"/>
      <c r="AB14" s="34"/>
    </row>
    <row r="15" spans="1:38" x14ac:dyDescent="0.2">
      <c r="B15" s="1129" t="s">
        <v>655</v>
      </c>
      <c r="C15" s="1053"/>
      <c r="D15" s="344">
        <f>H6</f>
        <v>125.59842915811087</v>
      </c>
      <c r="E15" s="34"/>
      <c r="F15" s="34"/>
      <c r="G15" s="341">
        <f>G14+H15</f>
        <v>13990</v>
      </c>
      <c r="H15" s="341">
        <f>'[1]חישובי מיסוי פנסיה פתוחים'!B8</f>
        <v>4990</v>
      </c>
      <c r="I15" s="342">
        <f>'[1]חישובי מיסוי פנסיה פתוחים'!C8</f>
        <v>0.21</v>
      </c>
      <c r="J15" s="331" t="e">
        <f>IF(J11&gt;G15,H15,IF(J11&lt;G14,0,J11-G14))</f>
        <v>#DIV/0!</v>
      </c>
      <c r="K15" s="331" t="e">
        <f t="shared" si="0"/>
        <v>#DIV/0!</v>
      </c>
      <c r="L15" s="331" t="e">
        <f>L14+K15</f>
        <v>#DIV/0!</v>
      </c>
      <c r="Q15" s="341">
        <f>Q14+R15</f>
        <v>167880</v>
      </c>
      <c r="R15" s="341">
        <f>H15*12</f>
        <v>59880</v>
      </c>
      <c r="S15" s="342">
        <f t="shared" si="1"/>
        <v>0.21</v>
      </c>
      <c r="T15" s="331" t="e">
        <f>IF(T11&gt;Q15,R15,IF(T11&lt;Q14,0,T11-Q14))</f>
        <v>#DIV/0!</v>
      </c>
      <c r="U15" s="331" t="e">
        <f t="shared" si="2"/>
        <v>#DIV/0!</v>
      </c>
      <c r="V15" s="331" t="e">
        <f>V14+U15</f>
        <v>#DIV/0!</v>
      </c>
      <c r="W15" s="331"/>
      <c r="X15" s="34"/>
      <c r="Y15" s="34"/>
      <c r="Z15" s="34"/>
      <c r="AA15" s="34"/>
      <c r="AB15" s="34"/>
    </row>
    <row r="16" spans="1:38" x14ac:dyDescent="0.2">
      <c r="B16" s="1129" t="s">
        <v>656</v>
      </c>
      <c r="C16" s="1053"/>
      <c r="D16" s="345">
        <f>IF(D15&lt;=3,0,IF(D15&lt;=7,1,IF(D15&lt;=11,2,IF(D15&lt;=15,3,IF(D15&lt;=19,4,IF(D15&lt;=23,5,IF(D15&lt;=99,6,0)))))))</f>
        <v>0</v>
      </c>
      <c r="E16" s="34"/>
      <c r="F16" s="34"/>
      <c r="G16" s="341">
        <f>G15+H16</f>
        <v>19980</v>
      </c>
      <c r="H16" s="341">
        <f>'[1]חישובי מיסוי פנסיה פתוחים'!B9</f>
        <v>5990</v>
      </c>
      <c r="I16" s="342">
        <f>'[1]חישובי מיסוי פנסיה פתוחים'!C9</f>
        <v>0.31</v>
      </c>
      <c r="J16" s="331" t="e">
        <f>IF(J11&gt;G16,H16,IF(J11&lt;G15,0,J11-G15))</f>
        <v>#DIV/0!</v>
      </c>
      <c r="K16" s="331" t="e">
        <f t="shared" si="0"/>
        <v>#DIV/0!</v>
      </c>
      <c r="L16" s="331" t="e">
        <f>L15+K16</f>
        <v>#DIV/0!</v>
      </c>
      <c r="M16" s="331"/>
      <c r="N16" s="34"/>
      <c r="O16" s="34"/>
      <c r="P16" s="34"/>
      <c r="Q16" s="341">
        <f>Q15+R16</f>
        <v>239760</v>
      </c>
      <c r="R16" s="341">
        <f>H16*12</f>
        <v>71880</v>
      </c>
      <c r="S16" s="342">
        <f t="shared" si="1"/>
        <v>0.31</v>
      </c>
      <c r="T16" s="331" t="e">
        <f>IF(T11&gt;Q16,R16,IF(T11&lt;Q15,0,T11-Q15))</f>
        <v>#DIV/0!</v>
      </c>
      <c r="U16" s="331" t="e">
        <f t="shared" si="2"/>
        <v>#DIV/0!</v>
      </c>
      <c r="V16" s="331" t="e">
        <f>V15+U16</f>
        <v>#DIV/0!</v>
      </c>
      <c r="W16" s="331"/>
      <c r="X16" s="34"/>
      <c r="Y16" s="34"/>
      <c r="Z16" s="34"/>
      <c r="AA16" s="34"/>
      <c r="AB16" s="34"/>
    </row>
    <row r="17" spans="2:28" x14ac:dyDescent="0.2">
      <c r="B17" s="34"/>
      <c r="C17" s="34"/>
      <c r="D17" s="34"/>
      <c r="E17" s="34"/>
      <c r="F17" s="34"/>
      <c r="G17" s="341">
        <f>G16+H17</f>
        <v>41790</v>
      </c>
      <c r="H17" s="341">
        <f>'[1]חישובי מיסוי פנסיה פתוחים'!B10</f>
        <v>21810</v>
      </c>
      <c r="I17" s="342">
        <f>'[1]חישובי מיסוי פנסיה פתוחים'!C10</f>
        <v>0.34</v>
      </c>
      <c r="J17" s="331" t="e">
        <f>IF(J11&gt;G17,H17,IF(J11&lt;G16,0,J11-G16))</f>
        <v>#DIV/0!</v>
      </c>
      <c r="K17" s="331" t="e">
        <f t="shared" si="0"/>
        <v>#DIV/0!</v>
      </c>
      <c r="L17" s="331" t="e">
        <f>L16+K17</f>
        <v>#DIV/0!</v>
      </c>
      <c r="M17" s="331"/>
      <c r="N17" s="34"/>
      <c r="O17" s="34"/>
      <c r="P17" s="34"/>
      <c r="Q17" s="341">
        <f>Q16+R17</f>
        <v>501480</v>
      </c>
      <c r="R17" s="341">
        <f>H17*12</f>
        <v>261720</v>
      </c>
      <c r="S17" s="342">
        <f t="shared" si="1"/>
        <v>0.34</v>
      </c>
      <c r="T17" s="331" t="e">
        <f>IF(T11&gt;Q17,R17,IF(T11&lt;Q16,0,T11-Q16))</f>
        <v>#DIV/0!</v>
      </c>
      <c r="U17" s="331" t="e">
        <f t="shared" si="2"/>
        <v>#DIV/0!</v>
      </c>
      <c r="V17" s="331" t="e">
        <f>V16+U17</f>
        <v>#DIV/0!</v>
      </c>
      <c r="W17" s="331"/>
      <c r="X17" s="34"/>
      <c r="Y17" s="34"/>
      <c r="Z17" s="34"/>
      <c r="AA17" s="34"/>
      <c r="AB17" s="34"/>
    </row>
    <row r="18" spans="2:28" x14ac:dyDescent="0.2">
      <c r="B18" s="1129" t="s">
        <v>576</v>
      </c>
      <c r="C18" s="1053"/>
      <c r="D18" s="330">
        <v>0</v>
      </c>
      <c r="E18" s="34"/>
      <c r="F18" s="34"/>
      <c r="G18" s="341">
        <v>99999999</v>
      </c>
      <c r="H18" s="341" t="e">
        <f>IF(J11-G17&gt;=0,J11-G17,0)</f>
        <v>#DIV/0!</v>
      </c>
      <c r="I18" s="342">
        <f>'[1]חישובי מיסוי פנסיה פתוחים'!C11</f>
        <v>0.48</v>
      </c>
      <c r="J18" s="331" t="e">
        <f>IF(J11&gt;G18,H18,IF(J11&lt;G17,0,J11-G17))</f>
        <v>#DIV/0!</v>
      </c>
      <c r="K18" s="331" t="e">
        <f t="shared" si="0"/>
        <v>#DIV/0!</v>
      </c>
      <c r="L18" s="331" t="e">
        <f>L17+K18</f>
        <v>#DIV/0!</v>
      </c>
      <c r="M18" s="331"/>
      <c r="N18" s="34"/>
      <c r="O18" s="34"/>
      <c r="P18" s="34"/>
      <c r="Q18" s="341">
        <v>99999999</v>
      </c>
      <c r="R18" s="341" t="e">
        <f>IF(T11-Q17&gt;=0,T11-Q17,0)</f>
        <v>#DIV/0!</v>
      </c>
      <c r="S18" s="342">
        <f t="shared" si="1"/>
        <v>0.48</v>
      </c>
      <c r="T18" s="331" t="e">
        <f>IF(T11&gt;Q18,R18,IF(T11&lt;Q17,0,T11-Q17))</f>
        <v>#DIV/0!</v>
      </c>
      <c r="U18" s="331" t="e">
        <f t="shared" si="2"/>
        <v>#DIV/0!</v>
      </c>
      <c r="V18" s="331" t="e">
        <f>V17+U18</f>
        <v>#DIV/0!</v>
      </c>
      <c r="W18" s="331"/>
      <c r="X18" s="34"/>
      <c r="Y18" s="34"/>
      <c r="Z18" s="34"/>
      <c r="AA18" s="34"/>
      <c r="AB18" s="34"/>
    </row>
    <row r="19" spans="2:28" ht="25.5" x14ac:dyDescent="0.2">
      <c r="B19" s="34" t="s">
        <v>370</v>
      </c>
      <c r="C19" s="34" t="s">
        <v>376</v>
      </c>
      <c r="D19" s="34" t="s">
        <v>382</v>
      </c>
      <c r="E19" s="346"/>
      <c r="F19" s="34"/>
      <c r="G19" s="331"/>
      <c r="H19" s="331"/>
      <c r="I19" s="331"/>
      <c r="J19" s="331"/>
      <c r="K19" s="331"/>
      <c r="L19" s="331"/>
      <c r="M19" s="331" t="s">
        <v>635</v>
      </c>
      <c r="N19" s="331" t="e">
        <f>IF(L18-'[1]נתוני יסוד'!L2&gt;=0,L18-'[1]נתוני יסוד'!L2,0)</f>
        <v>#DIV/0!</v>
      </c>
      <c r="O19" s="34"/>
      <c r="P19" s="34"/>
      <c r="Q19" s="331"/>
      <c r="R19" s="331"/>
      <c r="S19" s="331"/>
      <c r="T19" s="331"/>
      <c r="U19" s="331"/>
      <c r="V19" s="331"/>
      <c r="W19" s="331" t="s">
        <v>635</v>
      </c>
      <c r="X19" s="331" t="e">
        <f>IF(V18-'[1]נתוני יסוד'!L1&gt;=0,V18-'[1]נתוני יסוד'!L1,0)</f>
        <v>#DIV/0!</v>
      </c>
      <c r="Y19" s="34"/>
      <c r="Z19" s="34"/>
      <c r="AA19" s="34"/>
      <c r="AB19" s="34"/>
    </row>
    <row r="20" spans="2:28" x14ac:dyDescent="0.2">
      <c r="B20" s="64">
        <f>'[1]פיצויים פטורים והוני'!B21</f>
        <v>7200</v>
      </c>
      <c r="C20" s="64">
        <f>'[1]פיצויים פטורים והוני'!C21</f>
        <v>7400</v>
      </c>
      <c r="D20" s="55">
        <f>MINA(D11*35%,'[1]נתוני יסוד'!I4)</f>
        <v>0</v>
      </c>
      <c r="E20" s="34"/>
      <c r="F20" s="34"/>
      <c r="G20" s="34"/>
      <c r="H20" s="34"/>
      <c r="I20" s="34"/>
      <c r="J20" s="34"/>
      <c r="K20" s="34"/>
      <c r="L20" s="34"/>
      <c r="M20" s="34" t="s">
        <v>586</v>
      </c>
      <c r="N20" s="331" t="e">
        <f>H11+G11-N19</f>
        <v>#DIV/0!</v>
      </c>
      <c r="O20" s="34"/>
      <c r="P20" s="34"/>
      <c r="Q20" s="34"/>
      <c r="R20" s="34"/>
      <c r="S20" s="34"/>
      <c r="T20" s="34"/>
      <c r="U20" s="34"/>
      <c r="V20" s="34"/>
      <c r="W20" s="34" t="s">
        <v>586</v>
      </c>
      <c r="X20" s="331" t="e">
        <f>R11+Q11-X19</f>
        <v>#DIV/0!</v>
      </c>
      <c r="Y20" s="34"/>
      <c r="Z20" s="34"/>
      <c r="AA20" s="34"/>
      <c r="AB20" s="34"/>
    </row>
    <row r="21" spans="2:28" x14ac:dyDescent="0.2">
      <c r="B21" s="37"/>
      <c r="C21" s="218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</row>
    <row r="22" spans="2:28" ht="33" x14ac:dyDescent="0.2">
      <c r="B22" s="1129" t="s">
        <v>657</v>
      </c>
      <c r="C22" s="1053"/>
      <c r="D22" s="347">
        <f>IF(H2=1,((D12-D18)/6)*5,D12-D18)</f>
        <v>0</v>
      </c>
      <c r="E22" s="34"/>
      <c r="F22" s="34"/>
      <c r="G22" s="1143" t="s">
        <v>658</v>
      </c>
      <c r="H22" s="1144"/>
      <c r="I22" s="1144"/>
      <c r="J22" s="1145"/>
      <c r="K22" s="34"/>
      <c r="L22" s="34"/>
      <c r="M22" s="34"/>
      <c r="N22" s="34"/>
      <c r="O22" s="34"/>
      <c r="P22" s="34"/>
      <c r="Q22" s="1146" t="s">
        <v>658</v>
      </c>
      <c r="R22" s="1146"/>
      <c r="S22" s="34"/>
      <c r="T22" s="34"/>
      <c r="U22" s="34"/>
      <c r="V22" s="34"/>
      <c r="W22" s="34"/>
      <c r="X22" s="34"/>
      <c r="Y22" s="34"/>
      <c r="Z22" s="34"/>
      <c r="AA22" s="34"/>
      <c r="AB22" s="34"/>
    </row>
    <row r="23" spans="2:28" x14ac:dyDescent="0.2">
      <c r="B23" s="1147" t="s">
        <v>659</v>
      </c>
      <c r="C23" s="1148"/>
      <c r="D23" s="348">
        <f>IF(H2=1,D16-1,D16)</f>
        <v>0</v>
      </c>
      <c r="E23" s="34"/>
      <c r="F23" s="34"/>
      <c r="G23" s="34"/>
      <c r="H23" s="34" t="s">
        <v>163</v>
      </c>
      <c r="I23" s="65">
        <v>67</v>
      </c>
      <c r="J23" s="1140" t="s">
        <v>433</v>
      </c>
      <c r="K23" s="1140"/>
      <c r="L23" s="65">
        <v>90</v>
      </c>
      <c r="M23" s="34" t="s">
        <v>231</v>
      </c>
      <c r="N23" s="82">
        <v>3</v>
      </c>
      <c r="O23" s="34"/>
      <c r="P23" s="34"/>
      <c r="Q23" s="34"/>
      <c r="R23" s="34" t="s">
        <v>163</v>
      </c>
      <c r="S23" s="65">
        <v>67</v>
      </c>
      <c r="T23" s="1140" t="s">
        <v>433</v>
      </c>
      <c r="U23" s="1140"/>
      <c r="V23" s="65">
        <v>90</v>
      </c>
      <c r="W23" s="34" t="s">
        <v>231</v>
      </c>
      <c r="X23" s="82">
        <v>3</v>
      </c>
      <c r="Y23" s="34"/>
      <c r="Z23" s="34"/>
      <c r="AA23" s="34"/>
      <c r="AB23" s="34"/>
    </row>
    <row r="24" spans="2:28" x14ac:dyDescent="0.2">
      <c r="B24" s="104"/>
      <c r="C24" s="104"/>
      <c r="D24" s="10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</row>
    <row r="25" spans="2:28" x14ac:dyDescent="0.2">
      <c r="B25" s="104"/>
      <c r="C25" s="104"/>
      <c r="D25" s="104"/>
      <c r="E25" s="34"/>
      <c r="F25" s="34"/>
      <c r="G25" s="34"/>
      <c r="H25" s="34" t="s">
        <v>245</v>
      </c>
      <c r="I25" s="1141" t="e">
        <f>PV(N23/100/12,(L23-I23)*12,N20,,1)*(-1)</f>
        <v>#DIV/0!</v>
      </c>
      <c r="J25" s="1141"/>
      <c r="K25" s="34"/>
      <c r="L25" s="34"/>
      <c r="M25" s="34"/>
      <c r="N25" s="34"/>
      <c r="O25" s="34"/>
      <c r="P25" s="34"/>
      <c r="Q25" s="34"/>
      <c r="R25" s="34" t="s">
        <v>245</v>
      </c>
      <c r="S25" s="1141" t="e">
        <f>PV(X23/100,(V23-S23),X20,,1)*(-1)</f>
        <v>#DIV/0!</v>
      </c>
      <c r="T25" s="1141"/>
      <c r="U25" s="34"/>
      <c r="V25" s="34"/>
      <c r="W25" s="34"/>
      <c r="X25" s="34"/>
      <c r="Y25" s="34"/>
      <c r="Z25" s="34"/>
      <c r="AA25" s="34"/>
      <c r="AB25" s="34"/>
    </row>
    <row r="26" spans="2:28" x14ac:dyDescent="0.2">
      <c r="B26" s="104"/>
      <c r="C26" s="104"/>
      <c r="D26" s="10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</row>
    <row r="27" spans="2:28" x14ac:dyDescent="0.2">
      <c r="B27" s="104"/>
      <c r="C27" s="104"/>
      <c r="D27" s="104"/>
      <c r="E27" s="34"/>
      <c r="F27" s="34"/>
      <c r="G27" s="1140" t="s">
        <v>660</v>
      </c>
      <c r="H27" s="1140"/>
      <c r="I27" s="1141">
        <f>PV(N23/100/12,(L23-I23)*12,I11,,1)*(-1)</f>
        <v>0</v>
      </c>
      <c r="J27" s="1141"/>
      <c r="K27" s="34"/>
      <c r="L27" s="34"/>
      <c r="M27" s="34"/>
      <c r="N27" s="34"/>
      <c r="O27" s="34"/>
      <c r="P27" s="34"/>
      <c r="Q27" s="1140" t="s">
        <v>660</v>
      </c>
      <c r="R27" s="1140"/>
      <c r="S27" s="1141">
        <f>PV(X23/100,(V23-S23),S11,,1)*(-1)</f>
        <v>0</v>
      </c>
      <c r="T27" s="1141"/>
      <c r="U27" s="34"/>
      <c r="V27" s="34"/>
      <c r="W27" s="34"/>
      <c r="X27" s="34"/>
      <c r="Y27" s="34"/>
      <c r="Z27" s="34"/>
      <c r="AA27" s="34"/>
      <c r="AB27" s="34"/>
    </row>
    <row r="28" spans="2:28" x14ac:dyDescent="0.2"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</row>
    <row r="29" spans="2:28" x14ac:dyDescent="0.2"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</row>
    <row r="30" spans="2:28" ht="20.25" customHeight="1" x14ac:dyDescent="0.2">
      <c r="B30" s="1129" t="s">
        <v>269</v>
      </c>
      <c r="C30" s="1053"/>
      <c r="D30" s="380">
        <f>D12</f>
        <v>0</v>
      </c>
      <c r="E30" s="34"/>
      <c r="F30" s="331"/>
      <c r="G30" s="356"/>
      <c r="H30" s="357"/>
      <c r="I30" s="358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</row>
    <row r="31" spans="2:28" ht="20.100000000000001" customHeight="1" x14ac:dyDescent="0.2">
      <c r="B31" s="1129" t="s">
        <v>661</v>
      </c>
      <c r="C31" s="1053"/>
      <c r="D31" s="380">
        <f>D18</f>
        <v>0</v>
      </c>
      <c r="E31" s="34"/>
      <c r="F31" s="34"/>
      <c r="G31" s="359"/>
      <c r="H31" s="360"/>
      <c r="I31" s="361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</row>
    <row r="32" spans="2:28" ht="20.100000000000001" customHeight="1" thickBot="1" x14ac:dyDescent="0.25">
      <c r="B32" s="1129" t="s">
        <v>662</v>
      </c>
      <c r="C32" s="1053"/>
      <c r="D32" s="381">
        <v>0</v>
      </c>
      <c r="E32" s="34"/>
      <c r="F32" s="34"/>
      <c r="G32" s="359"/>
      <c r="H32" s="360"/>
      <c r="I32" s="361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</row>
    <row r="33" spans="2:38" ht="20.100000000000001" customHeight="1" x14ac:dyDescent="0.2">
      <c r="B33" s="1129" t="s">
        <v>663</v>
      </c>
      <c r="C33" s="1053"/>
      <c r="D33" s="382">
        <f>D30-D31-D32</f>
        <v>0</v>
      </c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</row>
    <row r="34" spans="2:38" ht="30.75" customHeight="1" x14ac:dyDescent="0.2">
      <c r="B34" s="1129" t="s">
        <v>664</v>
      </c>
      <c r="C34" s="1053"/>
      <c r="D34" s="380" t="e">
        <f>IF(H2=1,((X19-X56)*D23)+(Q11*50/100),(X19-X56)*D23)</f>
        <v>#DIV/0!</v>
      </c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</row>
    <row r="35" spans="2:38" ht="24.95" customHeight="1" x14ac:dyDescent="0.2">
      <c r="B35" s="1129" t="s">
        <v>625</v>
      </c>
      <c r="C35" s="1053"/>
      <c r="D35" s="375" t="e">
        <f>D30-D32-D34</f>
        <v>#DIV/0!</v>
      </c>
      <c r="E35" s="346" t="e">
        <f>D31+D33-D34</f>
        <v>#DIV/0!</v>
      </c>
      <c r="F35" s="34"/>
      <c r="G35" s="34" t="str">
        <f>M57</f>
        <v>פנסיה נטו</v>
      </c>
      <c r="H35" s="406">
        <f>N57</f>
        <v>0</v>
      </c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</row>
    <row r="36" spans="2:38" x14ac:dyDescent="0.2"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</row>
    <row r="37" spans="2:38" x14ac:dyDescent="0.2"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</row>
    <row r="38" spans="2:38" x14ac:dyDescent="0.2"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</row>
    <row r="39" spans="2:38" x14ac:dyDescent="0.2"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</row>
    <row r="40" spans="2:38" x14ac:dyDescent="0.2"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</row>
    <row r="41" spans="2:38" x14ac:dyDescent="0.2"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</row>
    <row r="42" spans="2:38" x14ac:dyDescent="0.2"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</row>
    <row r="43" spans="2:38" x14ac:dyDescent="0.2"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</row>
    <row r="44" spans="2:38" ht="26.25" customHeight="1" x14ac:dyDescent="0.2">
      <c r="B44" s="1149" t="s">
        <v>696</v>
      </c>
      <c r="C44" s="1150"/>
      <c r="D44" s="1150"/>
      <c r="E44" s="1150"/>
      <c r="F44" s="1150"/>
      <c r="G44" s="1150"/>
      <c r="H44" s="1150"/>
      <c r="I44" s="1150"/>
      <c r="J44" s="1150"/>
      <c r="K44" s="1151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</row>
    <row r="45" spans="2:38" ht="26.25" customHeight="1" x14ac:dyDescent="0.2">
      <c r="B45" s="34"/>
      <c r="C45" s="34"/>
      <c r="D45" s="34"/>
      <c r="E45" s="34"/>
      <c r="F45" s="34"/>
      <c r="G45" s="1134" t="s">
        <v>697</v>
      </c>
      <c r="H45" s="1135"/>
      <c r="I45" s="1135"/>
      <c r="J45" s="1135"/>
      <c r="K45" s="1136"/>
      <c r="L45" s="34"/>
      <c r="M45" s="34"/>
      <c r="N45" s="34"/>
      <c r="O45" s="34"/>
      <c r="P45" s="34"/>
      <c r="Q45" s="1152" t="s">
        <v>698</v>
      </c>
      <c r="R45" s="1153"/>
      <c r="S45" s="1153"/>
      <c r="T45" s="1153"/>
      <c r="U45" s="115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</row>
    <row r="46" spans="2:38" ht="25.5" x14ac:dyDescent="0.2">
      <c r="B46" s="34"/>
      <c r="C46" s="34"/>
      <c r="D46" s="34"/>
      <c r="E46" s="34"/>
      <c r="F46" s="34"/>
      <c r="G46" s="34" t="s">
        <v>650</v>
      </c>
      <c r="H46" s="34" t="s">
        <v>636</v>
      </c>
      <c r="I46" s="330" t="s">
        <v>637</v>
      </c>
      <c r="J46" s="34" t="s">
        <v>638</v>
      </c>
      <c r="K46" s="34"/>
      <c r="L46" s="34"/>
      <c r="M46" s="34"/>
      <c r="N46" s="34"/>
      <c r="O46" s="34"/>
      <c r="P46" s="34"/>
      <c r="Q46" s="34" t="s">
        <v>651</v>
      </c>
      <c r="R46" s="34" t="s">
        <v>639</v>
      </c>
      <c r="S46" s="330" t="s">
        <v>640</v>
      </c>
      <c r="T46" s="34" t="s">
        <v>641</v>
      </c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</row>
    <row r="47" spans="2:38" ht="12.75" customHeight="1" x14ac:dyDescent="0.2">
      <c r="B47" s="34"/>
      <c r="C47" s="34"/>
      <c r="D47" s="34"/>
      <c r="E47" s="34"/>
      <c r="F47" s="34"/>
      <c r="G47" s="350" t="s">
        <v>667</v>
      </c>
      <c r="H47" s="76">
        <f>H11</f>
        <v>0</v>
      </c>
      <c r="I47" s="339">
        <f>D20+K4</f>
        <v>0</v>
      </c>
      <c r="J47" s="338">
        <f>H47-I47</f>
        <v>0</v>
      </c>
      <c r="K47" s="331"/>
      <c r="L47" s="331"/>
      <c r="M47" s="331"/>
      <c r="N47" s="34"/>
      <c r="O47" s="34"/>
      <c r="P47" s="34"/>
      <c r="Q47" s="76" t="s">
        <v>667</v>
      </c>
      <c r="R47" s="76">
        <f>H47*12</f>
        <v>0</v>
      </c>
      <c r="S47" s="76">
        <f>I47*12</f>
        <v>0</v>
      </c>
      <c r="T47" s="76">
        <f>R47-S47</f>
        <v>0</v>
      </c>
      <c r="U47" s="331"/>
      <c r="V47" s="331"/>
      <c r="W47" s="331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</row>
    <row r="48" spans="2:38" x14ac:dyDescent="0.2">
      <c r="B48" s="34"/>
      <c r="C48" s="34"/>
      <c r="D48" s="34"/>
      <c r="E48" s="34"/>
      <c r="F48" s="34"/>
      <c r="G48" s="331"/>
      <c r="H48" s="331"/>
      <c r="I48" s="331"/>
      <c r="J48" s="331"/>
      <c r="K48" s="331"/>
      <c r="L48" s="331"/>
      <c r="M48" s="331"/>
      <c r="N48" s="34"/>
      <c r="O48" s="34"/>
      <c r="P48" s="34"/>
      <c r="Q48" s="331"/>
      <c r="R48" s="331"/>
      <c r="S48" s="331"/>
      <c r="T48" s="331"/>
      <c r="U48" s="331"/>
      <c r="V48" s="331"/>
      <c r="W48" s="331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</row>
    <row r="49" spans="2:38" ht="12.75" customHeight="1" x14ac:dyDescent="0.2">
      <c r="B49" s="34"/>
      <c r="C49" s="34"/>
      <c r="D49" s="34"/>
      <c r="E49" s="34"/>
      <c r="F49" s="34"/>
      <c r="G49" s="331" t="s">
        <v>631</v>
      </c>
      <c r="H49" s="331" t="s">
        <v>632</v>
      </c>
      <c r="I49" s="331" t="s">
        <v>542</v>
      </c>
      <c r="J49" s="331" t="s">
        <v>632</v>
      </c>
      <c r="K49" s="331" t="s">
        <v>633</v>
      </c>
      <c r="L49" s="331" t="s">
        <v>634</v>
      </c>
      <c r="M49" s="331"/>
      <c r="N49" s="34"/>
      <c r="O49" s="34"/>
      <c r="P49" s="34"/>
      <c r="Q49" s="331" t="s">
        <v>631</v>
      </c>
      <c r="R49" s="331" t="s">
        <v>632</v>
      </c>
      <c r="S49" s="331" t="s">
        <v>542</v>
      </c>
      <c r="T49" s="331" t="s">
        <v>632</v>
      </c>
      <c r="U49" s="331" t="s">
        <v>633</v>
      </c>
      <c r="V49" s="331" t="s">
        <v>634</v>
      </c>
      <c r="W49" s="331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</row>
    <row r="50" spans="2:38" x14ac:dyDescent="0.2">
      <c r="F50" s="34"/>
      <c r="G50" s="341">
        <f>H50</f>
        <v>5270</v>
      </c>
      <c r="H50" s="341">
        <f t="shared" ref="H50:I54" si="3">H13</f>
        <v>5270</v>
      </c>
      <c r="I50" s="342">
        <f t="shared" si="3"/>
        <v>0.1</v>
      </c>
      <c r="J50" s="331">
        <f>IF(J47&gt;G50,H50,J47)</f>
        <v>0</v>
      </c>
      <c r="K50" s="331">
        <f t="shared" ref="K50:K55" si="4">J50*I50</f>
        <v>0</v>
      </c>
      <c r="L50" s="331">
        <f>K50</f>
        <v>0</v>
      </c>
      <c r="M50" s="331"/>
      <c r="N50" s="34"/>
      <c r="O50" s="34"/>
      <c r="P50" s="34"/>
      <c r="Q50" s="341">
        <f>R50</f>
        <v>63240</v>
      </c>
      <c r="R50" s="341">
        <f>H50*12</f>
        <v>63240</v>
      </c>
      <c r="S50" s="342">
        <f t="shared" ref="S50:S55" si="5">I13</f>
        <v>0.1</v>
      </c>
      <c r="T50" s="331">
        <f>IF(T47&gt;Q50,R50,T47)</f>
        <v>0</v>
      </c>
      <c r="U50" s="331">
        <f t="shared" ref="U50:U55" si="6">T50*S50</f>
        <v>0</v>
      </c>
      <c r="V50" s="331">
        <f>U50</f>
        <v>0</v>
      </c>
      <c r="W50" s="331"/>
      <c r="X50" s="34"/>
    </row>
    <row r="51" spans="2:38" x14ac:dyDescent="0.2">
      <c r="F51" s="34"/>
      <c r="G51" s="341">
        <f>G50+H51</f>
        <v>9000</v>
      </c>
      <c r="H51" s="341">
        <f t="shared" si="3"/>
        <v>3730</v>
      </c>
      <c r="I51" s="342">
        <f t="shared" si="3"/>
        <v>0.14000000000000001</v>
      </c>
      <c r="J51" s="331">
        <f>IF(J47&gt;G51,H51,IF(J47&lt;G50,0,J47-G50))</f>
        <v>0</v>
      </c>
      <c r="K51" s="331">
        <f t="shared" si="4"/>
        <v>0</v>
      </c>
      <c r="L51" s="331">
        <f>L50+K51</f>
        <v>0</v>
      </c>
      <c r="M51" s="331"/>
      <c r="N51" s="34"/>
      <c r="O51" s="34"/>
      <c r="P51" s="34"/>
      <c r="Q51" s="341">
        <f>Q50+R51</f>
        <v>108000</v>
      </c>
      <c r="R51" s="341">
        <f>H51*12</f>
        <v>44760</v>
      </c>
      <c r="S51" s="342">
        <f t="shared" si="5"/>
        <v>0.14000000000000001</v>
      </c>
      <c r="T51" s="331">
        <f>IF(T47&gt;Q51,R51,IF(T47&lt;Q50,0,T47-Q50))</f>
        <v>0</v>
      </c>
      <c r="U51" s="331">
        <f t="shared" si="6"/>
        <v>0</v>
      </c>
      <c r="V51" s="331">
        <f>V50+U51</f>
        <v>0</v>
      </c>
      <c r="W51" s="331"/>
      <c r="X51" s="34"/>
    </row>
    <row r="52" spans="2:38" x14ac:dyDescent="0.2">
      <c r="F52" s="34"/>
      <c r="G52" s="341">
        <f>G51+H52</f>
        <v>13990</v>
      </c>
      <c r="H52" s="341">
        <f t="shared" si="3"/>
        <v>4990</v>
      </c>
      <c r="I52" s="342">
        <f t="shared" si="3"/>
        <v>0.21</v>
      </c>
      <c r="J52" s="331">
        <f>IF(J47&gt;G52,H52,IF(J47&lt;G51,0,J47-G51))</f>
        <v>0</v>
      </c>
      <c r="K52" s="331">
        <f t="shared" si="4"/>
        <v>0</v>
      </c>
      <c r="L52" s="331">
        <f>L51+K52</f>
        <v>0</v>
      </c>
      <c r="M52" s="331"/>
      <c r="N52" s="34"/>
      <c r="O52" s="34"/>
      <c r="P52" s="34"/>
      <c r="Q52" s="341">
        <f>Q51+R52</f>
        <v>167880</v>
      </c>
      <c r="R52" s="341">
        <f>H52*12</f>
        <v>59880</v>
      </c>
      <c r="S52" s="342">
        <f t="shared" si="5"/>
        <v>0.21</v>
      </c>
      <c r="T52" s="331">
        <f>IF(T47&gt;Q52,R52,IF(T47&lt;Q51,0,T47-Q51))</f>
        <v>0</v>
      </c>
      <c r="U52" s="331">
        <f t="shared" si="6"/>
        <v>0</v>
      </c>
      <c r="V52" s="331">
        <f>V51+U52</f>
        <v>0</v>
      </c>
      <c r="W52" s="331"/>
      <c r="X52" s="34"/>
    </row>
    <row r="53" spans="2:38" x14ac:dyDescent="0.2">
      <c r="F53" s="34"/>
      <c r="G53" s="341">
        <f>G52+H53</f>
        <v>19980</v>
      </c>
      <c r="H53" s="341">
        <f t="shared" si="3"/>
        <v>5990</v>
      </c>
      <c r="I53" s="342">
        <f t="shared" si="3"/>
        <v>0.31</v>
      </c>
      <c r="J53" s="331">
        <f>IF(J47&gt;G53,H53,IF(J47&lt;G52,0,J47-G52))</f>
        <v>0</v>
      </c>
      <c r="K53" s="331">
        <f t="shared" si="4"/>
        <v>0</v>
      </c>
      <c r="L53" s="331">
        <f>L52+K53</f>
        <v>0</v>
      </c>
      <c r="M53" s="331"/>
      <c r="N53" s="34"/>
      <c r="O53" s="34"/>
      <c r="P53" s="34"/>
      <c r="Q53" s="341">
        <f>Q52+R53</f>
        <v>239760</v>
      </c>
      <c r="R53" s="341">
        <f>H53*12</f>
        <v>71880</v>
      </c>
      <c r="S53" s="342">
        <f t="shared" si="5"/>
        <v>0.31</v>
      </c>
      <c r="T53" s="331">
        <f>IF(T47&gt;Q53,R53,IF(T47&lt;Q52,0,T47-Q52))</f>
        <v>0</v>
      </c>
      <c r="U53" s="331">
        <f t="shared" si="6"/>
        <v>0</v>
      </c>
      <c r="V53" s="331">
        <f>V52+U53</f>
        <v>0</v>
      </c>
      <c r="W53" s="331"/>
      <c r="X53" s="34"/>
    </row>
    <row r="54" spans="2:38" x14ac:dyDescent="0.2">
      <c r="F54" s="34"/>
      <c r="G54" s="341">
        <f>G53+H54</f>
        <v>41790</v>
      </c>
      <c r="H54" s="341">
        <f t="shared" si="3"/>
        <v>21810</v>
      </c>
      <c r="I54" s="342">
        <f t="shared" si="3"/>
        <v>0.34</v>
      </c>
      <c r="J54" s="331">
        <f>IF(J47&gt;G54,H54,IF(J47&lt;G53,0,J47-G53))</f>
        <v>0</v>
      </c>
      <c r="K54" s="331">
        <f t="shared" si="4"/>
        <v>0</v>
      </c>
      <c r="L54" s="331">
        <f>L53+K54</f>
        <v>0</v>
      </c>
      <c r="M54" s="331"/>
      <c r="N54" s="34"/>
      <c r="O54" s="34"/>
      <c r="P54" s="34"/>
      <c r="Q54" s="341">
        <f>Q53+R54</f>
        <v>501480</v>
      </c>
      <c r="R54" s="341">
        <f>H54*12</f>
        <v>261720</v>
      </c>
      <c r="S54" s="342">
        <f t="shared" si="5"/>
        <v>0.34</v>
      </c>
      <c r="T54" s="331">
        <f>IF(T47&gt;Q54,R54,IF(T47&lt;Q53,0,T47-Q53))</f>
        <v>0</v>
      </c>
      <c r="U54" s="331">
        <f t="shared" si="6"/>
        <v>0</v>
      </c>
      <c r="V54" s="331">
        <f>V53+U54</f>
        <v>0</v>
      </c>
      <c r="W54" s="331"/>
      <c r="X54" s="34"/>
    </row>
    <row r="55" spans="2:38" x14ac:dyDescent="0.2">
      <c r="F55" s="34"/>
      <c r="G55" s="341">
        <v>99999999</v>
      </c>
      <c r="H55" s="341">
        <f>IF(J47-G54&gt;=0,J47-G54,0)</f>
        <v>0</v>
      </c>
      <c r="I55" s="342">
        <f>I18</f>
        <v>0.48</v>
      </c>
      <c r="J55" s="331">
        <f>IF(J47&gt;G55,H55,IF(J47&lt;G54,0,J47-G54))</f>
        <v>0</v>
      </c>
      <c r="K55" s="331">
        <f t="shared" si="4"/>
        <v>0</v>
      </c>
      <c r="L55" s="331">
        <f>L54+K55</f>
        <v>0</v>
      </c>
      <c r="M55" s="331"/>
      <c r="N55" s="34"/>
      <c r="O55" s="34"/>
      <c r="P55" s="34"/>
      <c r="Q55" s="341">
        <v>99999999</v>
      </c>
      <c r="R55" s="341">
        <f>IF(T47-Q54&gt;=0,T47-Q54,0)</f>
        <v>0</v>
      </c>
      <c r="S55" s="342">
        <f t="shared" si="5"/>
        <v>0.48</v>
      </c>
      <c r="T55" s="331">
        <f>IF(T47&gt;Q55,R55,IF(T47&lt;Q54,0,T47-Q54))</f>
        <v>0</v>
      </c>
      <c r="U55" s="331">
        <f t="shared" si="6"/>
        <v>0</v>
      </c>
      <c r="V55" s="331">
        <f>V54+U55</f>
        <v>0</v>
      </c>
      <c r="W55" s="331"/>
      <c r="X55" s="34"/>
    </row>
    <row r="56" spans="2:38" ht="25.5" x14ac:dyDescent="0.2">
      <c r="F56" s="34"/>
      <c r="G56" s="331"/>
      <c r="H56" s="331"/>
      <c r="I56" s="331"/>
      <c r="J56" s="331"/>
      <c r="K56" s="331"/>
      <c r="L56" s="331"/>
      <c r="M56" s="331" t="s">
        <v>635</v>
      </c>
      <c r="N56" s="331">
        <f>IF(L55-'[1]נתוני יסוד'!L2&gt;=0,L55-'[1]נתוני יסוד'!L2,0)</f>
        <v>0</v>
      </c>
      <c r="O56" s="34"/>
      <c r="P56" s="34"/>
      <c r="Q56" s="331"/>
      <c r="R56" s="331"/>
      <c r="S56" s="331"/>
      <c r="T56" s="331"/>
      <c r="U56" s="331"/>
      <c r="V56" s="331"/>
      <c r="W56" s="331" t="s">
        <v>635</v>
      </c>
      <c r="X56" s="331">
        <f>IF(V55-'[1]נתוני יסוד'!L1&gt;=0,V55-'[1]נתוני יסוד'!L1,0)</f>
        <v>0</v>
      </c>
    </row>
    <row r="57" spans="2:38" ht="27" customHeight="1" x14ac:dyDescent="0.2">
      <c r="F57" s="34"/>
      <c r="G57" s="34" t="s">
        <v>699</v>
      </c>
      <c r="H57" s="76">
        <f>J47-N56</f>
        <v>0</v>
      </c>
      <c r="I57" s="34" t="s">
        <v>700</v>
      </c>
      <c r="J57" s="76">
        <f>I47</f>
        <v>0</v>
      </c>
      <c r="K57" s="323" t="s">
        <v>701</v>
      </c>
      <c r="L57" s="407" t="s">
        <v>628</v>
      </c>
      <c r="M57" s="34" t="s">
        <v>586</v>
      </c>
      <c r="N57" s="355">
        <f>H47-N56</f>
        <v>0</v>
      </c>
      <c r="O57" s="34"/>
      <c r="P57" s="34"/>
      <c r="Q57" s="34"/>
      <c r="R57" s="34"/>
      <c r="S57" s="34"/>
      <c r="T57" s="34"/>
      <c r="U57" s="34"/>
      <c r="V57" s="34"/>
      <c r="W57" s="34" t="s">
        <v>586</v>
      </c>
      <c r="X57" s="331">
        <f>R47-X56</f>
        <v>0</v>
      </c>
    </row>
    <row r="58" spans="2:38" x14ac:dyDescent="0.2"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</row>
    <row r="59" spans="2:38" ht="33" x14ac:dyDescent="0.2">
      <c r="F59" s="34"/>
      <c r="G59" s="1143" t="s">
        <v>658</v>
      </c>
      <c r="H59" s="1144"/>
      <c r="I59" s="1144"/>
      <c r="J59" s="1145"/>
      <c r="K59" s="34"/>
      <c r="L59" s="34"/>
      <c r="M59" s="34"/>
      <c r="N59" s="34"/>
      <c r="O59" s="34"/>
      <c r="P59" s="34"/>
      <c r="Q59" s="1146" t="s">
        <v>658</v>
      </c>
      <c r="R59" s="1146"/>
      <c r="S59" s="34"/>
      <c r="T59" s="34"/>
      <c r="U59" s="34"/>
      <c r="V59" s="34"/>
      <c r="W59" s="34"/>
      <c r="X59" s="34"/>
    </row>
    <row r="60" spans="2:38" x14ac:dyDescent="0.2">
      <c r="F60" s="34"/>
      <c r="G60" s="34"/>
      <c r="H60" s="34" t="s">
        <v>163</v>
      </c>
      <c r="I60" s="65">
        <v>68</v>
      </c>
      <c r="J60" s="1140" t="s">
        <v>433</v>
      </c>
      <c r="K60" s="1140"/>
      <c r="L60" s="65">
        <v>120</v>
      </c>
      <c r="M60" s="34" t="s">
        <v>231</v>
      </c>
      <c r="N60" s="82">
        <v>3.5</v>
      </c>
      <c r="O60" s="34"/>
      <c r="P60" s="34"/>
      <c r="Q60" s="34"/>
      <c r="R60" s="34" t="s">
        <v>163</v>
      </c>
      <c r="S60" s="65">
        <v>68</v>
      </c>
      <c r="T60" s="1140" t="s">
        <v>433</v>
      </c>
      <c r="U60" s="1140"/>
      <c r="V60" s="65">
        <v>120</v>
      </c>
      <c r="W60" s="34" t="s">
        <v>231</v>
      </c>
      <c r="X60" s="82">
        <v>3.5</v>
      </c>
    </row>
    <row r="61" spans="2:38" x14ac:dyDescent="0.2"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</row>
    <row r="62" spans="2:38" x14ac:dyDescent="0.2">
      <c r="F62" s="34"/>
      <c r="G62" s="34"/>
      <c r="H62" s="34" t="s">
        <v>245</v>
      </c>
      <c r="I62" s="1141">
        <f>PV(N60/100/12,(L60-I60)*12,N57,,1)*(-1)</f>
        <v>0</v>
      </c>
      <c r="J62" s="1141"/>
      <c r="K62" s="34"/>
      <c r="L62" s="34"/>
      <c r="M62" s="34"/>
      <c r="N62" s="34"/>
      <c r="O62" s="34"/>
      <c r="P62" s="34"/>
      <c r="Q62" s="34"/>
      <c r="R62" s="34" t="s">
        <v>245</v>
      </c>
      <c r="S62" s="1141">
        <f>PV(X60/100,(V60-S60),X57,,1)*(-1)</f>
        <v>0</v>
      </c>
      <c r="T62" s="1141"/>
      <c r="U62" s="34"/>
      <c r="V62" s="34"/>
      <c r="W62" s="34"/>
      <c r="X62" s="34"/>
    </row>
    <row r="63" spans="2:38" x14ac:dyDescent="0.2"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</row>
    <row r="64" spans="2:38" x14ac:dyDescent="0.2">
      <c r="F64" s="34"/>
      <c r="G64" s="1140" t="s">
        <v>660</v>
      </c>
      <c r="H64" s="1140"/>
      <c r="I64" s="1141">
        <f>PV(N60/100/12,(L60-I60)*12,I47,,1)*(-1)</f>
        <v>0</v>
      </c>
      <c r="J64" s="1141"/>
      <c r="K64" s="34"/>
      <c r="L64" s="34"/>
      <c r="M64" s="34"/>
      <c r="N64" s="34"/>
      <c r="O64" s="34"/>
      <c r="P64" s="34"/>
      <c r="Q64" s="1140" t="s">
        <v>660</v>
      </c>
      <c r="R64" s="1140"/>
      <c r="S64" s="1141">
        <f>PV(X60/100,(V60-S60),S47,,1)*(-1)</f>
        <v>0</v>
      </c>
      <c r="T64" s="1141"/>
      <c r="U64" s="34"/>
      <c r="V64" s="34"/>
      <c r="W64" s="34"/>
      <c r="X64" s="34"/>
    </row>
    <row r="65" spans="6:24" x14ac:dyDescent="0.2"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</row>
    <row r="66" spans="6:24" x14ac:dyDescent="0.2"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</row>
  </sheetData>
  <sheetProtection password="83F6" sheet="1" objects="1" scenarios="1" selectLockedCells="1" selectUnlockedCells="1"/>
  <mergeCells count="49">
    <mergeCell ref="I62:J62"/>
    <mergeCell ref="S62:T62"/>
    <mergeCell ref="G64:H64"/>
    <mergeCell ref="I64:J64"/>
    <mergeCell ref="Q64:R64"/>
    <mergeCell ref="S64:T64"/>
    <mergeCell ref="J60:K60"/>
    <mergeCell ref="T60:U60"/>
    <mergeCell ref="B30:C30"/>
    <mergeCell ref="B31:C31"/>
    <mergeCell ref="B32:C32"/>
    <mergeCell ref="B33:C33"/>
    <mergeCell ref="B34:C34"/>
    <mergeCell ref="B35:C35"/>
    <mergeCell ref="B44:K44"/>
    <mergeCell ref="G45:K45"/>
    <mergeCell ref="Q45:U45"/>
    <mergeCell ref="G59:J59"/>
    <mergeCell ref="Q59:R59"/>
    <mergeCell ref="I25:J25"/>
    <mergeCell ref="S25:T25"/>
    <mergeCell ref="G27:H27"/>
    <mergeCell ref="I27:J27"/>
    <mergeCell ref="Q27:R27"/>
    <mergeCell ref="S27:T27"/>
    <mergeCell ref="Q8:S8"/>
    <mergeCell ref="G9:K9"/>
    <mergeCell ref="Q9:U9"/>
    <mergeCell ref="A10:C10"/>
    <mergeCell ref="T23:U23"/>
    <mergeCell ref="A12:C12"/>
    <mergeCell ref="A13:C13"/>
    <mergeCell ref="A14:C14"/>
    <mergeCell ref="B15:C15"/>
    <mergeCell ref="B16:C16"/>
    <mergeCell ref="B18:C18"/>
    <mergeCell ref="B22:C22"/>
    <mergeCell ref="G22:J22"/>
    <mergeCell ref="Q22:R22"/>
    <mergeCell ref="B23:C23"/>
    <mergeCell ref="J23:K23"/>
    <mergeCell ref="A11:C11"/>
    <mergeCell ref="L1:M5"/>
    <mergeCell ref="E2:G2"/>
    <mergeCell ref="O4:P4"/>
    <mergeCell ref="B5:C5"/>
    <mergeCell ref="B6:C6"/>
    <mergeCell ref="F6:G6"/>
    <mergeCell ref="B8:K8"/>
  </mergeCells>
  <pageMargins left="0.75" right="0.75" top="1" bottom="1" header="0.5" footer="0.5"/>
  <pageSetup paperSize="9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19">
    <tabColor indexed="45"/>
  </sheetPr>
  <dimension ref="A1:AL62"/>
  <sheetViews>
    <sheetView rightToLeft="1" workbookViewId="0">
      <selection activeCell="AL8" sqref="AL8"/>
    </sheetView>
  </sheetViews>
  <sheetFormatPr defaultRowHeight="12.75" x14ac:dyDescent="0.2"/>
  <cols>
    <col min="1" max="1" width="7.7109375" style="323" customWidth="1"/>
    <col min="2" max="3" width="9.140625" style="323"/>
    <col min="4" max="4" width="16.28515625" style="323" customWidth="1"/>
    <col min="5" max="5" width="14.28515625" style="323" customWidth="1"/>
    <col min="6" max="6" width="13.28515625" style="323" customWidth="1"/>
    <col min="7" max="7" width="14.28515625" style="323" customWidth="1"/>
    <col min="8" max="8" width="12.7109375" style="323" customWidth="1"/>
    <col min="9" max="9" width="13.28515625" style="323" customWidth="1"/>
    <col min="10" max="10" width="13" style="323" customWidth="1"/>
    <col min="11" max="11" width="14.42578125" style="323" customWidth="1"/>
    <col min="12" max="12" width="13" style="323" customWidth="1"/>
    <col min="13" max="13" width="9.140625" style="323"/>
    <col min="14" max="14" width="14.140625" style="323" customWidth="1"/>
    <col min="15" max="16" width="9.140625" style="323"/>
    <col min="17" max="17" width="15.7109375" style="323" customWidth="1"/>
    <col min="18" max="18" width="16.140625" style="323" customWidth="1"/>
    <col min="19" max="19" width="11.42578125" style="323" customWidth="1"/>
    <col min="20" max="20" width="14.85546875" style="323" customWidth="1"/>
    <col min="21" max="21" width="14.140625" style="323" customWidth="1"/>
    <col min="22" max="22" width="13.5703125" style="323" customWidth="1"/>
    <col min="23" max="23" width="9.140625" style="323"/>
    <col min="24" max="24" width="14.85546875" style="323" customWidth="1"/>
    <col min="25" max="26" width="9.140625" style="323"/>
    <col min="27" max="27" width="31.28515625" style="409" customWidth="1"/>
    <col min="28" max="28" width="12.5703125" style="409" customWidth="1"/>
    <col min="29" max="29" width="9.7109375" style="409" bestFit="1" customWidth="1"/>
    <col min="30" max="16384" width="9.140625" style="323"/>
  </cols>
  <sheetData>
    <row r="1" spans="1:38" x14ac:dyDescent="0.2">
      <c r="I1" s="1191" t="s">
        <v>676</v>
      </c>
      <c r="J1" s="1192"/>
      <c r="K1" s="1193"/>
      <c r="L1" s="376">
        <f>'[1]נתוני יסוד'!B28</f>
        <v>0</v>
      </c>
      <c r="Z1" s="408"/>
    </row>
    <row r="2" spans="1:38" x14ac:dyDescent="0.2">
      <c r="E2" s="1126" t="s">
        <v>645</v>
      </c>
      <c r="F2" s="1126"/>
      <c r="G2" s="1126"/>
      <c r="H2" s="335">
        <f>'[1]פיצויים פטורים והוני'!H2</f>
        <v>0</v>
      </c>
      <c r="I2" s="1191" t="s">
        <v>677</v>
      </c>
      <c r="J2" s="1192"/>
      <c r="K2" s="1193"/>
      <c r="L2" s="376">
        <f>'[1]נתוני יסוד'!B27</f>
        <v>0</v>
      </c>
      <c r="Z2" s="408"/>
    </row>
    <row r="3" spans="1:38" ht="22.5" x14ac:dyDescent="0.2">
      <c r="B3" s="34"/>
      <c r="C3" s="34"/>
      <c r="D3" s="34"/>
      <c r="E3" s="34"/>
      <c r="F3" s="34"/>
      <c r="G3" s="34"/>
      <c r="H3" s="37"/>
      <c r="I3" s="1188" t="s">
        <v>678</v>
      </c>
      <c r="J3" s="1189"/>
      <c r="K3" s="1190"/>
      <c r="L3" s="67">
        <f>'[1]נתוני יסוד'!B26</f>
        <v>0</v>
      </c>
      <c r="M3" s="218"/>
      <c r="O3" s="34"/>
      <c r="P3" s="34"/>
      <c r="Q3" s="1129" t="s">
        <v>702</v>
      </c>
      <c r="R3" s="1052"/>
      <c r="S3" s="1053"/>
      <c r="T3" s="353">
        <f>IF('[1]נתוני יסוד'!B36=0,1,'[1]נתוני יסוד'!B36)</f>
        <v>1</v>
      </c>
      <c r="U3" s="34"/>
      <c r="V3" s="34"/>
      <c r="W3" s="34"/>
      <c r="X3" s="34"/>
      <c r="Y3" s="34"/>
      <c r="Z3" s="410"/>
      <c r="AA3" s="411">
        <f>'[1]נתוני יסוד'!B1</f>
        <v>0</v>
      </c>
      <c r="AB3" s="412" t="s">
        <v>594</v>
      </c>
      <c r="AC3" s="413" t="s">
        <v>703</v>
      </c>
      <c r="AD3" s="34"/>
      <c r="AE3" s="34"/>
      <c r="AF3" s="34"/>
      <c r="AG3" s="34"/>
      <c r="AH3" s="34"/>
      <c r="AI3" s="34"/>
      <c r="AJ3" s="34"/>
      <c r="AK3" s="34"/>
      <c r="AL3" s="34"/>
    </row>
    <row r="4" spans="1:38" ht="12.75" customHeight="1" x14ac:dyDescent="0.2">
      <c r="B4" s="34"/>
      <c r="C4" s="34"/>
      <c r="D4" s="34"/>
      <c r="E4" s="34"/>
      <c r="F4" s="34"/>
      <c r="G4" s="34"/>
      <c r="H4" s="37"/>
      <c r="I4" s="1188" t="s">
        <v>704</v>
      </c>
      <c r="J4" s="1189"/>
      <c r="K4" s="1190"/>
      <c r="L4" s="376">
        <f>T6</f>
        <v>0</v>
      </c>
      <c r="M4" s="377"/>
      <c r="Q4" s="1129" t="s">
        <v>705</v>
      </c>
      <c r="R4" s="1052"/>
      <c r="S4" s="1053"/>
      <c r="T4" s="352">
        <f>IF(D14/T3&lt;=0,1,D14/T3)</f>
        <v>1</v>
      </c>
      <c r="U4" s="34"/>
      <c r="V4" s="34"/>
      <c r="W4" s="34"/>
      <c r="X4" s="34"/>
      <c r="Y4" s="34"/>
      <c r="Z4" s="410"/>
      <c r="AA4" s="414"/>
      <c r="AB4" s="414"/>
      <c r="AC4" s="413"/>
      <c r="AD4" s="34"/>
      <c r="AE4" s="34"/>
      <c r="AF4" s="34"/>
      <c r="AG4" s="34"/>
      <c r="AH4" s="34"/>
      <c r="AI4" s="34"/>
      <c r="AJ4" s="34"/>
      <c r="AK4" s="34"/>
      <c r="AL4" s="34"/>
    </row>
    <row r="5" spans="1:38" ht="12.75" customHeight="1" x14ac:dyDescent="0.2">
      <c r="B5" s="1129" t="s">
        <v>642</v>
      </c>
      <c r="C5" s="1053"/>
      <c r="D5" s="336">
        <f>'[1]נתוני יסוד'!B4</f>
        <v>0</v>
      </c>
      <c r="E5" s="34" t="s">
        <v>643</v>
      </c>
      <c r="F5" s="34"/>
      <c r="G5" s="34"/>
      <c r="H5" s="37"/>
      <c r="I5" s="1188" t="s">
        <v>679</v>
      </c>
      <c r="J5" s="1189"/>
      <c r="K5" s="1190"/>
      <c r="L5" s="67">
        <f>'[1]נתוני יסוד'!B29</f>
        <v>0</v>
      </c>
      <c r="M5" s="218"/>
      <c r="N5" s="34"/>
      <c r="O5" s="34"/>
      <c r="P5" s="34"/>
      <c r="Q5" s="1129" t="s">
        <v>706</v>
      </c>
      <c r="R5" s="1052"/>
      <c r="S5" s="1053"/>
      <c r="T5" s="80">
        <f>IF(D18&gt;D15,D14-(D18-D15),D14)</f>
        <v>0</v>
      </c>
      <c r="U5" s="34"/>
      <c r="V5" s="34"/>
      <c r="W5" s="34"/>
      <c r="X5" s="34"/>
      <c r="Y5" s="34"/>
      <c r="Z5" s="410"/>
      <c r="AA5" s="414" t="s">
        <v>269</v>
      </c>
      <c r="AB5" s="414">
        <f>'[1]נתוני יסוד'!$B$33</f>
        <v>0</v>
      </c>
      <c r="AC5" s="413"/>
      <c r="AD5" s="34"/>
      <c r="AE5" s="34"/>
      <c r="AF5" s="34"/>
      <c r="AG5" s="34"/>
      <c r="AH5" s="34"/>
      <c r="AI5" s="34"/>
      <c r="AJ5" s="34"/>
      <c r="AK5" s="34"/>
      <c r="AL5" s="34"/>
    </row>
    <row r="6" spans="1:38" x14ac:dyDescent="0.2">
      <c r="B6" s="1129" t="s">
        <v>644</v>
      </c>
      <c r="C6" s="1053"/>
      <c r="D6" s="336">
        <f>'[1]נתוני יסוד'!B6</f>
        <v>45874.826249999998</v>
      </c>
      <c r="E6" s="34"/>
      <c r="F6" s="1129" t="s">
        <v>646</v>
      </c>
      <c r="G6" s="1053"/>
      <c r="H6" s="378">
        <f>(D6-D5)/365.25</f>
        <v>125.59842915811087</v>
      </c>
      <c r="I6" s="1188" t="s">
        <v>680</v>
      </c>
      <c r="J6" s="1189"/>
      <c r="K6" s="1190"/>
      <c r="L6" s="67">
        <f>'[1]נתוני יסוד'!B30</f>
        <v>0</v>
      </c>
      <c r="M6" s="218"/>
      <c r="N6" s="34"/>
      <c r="O6" s="34"/>
      <c r="P6" s="34"/>
      <c r="Q6" s="1129" t="s">
        <v>707</v>
      </c>
      <c r="R6" s="1052"/>
      <c r="S6" s="1053"/>
      <c r="T6" s="80">
        <f>T5/T4</f>
        <v>0</v>
      </c>
      <c r="U6" s="34"/>
      <c r="V6" s="34"/>
      <c r="W6" s="34"/>
      <c r="X6" s="34"/>
      <c r="Y6" s="34"/>
      <c r="Z6" s="410"/>
      <c r="AA6" s="414" t="s">
        <v>460</v>
      </c>
      <c r="AB6" s="414">
        <f>'[1]נתוני יסוד'!$B$34</f>
        <v>0</v>
      </c>
      <c r="AC6" s="413"/>
      <c r="AD6" s="34"/>
      <c r="AE6" s="34"/>
      <c r="AF6" s="34"/>
      <c r="AG6" s="34"/>
      <c r="AH6" s="34"/>
      <c r="AI6" s="34"/>
      <c r="AJ6" s="34"/>
      <c r="AK6" s="34"/>
      <c r="AL6" s="34"/>
    </row>
    <row r="7" spans="1:38" x14ac:dyDescent="0.2"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410"/>
      <c r="AA7" s="414" t="s">
        <v>558</v>
      </c>
      <c r="AB7" s="414">
        <f>'[1]נתוני יסוד'!$B$35</f>
        <v>0</v>
      </c>
    </row>
    <row r="8" spans="1:38" ht="26.25" x14ac:dyDescent="0.2">
      <c r="B8" s="1130" t="s">
        <v>708</v>
      </c>
      <c r="C8" s="1131"/>
      <c r="D8" s="1131"/>
      <c r="E8" s="1131"/>
      <c r="F8" s="1131"/>
      <c r="G8" s="1131"/>
      <c r="H8" s="1131"/>
      <c r="I8" s="1131"/>
      <c r="J8" s="1131"/>
      <c r="K8" s="1132"/>
      <c r="L8" s="34"/>
      <c r="M8" s="34"/>
      <c r="N8" s="34"/>
      <c r="O8" s="34"/>
      <c r="P8" s="34"/>
      <c r="Q8" s="1133"/>
      <c r="R8" s="1052"/>
      <c r="S8" s="1053"/>
      <c r="T8" s="34"/>
      <c r="U8" s="34"/>
      <c r="V8" s="34"/>
      <c r="W8" s="34"/>
      <c r="X8" s="34"/>
      <c r="Y8" s="34"/>
      <c r="Z8" s="410"/>
      <c r="AA8" s="414" t="s">
        <v>559</v>
      </c>
      <c r="AB8" s="414">
        <f>'[1]נתוני יסוד'!$B$36</f>
        <v>0</v>
      </c>
    </row>
    <row r="9" spans="1:38" ht="26.25" x14ac:dyDescent="0.2">
      <c r="B9" s="34"/>
      <c r="C9" s="34"/>
      <c r="D9" s="34"/>
      <c r="E9" s="34"/>
      <c r="F9" s="34"/>
      <c r="G9" s="1134" t="s">
        <v>647</v>
      </c>
      <c r="H9" s="1135"/>
      <c r="I9" s="1135"/>
      <c r="J9" s="1135"/>
      <c r="K9" s="1136"/>
      <c r="L9" s="34"/>
      <c r="M9" s="34"/>
      <c r="N9" s="34"/>
      <c r="O9" s="34"/>
      <c r="P9" s="34"/>
      <c r="Q9" s="1137" t="s">
        <v>648</v>
      </c>
      <c r="R9" s="1138"/>
      <c r="S9" s="1138"/>
      <c r="T9" s="1138"/>
      <c r="U9" s="1139"/>
      <c r="V9" s="34"/>
      <c r="W9" s="34"/>
      <c r="X9" s="34"/>
      <c r="Y9" s="34"/>
      <c r="Z9" s="410"/>
      <c r="AA9" s="414"/>
      <c r="AB9" s="414"/>
    </row>
    <row r="10" spans="1:38" ht="25.5" x14ac:dyDescent="0.2">
      <c r="A10" s="1125" t="s">
        <v>649</v>
      </c>
      <c r="B10" s="1092"/>
      <c r="C10" s="1092"/>
      <c r="D10" s="337">
        <f>L1+L2+L3+L5+L6</f>
        <v>0</v>
      </c>
      <c r="E10" s="34"/>
      <c r="F10" s="34"/>
      <c r="G10" s="34" t="s">
        <v>650</v>
      </c>
      <c r="H10" s="34" t="s">
        <v>636</v>
      </c>
      <c r="I10" s="330" t="s">
        <v>637</v>
      </c>
      <c r="J10" s="34" t="s">
        <v>638</v>
      </c>
      <c r="K10" s="34"/>
      <c r="L10" s="34"/>
      <c r="M10" s="34"/>
      <c r="N10" s="34"/>
      <c r="O10" s="34"/>
      <c r="P10" s="34"/>
      <c r="Q10" s="34" t="s">
        <v>651</v>
      </c>
      <c r="R10" s="34" t="s">
        <v>639</v>
      </c>
      <c r="S10" s="330" t="s">
        <v>640</v>
      </c>
      <c r="T10" s="34" t="s">
        <v>641</v>
      </c>
      <c r="U10" s="34"/>
      <c r="V10" s="34"/>
      <c r="W10" s="34"/>
      <c r="X10" s="34"/>
      <c r="Y10" s="34"/>
      <c r="Z10" s="410"/>
      <c r="AA10" s="414" t="s">
        <v>560</v>
      </c>
      <c r="AB10" s="414">
        <f>'[1]חישובי מקורות א'!$BK$6</f>
        <v>0</v>
      </c>
    </row>
    <row r="11" spans="1:38" ht="24" customHeight="1" x14ac:dyDescent="0.2">
      <c r="A11" s="1125" t="s">
        <v>652</v>
      </c>
      <c r="B11" s="1092"/>
      <c r="C11" s="1092"/>
      <c r="D11" s="337">
        <f>SUM(L1:L6)</f>
        <v>0</v>
      </c>
      <c r="E11" s="34"/>
      <c r="F11" s="34"/>
      <c r="G11" s="329" t="e">
        <f>Q11/12</f>
        <v>#DIV/0!</v>
      </c>
      <c r="H11" s="76">
        <f>D11</f>
        <v>0</v>
      </c>
      <c r="I11" s="76">
        <f>L5</f>
        <v>0</v>
      </c>
      <c r="J11" s="338" t="e">
        <f>H11-I11+G11</f>
        <v>#DIV/0!</v>
      </c>
      <c r="K11" s="331"/>
      <c r="L11" s="331"/>
      <c r="M11" s="331"/>
      <c r="N11" s="34"/>
      <c r="O11" s="34"/>
      <c r="P11" s="34"/>
      <c r="Q11" s="76" t="e">
        <f>D22/D23</f>
        <v>#DIV/0!</v>
      </c>
      <c r="R11" s="76">
        <f>H11*12</f>
        <v>0</v>
      </c>
      <c r="S11" s="76">
        <f>I11*12</f>
        <v>0</v>
      </c>
      <c r="T11" s="76" t="e">
        <f>R11-S11+Q11</f>
        <v>#DIV/0!</v>
      </c>
      <c r="U11" s="331"/>
      <c r="V11" s="331"/>
      <c r="W11" s="331"/>
      <c r="X11" s="34"/>
      <c r="Y11" s="34"/>
      <c r="Z11" s="410"/>
      <c r="AA11" s="414" t="s">
        <v>561</v>
      </c>
      <c r="AB11" s="414">
        <f>'[1]חישובי מקורות א'!$BJ$6</f>
        <v>0</v>
      </c>
    </row>
    <row r="12" spans="1:38" ht="24" customHeight="1" x14ac:dyDescent="0.2">
      <c r="A12" s="1125" t="s">
        <v>653</v>
      </c>
      <c r="B12" s="1092"/>
      <c r="C12" s="1092"/>
      <c r="D12" s="67">
        <f>'[1]נתוני יסוד'!B33</f>
        <v>0</v>
      </c>
      <c r="E12" s="34"/>
      <c r="F12" s="34"/>
      <c r="G12" s="331" t="s">
        <v>631</v>
      </c>
      <c r="H12" s="331" t="s">
        <v>632</v>
      </c>
      <c r="I12" s="331" t="s">
        <v>542</v>
      </c>
      <c r="J12" s="331" t="s">
        <v>632</v>
      </c>
      <c r="K12" s="331" t="s">
        <v>633</v>
      </c>
      <c r="L12" s="331" t="s">
        <v>634</v>
      </c>
      <c r="M12" s="331"/>
      <c r="N12" s="34"/>
      <c r="O12" s="34"/>
      <c r="P12" s="34"/>
      <c r="Q12" s="331" t="s">
        <v>631</v>
      </c>
      <c r="R12" s="331" t="s">
        <v>632</v>
      </c>
      <c r="S12" s="331" t="s">
        <v>542</v>
      </c>
      <c r="T12" s="331" t="s">
        <v>632</v>
      </c>
      <c r="U12" s="331" t="s">
        <v>633</v>
      </c>
      <c r="V12" s="331" t="s">
        <v>634</v>
      </c>
      <c r="W12" s="331"/>
      <c r="X12" s="34"/>
      <c r="Y12" s="34"/>
      <c r="Z12" s="410"/>
      <c r="AA12" s="414" t="s">
        <v>562</v>
      </c>
      <c r="AB12" s="414">
        <f>'[1]חישובי מקורות א'!$BI$6</f>
        <v>0</v>
      </c>
    </row>
    <row r="13" spans="1:38" ht="24" customHeight="1" x14ac:dyDescent="0.2">
      <c r="A13" s="1140" t="s">
        <v>709</v>
      </c>
      <c r="B13" s="1140"/>
      <c r="C13" s="1140"/>
      <c r="D13" s="415">
        <f>D12-D18</f>
        <v>0</v>
      </c>
      <c r="E13" s="34"/>
      <c r="F13" s="34"/>
      <c r="G13" s="341">
        <f>H13</f>
        <v>5270</v>
      </c>
      <c r="H13" s="341">
        <f>'[1]חישובי מיסוי פנסיה פתוחים'!B6</f>
        <v>5270</v>
      </c>
      <c r="I13" s="342">
        <f>'[1]חישובי מיסוי פנסיה פתוחים'!C6</f>
        <v>0.1</v>
      </c>
      <c r="J13" s="80" t="e">
        <f>IF(J11&gt;G13,H13,J11)</f>
        <v>#DIV/0!</v>
      </c>
      <c r="K13" s="80" t="e">
        <f t="shared" ref="K13:K18" si="0">J13*I13</f>
        <v>#DIV/0!</v>
      </c>
      <c r="L13" s="80" t="e">
        <f>K13</f>
        <v>#DIV/0!</v>
      </c>
      <c r="M13" s="331"/>
      <c r="N13" s="34"/>
      <c r="O13" s="34"/>
      <c r="P13" s="34"/>
      <c r="Q13" s="341">
        <f>R13</f>
        <v>63240</v>
      </c>
      <c r="R13" s="341">
        <f>H13*12</f>
        <v>63240</v>
      </c>
      <c r="S13" s="342">
        <f t="shared" ref="S13:S18" si="1">I13</f>
        <v>0.1</v>
      </c>
      <c r="T13" s="331" t="e">
        <f>IF(T11&gt;Q13,R13,T11)</f>
        <v>#DIV/0!</v>
      </c>
      <c r="U13" s="331" t="e">
        <f t="shared" ref="U13:U18" si="2">T13*S13</f>
        <v>#DIV/0!</v>
      </c>
      <c r="V13" s="331" t="e">
        <f>U13</f>
        <v>#DIV/0!</v>
      </c>
      <c r="W13" s="331"/>
      <c r="X13" s="34"/>
      <c r="Y13" s="34"/>
      <c r="Z13" s="410"/>
      <c r="AA13" s="414" t="s">
        <v>563</v>
      </c>
      <c r="AB13" s="414">
        <f>'[1]חישובי מקורות א'!$BH$6</f>
        <v>0</v>
      </c>
    </row>
    <row r="14" spans="1:38" ht="24.75" customHeight="1" x14ac:dyDescent="0.2">
      <c r="A14" s="1142" t="s">
        <v>267</v>
      </c>
      <c r="B14" s="1116"/>
      <c r="C14" s="1116"/>
      <c r="D14" s="353">
        <f>'[1]נתוני יסוד'!B35</f>
        <v>0</v>
      </c>
      <c r="E14" s="34"/>
      <c r="F14" s="34"/>
      <c r="G14" s="341">
        <f>G13+H14</f>
        <v>9000</v>
      </c>
      <c r="H14" s="341">
        <f>'[1]חישובי מיסוי פנסיה פתוחים'!B7</f>
        <v>3730</v>
      </c>
      <c r="I14" s="342">
        <f>'[1]חישובי מיסוי פנסיה פתוחים'!C7</f>
        <v>0.14000000000000001</v>
      </c>
      <c r="J14" s="80" t="e">
        <f>IF(J11&gt;G14,H14,IF(J11&lt;G13,0,J11-G13))</f>
        <v>#DIV/0!</v>
      </c>
      <c r="K14" s="80" t="e">
        <f t="shared" si="0"/>
        <v>#DIV/0!</v>
      </c>
      <c r="L14" s="80" t="e">
        <f>L13+K14</f>
        <v>#DIV/0!</v>
      </c>
      <c r="M14" s="331"/>
      <c r="N14" s="34"/>
      <c r="O14" s="34"/>
      <c r="P14" s="34"/>
      <c r="Q14" s="341">
        <f>Q13+R14</f>
        <v>108000</v>
      </c>
      <c r="R14" s="341">
        <f>H14*12</f>
        <v>44760</v>
      </c>
      <c r="S14" s="342">
        <f t="shared" si="1"/>
        <v>0.14000000000000001</v>
      </c>
      <c r="T14" s="331" t="e">
        <f>IF(T11&gt;Q14,R14,IF(T11&lt;Q13,0,T11-Q13))</f>
        <v>#DIV/0!</v>
      </c>
      <c r="U14" s="331" t="e">
        <f t="shared" si="2"/>
        <v>#DIV/0!</v>
      </c>
      <c r="V14" s="331" t="e">
        <f>V13+U14</f>
        <v>#DIV/0!</v>
      </c>
      <c r="W14" s="331"/>
      <c r="X14" s="34"/>
      <c r="Y14" s="34"/>
      <c r="Z14" s="410"/>
      <c r="AA14" s="414"/>
      <c r="AB14" s="414"/>
    </row>
    <row r="15" spans="1:38" ht="24.75" customHeight="1" x14ac:dyDescent="0.2">
      <c r="A15" s="1194" t="s">
        <v>710</v>
      </c>
      <c r="B15" s="1194"/>
      <c r="C15" s="1194"/>
      <c r="D15" s="324">
        <f>D12-D14</f>
        <v>0</v>
      </c>
      <c r="E15" s="34"/>
      <c r="F15" s="34"/>
      <c r="G15" s="341">
        <f>G14+H15</f>
        <v>13990</v>
      </c>
      <c r="H15" s="341">
        <f>'[1]חישובי מיסוי פנסיה פתוחים'!B8</f>
        <v>4990</v>
      </c>
      <c r="I15" s="342">
        <f>'[1]חישובי מיסוי פנסיה פתוחים'!C8</f>
        <v>0.21</v>
      </c>
      <c r="J15" s="80" t="e">
        <f>IF(J11&gt;G15,H15,IF(J11&lt;G14,0,J11-G14))</f>
        <v>#DIV/0!</v>
      </c>
      <c r="K15" s="80" t="e">
        <f t="shared" si="0"/>
        <v>#DIV/0!</v>
      </c>
      <c r="L15" s="80" t="e">
        <f>L14+K15</f>
        <v>#DIV/0!</v>
      </c>
      <c r="Q15" s="341">
        <f>Q14+R15</f>
        <v>167880</v>
      </c>
      <c r="R15" s="341">
        <f>H15*12</f>
        <v>59880</v>
      </c>
      <c r="S15" s="342">
        <f t="shared" si="1"/>
        <v>0.21</v>
      </c>
      <c r="T15" s="331" t="e">
        <f>IF(T11&gt;Q15,R15,IF(T11&lt;Q14,0,T11-Q14))</f>
        <v>#DIV/0!</v>
      </c>
      <c r="U15" s="331" t="e">
        <f t="shared" si="2"/>
        <v>#DIV/0!</v>
      </c>
      <c r="V15" s="331" t="e">
        <f>V14+U15</f>
        <v>#DIV/0!</v>
      </c>
      <c r="W15" s="331"/>
      <c r="X15" s="34"/>
      <c r="Y15" s="34"/>
      <c r="Z15" s="410"/>
      <c r="AA15" s="414" t="s">
        <v>564</v>
      </c>
      <c r="AB15" s="414">
        <f>'[1]חישובי מקורות א'!$BX$6</f>
        <v>0</v>
      </c>
    </row>
    <row r="16" spans="1:38" x14ac:dyDescent="0.2">
      <c r="B16" s="1195" t="s">
        <v>655</v>
      </c>
      <c r="C16" s="1196"/>
      <c r="D16" s="379">
        <f>H6</f>
        <v>125.59842915811087</v>
      </c>
      <c r="E16" s="34"/>
      <c r="F16" s="34"/>
      <c r="G16" s="341">
        <f>G15+H16</f>
        <v>19980</v>
      </c>
      <c r="H16" s="341">
        <f>'[1]חישובי מיסוי פנסיה פתוחים'!B9</f>
        <v>5990</v>
      </c>
      <c r="I16" s="342">
        <f>'[1]חישובי מיסוי פנסיה פתוחים'!C9</f>
        <v>0.31</v>
      </c>
      <c r="J16" s="80" t="e">
        <f>IF(J11&gt;G16,H16,IF(J11&lt;G15,0,J11-G15))</f>
        <v>#DIV/0!</v>
      </c>
      <c r="K16" s="80" t="e">
        <f t="shared" si="0"/>
        <v>#DIV/0!</v>
      </c>
      <c r="L16" s="80" t="e">
        <f>L15+K16</f>
        <v>#DIV/0!</v>
      </c>
      <c r="M16" s="331"/>
      <c r="N16" s="34"/>
      <c r="O16" s="34"/>
      <c r="P16" s="34"/>
      <c r="Q16" s="341">
        <f>Q15+R16</f>
        <v>239760</v>
      </c>
      <c r="R16" s="341">
        <f>H16*12</f>
        <v>71880</v>
      </c>
      <c r="S16" s="342">
        <f t="shared" si="1"/>
        <v>0.31</v>
      </c>
      <c r="T16" s="331" t="e">
        <f>IF(T11&gt;Q16,R16,IF(T11&lt;Q15,0,T11-Q15))</f>
        <v>#DIV/0!</v>
      </c>
      <c r="U16" s="331" t="e">
        <f t="shared" si="2"/>
        <v>#DIV/0!</v>
      </c>
      <c r="V16" s="331" t="e">
        <f>V15+U16</f>
        <v>#DIV/0!</v>
      </c>
      <c r="W16" s="331"/>
      <c r="X16" s="34"/>
      <c r="Y16" s="34"/>
      <c r="Z16" s="410"/>
      <c r="AA16" s="414" t="s">
        <v>565</v>
      </c>
      <c r="AB16" s="414">
        <f>'[1]חישובי מקורות א'!$BW$6</f>
        <v>0</v>
      </c>
    </row>
    <row r="17" spans="2:29" x14ac:dyDescent="0.2">
      <c r="B17" s="1129" t="s">
        <v>656</v>
      </c>
      <c r="C17" s="1053"/>
      <c r="D17" s="345">
        <f>IF(D16&lt;=3,0,IF(D16&lt;=7,1,IF(D16&lt;=11,2,IF(D16&lt;=15,3,IF(D16&lt;=19,4,IF(D16&lt;=23,5,IF(D16&lt;=99,6,0)))))))</f>
        <v>0</v>
      </c>
      <c r="E17" s="34"/>
      <c r="F17" s="34"/>
      <c r="G17" s="341">
        <f>G16+H17</f>
        <v>41790</v>
      </c>
      <c r="H17" s="341">
        <f>'[1]חישובי מיסוי פנסיה פתוחים'!B10</f>
        <v>21810</v>
      </c>
      <c r="I17" s="342">
        <f>'[1]חישובי מיסוי פנסיה פתוחים'!C10</f>
        <v>0.34</v>
      </c>
      <c r="J17" s="80" t="e">
        <f>IF(J11&gt;G17,H17,IF(J11&lt;G16,0,J11-G16))</f>
        <v>#DIV/0!</v>
      </c>
      <c r="K17" s="80" t="e">
        <f t="shared" si="0"/>
        <v>#DIV/0!</v>
      </c>
      <c r="L17" s="80" t="e">
        <f>L16+K17</f>
        <v>#DIV/0!</v>
      </c>
      <c r="M17" s="331"/>
      <c r="N17" s="34"/>
      <c r="O17" s="34"/>
      <c r="P17" s="34"/>
      <c r="Q17" s="341">
        <f>Q16+R17</f>
        <v>501480</v>
      </c>
      <c r="R17" s="341">
        <f>H17*12</f>
        <v>261720</v>
      </c>
      <c r="S17" s="342">
        <f t="shared" si="1"/>
        <v>0.34</v>
      </c>
      <c r="T17" s="331" t="e">
        <f>IF(T11&gt;Q17,R17,IF(T11&lt;Q16,0,T11-Q16))</f>
        <v>#DIV/0!</v>
      </c>
      <c r="U17" s="331" t="e">
        <f t="shared" si="2"/>
        <v>#DIV/0!</v>
      </c>
      <c r="V17" s="331" t="e">
        <f>V16+U17</f>
        <v>#DIV/0!</v>
      </c>
      <c r="W17" s="331"/>
      <c r="X17" s="34"/>
      <c r="Y17" s="34"/>
      <c r="Z17" s="410"/>
      <c r="AA17" s="414" t="s">
        <v>566</v>
      </c>
      <c r="AB17" s="414">
        <f>'[1]חישובי מקורות א'!$BV$6</f>
        <v>0</v>
      </c>
    </row>
    <row r="18" spans="2:29" x14ac:dyDescent="0.2">
      <c r="B18" s="1129" t="s">
        <v>576</v>
      </c>
      <c r="C18" s="1053"/>
      <c r="D18" s="55">
        <f>IF(D12&gt;'[1]נתוני יסוד'!M6,'[1]נתוני יסוד'!M6,D12)</f>
        <v>0</v>
      </c>
      <c r="E18" s="34"/>
      <c r="F18" s="34"/>
      <c r="G18" s="341">
        <v>99999999</v>
      </c>
      <c r="H18" s="341" t="e">
        <f>IF(J11-G17&gt;=0,J11-G17,0)</f>
        <v>#DIV/0!</v>
      </c>
      <c r="I18" s="342">
        <f>'[1]חישובי מיסוי פנסיה פתוחים'!C11</f>
        <v>0.48</v>
      </c>
      <c r="J18" s="80" t="e">
        <f>IF(J11&gt;G18,H18,IF(J11&lt;G17,0,J11-G17))</f>
        <v>#DIV/0!</v>
      </c>
      <c r="K18" s="80" t="e">
        <f t="shared" si="0"/>
        <v>#DIV/0!</v>
      </c>
      <c r="L18" s="80" t="e">
        <f>L17+K18</f>
        <v>#DIV/0!</v>
      </c>
      <c r="M18" s="331"/>
      <c r="N18" s="34"/>
      <c r="O18" s="34"/>
      <c r="P18" s="34"/>
      <c r="Q18" s="341">
        <v>99999999</v>
      </c>
      <c r="R18" s="341" t="e">
        <f>IF(T11-Q17&gt;=0,T11-Q17,0)</f>
        <v>#DIV/0!</v>
      </c>
      <c r="S18" s="342">
        <f t="shared" si="1"/>
        <v>0.48</v>
      </c>
      <c r="T18" s="331" t="e">
        <f>IF(T11&gt;Q18,R18,IF(T11&lt;Q17,0,T11-Q17))</f>
        <v>#DIV/0!</v>
      </c>
      <c r="U18" s="331" t="e">
        <f t="shared" si="2"/>
        <v>#DIV/0!</v>
      </c>
      <c r="V18" s="331" t="e">
        <f>V17+U18</f>
        <v>#DIV/0!</v>
      </c>
      <c r="W18" s="331"/>
      <c r="X18" s="34"/>
      <c r="Y18" s="34"/>
      <c r="Z18" s="410"/>
      <c r="AA18" s="414" t="s">
        <v>563</v>
      </c>
      <c r="AB18" s="414">
        <f>'[1]חישובי מקורות א'!$BU$6</f>
        <v>0</v>
      </c>
    </row>
    <row r="19" spans="2:29" ht="25.5" x14ac:dyDescent="0.2">
      <c r="B19" s="34" t="s">
        <v>370</v>
      </c>
      <c r="C19" s="34" t="s">
        <v>376</v>
      </c>
      <c r="D19" s="34"/>
      <c r="E19" s="346"/>
      <c r="F19" s="34"/>
      <c r="G19" s="331"/>
      <c r="H19" s="331"/>
      <c r="I19" s="331"/>
      <c r="J19" s="331"/>
      <c r="K19" s="331"/>
      <c r="L19" s="331"/>
      <c r="M19" s="331" t="s">
        <v>635</v>
      </c>
      <c r="N19" s="331" t="e">
        <f>IF(L18-'[1]נתוני יסוד'!L2&gt;=0,L18-'[1]נתוני יסוד'!L2,0)</f>
        <v>#DIV/0!</v>
      </c>
      <c r="O19" s="34"/>
      <c r="P19" s="34"/>
      <c r="Q19" s="331"/>
      <c r="R19" s="331"/>
      <c r="S19" s="331"/>
      <c r="T19" s="331"/>
      <c r="U19" s="331"/>
      <c r="V19" s="331"/>
      <c r="W19" s="331" t="s">
        <v>635</v>
      </c>
      <c r="X19" s="331" t="e">
        <f>IF(V18-'[1]נתוני יסוד'!L1&gt;=0,V18-'[1]נתוני יסוד'!L1,0)</f>
        <v>#DIV/0!</v>
      </c>
      <c r="Y19" s="34"/>
      <c r="Z19" s="410"/>
      <c r="AA19" s="414"/>
      <c r="AB19" s="414"/>
    </row>
    <row r="20" spans="2:29" x14ac:dyDescent="0.2">
      <c r="B20" s="64">
        <f>'[1]פיצויים פטורים והוני'!B21</f>
        <v>7200</v>
      </c>
      <c r="C20" s="64">
        <f>'[1]פיצויים פטורים והוני'!C21</f>
        <v>7400</v>
      </c>
      <c r="D20" s="34"/>
      <c r="E20" s="34"/>
      <c r="F20" s="34"/>
      <c r="G20" s="34"/>
      <c r="H20" s="34"/>
      <c r="I20" s="34"/>
      <c r="J20" s="34"/>
      <c r="K20" s="34"/>
      <c r="L20" s="34"/>
      <c r="M20" s="34" t="s">
        <v>586</v>
      </c>
      <c r="N20" s="331" t="e">
        <f>H11+G11-N19</f>
        <v>#DIV/0!</v>
      </c>
      <c r="O20" s="34"/>
      <c r="P20" s="34"/>
      <c r="Q20" s="34"/>
      <c r="R20" s="34"/>
      <c r="S20" s="34"/>
      <c r="T20" s="34"/>
      <c r="U20" s="34"/>
      <c r="V20" s="34"/>
      <c r="W20" s="34" t="s">
        <v>586</v>
      </c>
      <c r="X20" s="331" t="e">
        <f>R11+Q11-X19</f>
        <v>#DIV/0!</v>
      </c>
      <c r="Y20" s="34"/>
      <c r="Z20" s="410"/>
      <c r="AA20" s="414" t="s">
        <v>567</v>
      </c>
      <c r="AB20" s="414">
        <f>'[1]חישובי מקורות א'!$BQ$6</f>
        <v>0</v>
      </c>
    </row>
    <row r="21" spans="2:29" x14ac:dyDescent="0.2">
      <c r="B21" s="37"/>
      <c r="C21" s="218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410"/>
      <c r="AA21" s="414" t="s">
        <v>568</v>
      </c>
      <c r="AB21" s="414">
        <f>'[1]חישובי מקורות א'!$BP$6</f>
        <v>0</v>
      </c>
    </row>
    <row r="22" spans="2:29" ht="33" x14ac:dyDescent="0.2">
      <c r="B22" s="1129" t="s">
        <v>657</v>
      </c>
      <c r="C22" s="1053"/>
      <c r="D22" s="347">
        <f>IF(H2=1,((D13-T5)/6)*5,D13-T5)</f>
        <v>0</v>
      </c>
      <c r="E22" s="34"/>
      <c r="F22" s="34"/>
      <c r="G22" s="1143" t="s">
        <v>658</v>
      </c>
      <c r="H22" s="1144"/>
      <c r="I22" s="1144"/>
      <c r="J22" s="1145"/>
      <c r="K22" s="34"/>
      <c r="L22" s="34"/>
      <c r="M22" s="34"/>
      <c r="N22" s="34"/>
      <c r="O22" s="34"/>
      <c r="P22" s="34"/>
      <c r="Q22" s="1146" t="s">
        <v>658</v>
      </c>
      <c r="R22" s="1146"/>
      <c r="S22" s="34"/>
      <c r="T22" s="34"/>
      <c r="U22" s="34"/>
      <c r="V22" s="34"/>
      <c r="W22" s="34"/>
      <c r="X22" s="34"/>
      <c r="Y22" s="34"/>
      <c r="Z22" s="410"/>
      <c r="AA22" s="414" t="s">
        <v>569</v>
      </c>
      <c r="AB22" s="414">
        <f>'[1]חישובי מקורות א'!$BO$6</f>
        <v>0</v>
      </c>
    </row>
    <row r="23" spans="2:29" x14ac:dyDescent="0.2">
      <c r="B23" s="1147" t="s">
        <v>659</v>
      </c>
      <c r="C23" s="1148"/>
      <c r="D23" s="348">
        <f>IF(H2=1,D17-1,D17)</f>
        <v>0</v>
      </c>
      <c r="E23" s="34"/>
      <c r="F23" s="34"/>
      <c r="G23" s="34"/>
      <c r="H23" s="34" t="s">
        <v>163</v>
      </c>
      <c r="I23" s="41">
        <v>68</v>
      </c>
      <c r="J23" s="1140" t="s">
        <v>433</v>
      </c>
      <c r="K23" s="1140"/>
      <c r="L23" s="41">
        <v>120</v>
      </c>
      <c r="M23" s="34" t="s">
        <v>231</v>
      </c>
      <c r="N23" s="416">
        <v>3.5</v>
      </c>
      <c r="O23" s="34"/>
      <c r="P23" s="34"/>
      <c r="Q23" s="34"/>
      <c r="R23" s="34" t="s">
        <v>163</v>
      </c>
      <c r="S23" s="41">
        <v>68</v>
      </c>
      <c r="T23" s="1140" t="s">
        <v>433</v>
      </c>
      <c r="U23" s="1140"/>
      <c r="V23" s="41">
        <v>120</v>
      </c>
      <c r="W23" s="34" t="s">
        <v>231</v>
      </c>
      <c r="X23" s="416">
        <v>3.5</v>
      </c>
      <c r="Y23" s="34"/>
      <c r="Z23" s="410"/>
      <c r="AA23" s="414" t="s">
        <v>570</v>
      </c>
      <c r="AB23" s="414">
        <f>'[1]חישובי מקורות א'!$BN$6</f>
        <v>0</v>
      </c>
    </row>
    <row r="24" spans="2:29" x14ac:dyDescent="0.2">
      <c r="B24" s="104"/>
      <c r="C24" s="104"/>
      <c r="D24" s="10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410"/>
      <c r="AA24" s="414"/>
      <c r="AB24" s="414"/>
    </row>
    <row r="25" spans="2:29" x14ac:dyDescent="0.2">
      <c r="F25" s="34"/>
      <c r="G25" s="34"/>
      <c r="H25" s="34" t="s">
        <v>245</v>
      </c>
      <c r="I25" s="1141" t="e">
        <f>PV(N23/100/12,(L23-I23)*12,N20,,1)*(-1)</f>
        <v>#DIV/0!</v>
      </c>
      <c r="J25" s="1141"/>
      <c r="K25" s="34"/>
      <c r="L25" s="34"/>
      <c r="M25" s="34"/>
      <c r="N25" s="34"/>
      <c r="O25" s="34"/>
      <c r="P25" s="34"/>
      <c r="Q25" s="34"/>
      <c r="R25" s="34" t="s">
        <v>245</v>
      </c>
      <c r="S25" s="1141" t="e">
        <f>PV(X23/100,(V23-S23),X20,,1)*(-1)</f>
        <v>#DIV/0!</v>
      </c>
      <c r="T25" s="1141"/>
      <c r="U25" s="34"/>
      <c r="V25" s="34"/>
      <c r="W25" s="34"/>
      <c r="X25" s="34"/>
      <c r="Y25" s="34"/>
      <c r="Z25" s="410"/>
      <c r="AA25" s="414" t="s">
        <v>571</v>
      </c>
      <c r="AB25" s="414">
        <f>'[1]חישובי מקורות א'!$CE$6</f>
        <v>0</v>
      </c>
    </row>
    <row r="26" spans="2:29" x14ac:dyDescent="0.2"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410"/>
      <c r="AA26" s="414" t="s">
        <v>572</v>
      </c>
      <c r="AB26" s="414">
        <f>'[1]חישובי מקורות א'!$CD$6</f>
        <v>0</v>
      </c>
    </row>
    <row r="27" spans="2:29" x14ac:dyDescent="0.2">
      <c r="B27" s="104"/>
      <c r="C27" s="104"/>
      <c r="D27" s="104"/>
      <c r="E27" s="34"/>
      <c r="F27" s="34"/>
      <c r="G27" s="1140" t="s">
        <v>660</v>
      </c>
      <c r="H27" s="1140"/>
      <c r="I27" s="1141">
        <f>PV(N23/100/12,(L23-I23)*12,I11,,1)*(-1)</f>
        <v>0</v>
      </c>
      <c r="J27" s="1141"/>
      <c r="K27" s="34"/>
      <c r="L27" s="34"/>
      <c r="M27" s="34"/>
      <c r="N27" s="34"/>
      <c r="O27" s="34"/>
      <c r="P27" s="34"/>
      <c r="Q27" s="1140" t="s">
        <v>660</v>
      </c>
      <c r="R27" s="1140"/>
      <c r="S27" s="1141">
        <f>PV(X23/100,(V23-S23),S11,,1)*(-1)</f>
        <v>0</v>
      </c>
      <c r="T27" s="1141"/>
      <c r="U27" s="34"/>
      <c r="V27" s="34"/>
      <c r="W27" s="34"/>
      <c r="X27" s="34"/>
      <c r="Y27" s="34"/>
      <c r="Z27" s="410"/>
      <c r="AA27" s="414" t="s">
        <v>573</v>
      </c>
      <c r="AB27" s="414">
        <f>'[1]חישובי מקורות א'!$CC$6</f>
        <v>0</v>
      </c>
    </row>
    <row r="28" spans="2:29" x14ac:dyDescent="0.2"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410"/>
      <c r="AA28" s="414" t="s">
        <v>574</v>
      </c>
      <c r="AB28" s="414">
        <f>'[1]חישובי מקורות א'!$CB$6</f>
        <v>0</v>
      </c>
    </row>
    <row r="29" spans="2:29" x14ac:dyDescent="0.2"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410"/>
      <c r="AA29" s="414"/>
      <c r="AB29" s="414"/>
    </row>
    <row r="30" spans="2:29" ht="20.25" customHeight="1" x14ac:dyDescent="0.2">
      <c r="B30" s="1129" t="s">
        <v>269</v>
      </c>
      <c r="C30" s="1053"/>
      <c r="D30" s="380">
        <f>D12</f>
        <v>0</v>
      </c>
      <c r="E30" s="34"/>
      <c r="F30" s="331"/>
      <c r="G30" s="356"/>
      <c r="H30" s="357"/>
      <c r="I30" s="358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410"/>
      <c r="AA30" s="414"/>
      <c r="AB30" s="414"/>
    </row>
    <row r="31" spans="2:29" ht="20.100000000000001" customHeight="1" x14ac:dyDescent="0.2">
      <c r="B31" s="1129" t="s">
        <v>661</v>
      </c>
      <c r="C31" s="1053"/>
      <c r="D31" s="380">
        <f>D18</f>
        <v>0</v>
      </c>
      <c r="E31" s="34"/>
      <c r="F31" s="34"/>
      <c r="G31" s="359"/>
      <c r="H31" s="359"/>
      <c r="I31" s="360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410"/>
      <c r="AA31" s="411">
        <f>'[1]נתוני יסוד'!B1</f>
        <v>0</v>
      </c>
      <c r="AB31" s="412" t="s">
        <v>594</v>
      </c>
      <c r="AC31" s="409" t="str">
        <f>AC3</f>
        <v>אחרת</v>
      </c>
    </row>
    <row r="32" spans="2:29" ht="20.100000000000001" customHeight="1" thickBot="1" x14ac:dyDescent="0.25">
      <c r="B32" s="1129" t="s">
        <v>662</v>
      </c>
      <c r="C32" s="1053"/>
      <c r="D32" s="381">
        <f>T5</f>
        <v>0</v>
      </c>
      <c r="E32" s="34"/>
      <c r="F32" s="34" t="s">
        <v>681</v>
      </c>
      <c r="G32" s="359"/>
      <c r="H32" s="360"/>
      <c r="I32" s="361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410"/>
      <c r="AA32" s="414" t="s">
        <v>269</v>
      </c>
      <c r="AB32" s="414">
        <f>'[1]מקסימום פנסיה עם קצבה פטורה'!$B$11</f>
        <v>0</v>
      </c>
      <c r="AC32" s="414">
        <f>D12</f>
        <v>0</v>
      </c>
    </row>
    <row r="33" spans="2:38" ht="20.100000000000001" customHeight="1" x14ac:dyDescent="0.2">
      <c r="B33" s="1129" t="s">
        <v>663</v>
      </c>
      <c r="C33" s="1053"/>
      <c r="D33" s="382">
        <f>D30-D31-D32</f>
        <v>0</v>
      </c>
      <c r="E33" s="346" t="e">
        <f>D34</f>
        <v>#DIV/0!</v>
      </c>
      <c r="F33" s="64" t="e">
        <f>D33-E33</f>
        <v>#DIV/0!</v>
      </c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410"/>
      <c r="AA33" s="414" t="s">
        <v>575</v>
      </c>
      <c r="AB33" s="414">
        <v>0</v>
      </c>
      <c r="AC33" s="414">
        <f>D15</f>
        <v>0</v>
      </c>
    </row>
    <row r="34" spans="2:38" ht="30.75" customHeight="1" x14ac:dyDescent="0.2">
      <c r="B34" s="1129" t="s">
        <v>664</v>
      </c>
      <c r="C34" s="1053"/>
      <c r="D34" s="380" t="e">
        <f>IF(H2=1,((X19-X49)*D23)+(Q11*50/100),(X19-X49)*D23)</f>
        <v>#DIV/0!</v>
      </c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410"/>
      <c r="AA34" s="414" t="s">
        <v>267</v>
      </c>
      <c r="AB34" s="414">
        <f>'[1]פיצויים פטורים וקצבה'!D32</f>
        <v>0</v>
      </c>
      <c r="AC34" s="414">
        <f>T5</f>
        <v>0</v>
      </c>
    </row>
    <row r="35" spans="2:38" ht="24.95" customHeight="1" x14ac:dyDescent="0.2">
      <c r="B35" s="1129" t="s">
        <v>625</v>
      </c>
      <c r="C35" s="1053"/>
      <c r="D35" s="375" t="e">
        <f>D30-D32-D34</f>
        <v>#DIV/0!</v>
      </c>
      <c r="E35" s="346" t="e">
        <f>D31+D33-D34</f>
        <v>#DIV/0!</v>
      </c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410"/>
      <c r="AA35" s="414" t="s">
        <v>576</v>
      </c>
      <c r="AB35" s="414">
        <f>'[1]פיצויים פטורים וקצבה'!D31</f>
        <v>0</v>
      </c>
      <c r="AC35" s="414">
        <f>D18</f>
        <v>0</v>
      </c>
    </row>
    <row r="36" spans="2:38" x14ac:dyDescent="0.2"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410"/>
      <c r="AA36" s="414" t="s">
        <v>577</v>
      </c>
      <c r="AB36" s="414">
        <f>AB32-AB34-AB35</f>
        <v>0</v>
      </c>
      <c r="AC36" s="417">
        <f>D33</f>
        <v>0</v>
      </c>
    </row>
    <row r="37" spans="2:38" ht="26.25" customHeight="1" x14ac:dyDescent="0.2">
      <c r="B37" s="1197" t="s">
        <v>682</v>
      </c>
      <c r="C37" s="1150"/>
      <c r="D37" s="1150"/>
      <c r="E37" s="1150"/>
      <c r="F37" s="1150"/>
      <c r="G37" s="1150"/>
      <c r="H37" s="1150"/>
      <c r="I37" s="1150"/>
      <c r="J37" s="1150"/>
      <c r="K37" s="1151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410"/>
      <c r="AA37" s="418" t="s">
        <v>450</v>
      </c>
      <c r="AB37" s="414">
        <f>'[1]נתוני יסוד'!B28</f>
        <v>0</v>
      </c>
      <c r="AC37" s="419">
        <f>AB37</f>
        <v>0</v>
      </c>
      <c r="AD37" s="34"/>
      <c r="AE37" s="34"/>
      <c r="AF37" s="34"/>
      <c r="AG37" s="34"/>
      <c r="AH37" s="34"/>
      <c r="AI37" s="34"/>
      <c r="AJ37" s="34"/>
      <c r="AK37" s="34"/>
      <c r="AL37" s="34"/>
    </row>
    <row r="38" spans="2:38" ht="26.25" customHeight="1" x14ac:dyDescent="0.2">
      <c r="B38" s="34"/>
      <c r="C38" s="34"/>
      <c r="D38" s="34"/>
      <c r="E38" s="34"/>
      <c r="F38" s="34"/>
      <c r="G38" s="1134" t="s">
        <v>665</v>
      </c>
      <c r="H38" s="1135"/>
      <c r="I38" s="1135"/>
      <c r="J38" s="1135"/>
      <c r="K38" s="1136"/>
      <c r="L38" s="34"/>
      <c r="M38" s="34"/>
      <c r="N38" s="34"/>
      <c r="O38" s="34"/>
      <c r="P38" s="34"/>
      <c r="Q38" s="1152" t="s">
        <v>666</v>
      </c>
      <c r="R38" s="1153"/>
      <c r="S38" s="1153"/>
      <c r="T38" s="1153"/>
      <c r="U38" s="1154"/>
      <c r="V38" s="34"/>
      <c r="W38" s="34"/>
      <c r="X38" s="34"/>
      <c r="Y38" s="34"/>
      <c r="Z38" s="410"/>
      <c r="AA38" s="418" t="s">
        <v>452</v>
      </c>
      <c r="AB38" s="414">
        <f>'[1]נתוני יסוד'!B29</f>
        <v>0</v>
      </c>
      <c r="AC38" s="419">
        <f>AB38</f>
        <v>0</v>
      </c>
      <c r="AD38" s="34"/>
      <c r="AE38" s="34"/>
      <c r="AF38" s="34"/>
      <c r="AG38" s="34"/>
      <c r="AH38" s="34"/>
      <c r="AI38" s="34"/>
      <c r="AJ38" s="34"/>
      <c r="AK38" s="34"/>
      <c r="AL38" s="34"/>
    </row>
    <row r="39" spans="2:38" ht="25.5" x14ac:dyDescent="0.2">
      <c r="B39" s="34"/>
      <c r="C39" s="34"/>
      <c r="D39" s="34"/>
      <c r="E39" s="34"/>
      <c r="F39" s="34"/>
      <c r="G39" s="34" t="s">
        <v>650</v>
      </c>
      <c r="H39" s="34" t="s">
        <v>636</v>
      </c>
      <c r="I39" s="330" t="s">
        <v>637</v>
      </c>
      <c r="J39" s="34" t="s">
        <v>638</v>
      </c>
      <c r="K39" s="34"/>
      <c r="L39" s="34"/>
      <c r="M39" s="34"/>
      <c r="N39" s="34"/>
      <c r="O39" s="34"/>
      <c r="P39" s="34"/>
      <c r="Q39" s="34" t="s">
        <v>651</v>
      </c>
      <c r="R39" s="34" t="s">
        <v>639</v>
      </c>
      <c r="S39" s="330" t="s">
        <v>640</v>
      </c>
      <c r="T39" s="34" t="s">
        <v>641</v>
      </c>
      <c r="U39" s="34"/>
      <c r="V39" s="34"/>
      <c r="W39" s="34"/>
      <c r="X39" s="34"/>
      <c r="Y39" s="34"/>
      <c r="Z39" s="410"/>
      <c r="AA39" s="418" t="s">
        <v>583</v>
      </c>
      <c r="AB39" s="414">
        <f>'[1]נתוני יסוד'!B30</f>
        <v>0</v>
      </c>
      <c r="AC39" s="419">
        <f>AB39</f>
        <v>0</v>
      </c>
      <c r="AD39" s="34"/>
      <c r="AE39" s="34"/>
      <c r="AF39" s="34"/>
      <c r="AG39" s="34"/>
      <c r="AH39" s="34"/>
      <c r="AI39" s="34"/>
      <c r="AJ39" s="34"/>
      <c r="AK39" s="34"/>
      <c r="AL39" s="34"/>
    </row>
    <row r="40" spans="2:38" ht="12.75" customHeight="1" x14ac:dyDescent="0.2">
      <c r="B40" s="34"/>
      <c r="C40" s="34"/>
      <c r="D40" s="34"/>
      <c r="E40" s="34"/>
      <c r="F40" s="34"/>
      <c r="G40" s="350" t="s">
        <v>667</v>
      </c>
      <c r="H40" s="339">
        <f>H11</f>
        <v>0</v>
      </c>
      <c r="I40" s="339">
        <f>L5</f>
        <v>0</v>
      </c>
      <c r="J40" s="351">
        <f>H40-I40</f>
        <v>0</v>
      </c>
      <c r="K40" s="331"/>
      <c r="L40" s="331"/>
      <c r="M40" s="331"/>
      <c r="N40" s="34"/>
      <c r="O40" s="34"/>
      <c r="P40" s="34"/>
      <c r="Q40" s="76" t="s">
        <v>667</v>
      </c>
      <c r="R40" s="76">
        <f>H40*12</f>
        <v>0</v>
      </c>
      <c r="S40" s="76">
        <f>I40*12</f>
        <v>0</v>
      </c>
      <c r="T40" s="76">
        <f>R40-S40</f>
        <v>0</v>
      </c>
      <c r="U40" s="331"/>
      <c r="V40" s="331"/>
      <c r="W40" s="331"/>
      <c r="X40" s="34"/>
      <c r="Y40" s="34"/>
      <c r="Z40" s="410"/>
      <c r="AA40" s="418" t="s">
        <v>584</v>
      </c>
      <c r="AB40" s="414">
        <f>'[1]פיצויים פטורים וקצבה'!L4</f>
        <v>0</v>
      </c>
      <c r="AC40" s="419">
        <f>L4</f>
        <v>0</v>
      </c>
      <c r="AD40" s="34"/>
      <c r="AE40" s="34"/>
      <c r="AF40" s="34"/>
      <c r="AG40" s="34"/>
      <c r="AH40" s="34"/>
      <c r="AI40" s="34"/>
      <c r="AJ40" s="34"/>
      <c r="AK40" s="34"/>
      <c r="AL40" s="34"/>
    </row>
    <row r="41" spans="2:38" x14ac:dyDescent="0.2">
      <c r="B41" s="34"/>
      <c r="C41" s="34"/>
      <c r="D41" s="34"/>
      <c r="E41" s="34"/>
      <c r="F41" s="34"/>
      <c r="G41" s="331"/>
      <c r="H41" s="331"/>
      <c r="I41" s="331"/>
      <c r="J41" s="331"/>
      <c r="K41" s="331"/>
      <c r="L41" s="331"/>
      <c r="M41" s="331"/>
      <c r="N41" s="34"/>
      <c r="O41" s="34"/>
      <c r="P41" s="34"/>
      <c r="Q41" s="331"/>
      <c r="R41" s="331"/>
      <c r="S41" s="331"/>
      <c r="T41" s="331"/>
      <c r="U41" s="331"/>
      <c r="V41" s="331"/>
      <c r="W41" s="331"/>
      <c r="X41" s="34"/>
      <c r="Y41" s="34"/>
      <c r="Z41" s="410"/>
      <c r="AA41" s="420" t="s">
        <v>585</v>
      </c>
      <c r="AB41" s="414" t="e">
        <f>#REF!+#REF!+AB37+AB39+AB40</f>
        <v>#REF!</v>
      </c>
      <c r="AC41" s="414" t="e">
        <f>#REF!+#REF!+AC37+AC39+AC40</f>
        <v>#REF!</v>
      </c>
      <c r="AD41" s="34"/>
      <c r="AE41" s="34"/>
      <c r="AF41" s="34"/>
      <c r="AG41" s="34"/>
      <c r="AH41" s="34"/>
      <c r="AI41" s="34"/>
      <c r="AJ41" s="34"/>
      <c r="AK41" s="34"/>
      <c r="AL41" s="34"/>
    </row>
    <row r="42" spans="2:38" ht="12.75" customHeight="1" x14ac:dyDescent="0.2">
      <c r="B42" s="34"/>
      <c r="C42" s="34"/>
      <c r="D42" s="34"/>
      <c r="E42" s="34"/>
      <c r="F42" s="34"/>
      <c r="G42" s="331" t="s">
        <v>631</v>
      </c>
      <c r="H42" s="331" t="s">
        <v>632</v>
      </c>
      <c r="I42" s="331" t="s">
        <v>542</v>
      </c>
      <c r="J42" s="331" t="s">
        <v>632</v>
      </c>
      <c r="K42" s="331" t="s">
        <v>633</v>
      </c>
      <c r="L42" s="331" t="s">
        <v>634</v>
      </c>
      <c r="M42" s="331"/>
      <c r="N42" s="34"/>
      <c r="O42" s="34"/>
      <c r="P42" s="34"/>
      <c r="Q42" s="331" t="s">
        <v>631</v>
      </c>
      <c r="R42" s="331" t="s">
        <v>632</v>
      </c>
      <c r="S42" s="331" t="s">
        <v>542</v>
      </c>
      <c r="T42" s="331" t="s">
        <v>632</v>
      </c>
      <c r="U42" s="331" t="s">
        <v>633</v>
      </c>
      <c r="V42" s="331" t="s">
        <v>634</v>
      </c>
      <c r="W42" s="331"/>
      <c r="X42" s="34"/>
      <c r="Y42" s="34"/>
      <c r="Z42" s="410"/>
      <c r="AA42" s="420" t="s">
        <v>586</v>
      </c>
      <c r="AB42" s="421">
        <f>'[1]פיצויים פטורים וקצבה'!N51</f>
        <v>0</v>
      </c>
      <c r="AC42" s="422">
        <f>N50</f>
        <v>0</v>
      </c>
      <c r="AD42" s="34"/>
      <c r="AE42" s="34"/>
      <c r="AF42" s="34"/>
      <c r="AG42" s="34"/>
      <c r="AH42" s="34"/>
      <c r="AI42" s="34"/>
      <c r="AJ42" s="34"/>
      <c r="AK42" s="34"/>
      <c r="AL42" s="34"/>
    </row>
    <row r="43" spans="2:38" x14ac:dyDescent="0.2">
      <c r="F43" s="34"/>
      <c r="G43" s="341">
        <f>H43</f>
        <v>5270</v>
      </c>
      <c r="H43" s="341">
        <f t="shared" ref="H43:I47" si="3">H13</f>
        <v>5270</v>
      </c>
      <c r="I43" s="342">
        <f t="shared" si="3"/>
        <v>0.1</v>
      </c>
      <c r="J43" s="80">
        <f>IF(J40&gt;G43,H43,J40)</f>
        <v>0</v>
      </c>
      <c r="K43" s="80">
        <f t="shared" ref="K43:K48" si="4">J43*I43</f>
        <v>0</v>
      </c>
      <c r="L43" s="80">
        <f>K43</f>
        <v>0</v>
      </c>
      <c r="M43" s="331"/>
      <c r="N43" s="34"/>
      <c r="O43" s="34"/>
      <c r="P43" s="34"/>
      <c r="Q43" s="341">
        <f>R43</f>
        <v>63240</v>
      </c>
      <c r="R43" s="341">
        <f>H43*12</f>
        <v>63240</v>
      </c>
      <c r="S43" s="342">
        <f t="shared" ref="S43:S48" si="5">I13</f>
        <v>0.1</v>
      </c>
      <c r="T43" s="331">
        <f>IF(T40&gt;Q43,R43,T40)</f>
        <v>0</v>
      </c>
      <c r="U43" s="331">
        <f t="shared" ref="U43:U48" si="6">T43*S43</f>
        <v>0</v>
      </c>
      <c r="V43" s="331">
        <f>U43</f>
        <v>0</v>
      </c>
      <c r="W43" s="331"/>
      <c r="X43" s="34"/>
      <c r="Z43" s="408"/>
      <c r="AA43" s="414"/>
      <c r="AB43" s="414"/>
    </row>
    <row r="44" spans="2:38" x14ac:dyDescent="0.2">
      <c r="F44" s="34"/>
      <c r="G44" s="341">
        <f>G43+H44</f>
        <v>9000</v>
      </c>
      <c r="H44" s="341">
        <f t="shared" si="3"/>
        <v>3730</v>
      </c>
      <c r="I44" s="342">
        <f t="shared" si="3"/>
        <v>0.14000000000000001</v>
      </c>
      <c r="J44" s="80">
        <f>IF(J40&gt;G44,H44,IF(J40&lt;G43,0,J40-G43))</f>
        <v>0</v>
      </c>
      <c r="K44" s="80">
        <f t="shared" si="4"/>
        <v>0</v>
      </c>
      <c r="L44" s="80">
        <f>L43+K44</f>
        <v>0</v>
      </c>
      <c r="M44" s="331"/>
      <c r="N44" s="34"/>
      <c r="O44" s="34"/>
      <c r="P44" s="34"/>
      <c r="Q44" s="341">
        <f>Q43+R44</f>
        <v>108000</v>
      </c>
      <c r="R44" s="341">
        <f>H44*12</f>
        <v>44760</v>
      </c>
      <c r="S44" s="342">
        <f t="shared" si="5"/>
        <v>0.14000000000000001</v>
      </c>
      <c r="T44" s="331">
        <f>IF(T40&gt;Q44,R44,IF(T40&lt;Q43,0,T40-Q43))</f>
        <v>0</v>
      </c>
      <c r="U44" s="331">
        <f t="shared" si="6"/>
        <v>0</v>
      </c>
      <c r="V44" s="331">
        <f>V43+U44</f>
        <v>0</v>
      </c>
      <c r="W44" s="331"/>
      <c r="X44" s="34"/>
      <c r="Z44" s="408"/>
      <c r="AA44" s="414" t="s">
        <v>587</v>
      </c>
      <c r="AB44" s="414"/>
    </row>
    <row r="45" spans="2:38" x14ac:dyDescent="0.2">
      <c r="F45" s="34"/>
      <c r="G45" s="341">
        <f>G44+H45</f>
        <v>13990</v>
      </c>
      <c r="H45" s="341">
        <f t="shared" si="3"/>
        <v>4990</v>
      </c>
      <c r="I45" s="342">
        <f t="shared" si="3"/>
        <v>0.21</v>
      </c>
      <c r="J45" s="80">
        <f>IF(J40&gt;G45,H45,IF(J40&lt;G44,0,J40-G44))</f>
        <v>0</v>
      </c>
      <c r="K45" s="80">
        <f t="shared" si="4"/>
        <v>0</v>
      </c>
      <c r="L45" s="80">
        <f>L44+K45</f>
        <v>0</v>
      </c>
      <c r="M45" s="331"/>
      <c r="N45" s="34"/>
      <c r="O45" s="34"/>
      <c r="P45" s="34"/>
      <c r="Q45" s="341">
        <f>Q44+R45</f>
        <v>167880</v>
      </c>
      <c r="R45" s="341">
        <f>H45*12</f>
        <v>59880</v>
      </c>
      <c r="S45" s="342">
        <f t="shared" si="5"/>
        <v>0.21</v>
      </c>
      <c r="T45" s="331">
        <f>IF(T40&gt;Q45,R45,IF(T40&lt;Q44,0,T40-Q44))</f>
        <v>0</v>
      </c>
      <c r="U45" s="331">
        <f t="shared" si="6"/>
        <v>0</v>
      </c>
      <c r="V45" s="331">
        <f>V44+U45</f>
        <v>0</v>
      </c>
      <c r="W45" s="331"/>
      <c r="X45" s="34"/>
      <c r="Z45" s="408"/>
      <c r="AA45" s="414"/>
      <c r="AB45" s="414"/>
    </row>
    <row r="46" spans="2:38" x14ac:dyDescent="0.2">
      <c r="F46" s="34"/>
      <c r="G46" s="341">
        <f>G45+H46</f>
        <v>19980</v>
      </c>
      <c r="H46" s="341">
        <f t="shared" si="3"/>
        <v>5990</v>
      </c>
      <c r="I46" s="342">
        <f t="shared" si="3"/>
        <v>0.31</v>
      </c>
      <c r="J46" s="80">
        <f>IF(J40&gt;G46,H46,IF(J40&lt;G45,0,J40-G45))</f>
        <v>0</v>
      </c>
      <c r="K46" s="80">
        <f t="shared" si="4"/>
        <v>0</v>
      </c>
      <c r="L46" s="80">
        <f>L45+K46</f>
        <v>0</v>
      </c>
      <c r="M46" s="331"/>
      <c r="N46" s="34"/>
      <c r="O46" s="34"/>
      <c r="P46" s="34"/>
      <c r="Q46" s="341">
        <f>Q45+R46</f>
        <v>239760</v>
      </c>
      <c r="R46" s="341">
        <f>H46*12</f>
        <v>71880</v>
      </c>
      <c r="S46" s="342">
        <f t="shared" si="5"/>
        <v>0.31</v>
      </c>
      <c r="T46" s="331">
        <f>IF(T40&gt;Q46,R46,IF(T40&lt;Q45,0,T40-Q45))</f>
        <v>0</v>
      </c>
      <c r="U46" s="331">
        <f t="shared" si="6"/>
        <v>0</v>
      </c>
      <c r="V46" s="331">
        <f>V45+U46</f>
        <v>0</v>
      </c>
      <c r="W46" s="331"/>
      <c r="X46" s="34"/>
      <c r="Z46" s="408"/>
      <c r="AA46" s="414" t="s">
        <v>588</v>
      </c>
      <c r="AB46" s="414"/>
    </row>
    <row r="47" spans="2:38" ht="22.5" x14ac:dyDescent="0.2">
      <c r="F47" s="34"/>
      <c r="G47" s="341">
        <f>G46+H47</f>
        <v>41790</v>
      </c>
      <c r="H47" s="341">
        <f t="shared" si="3"/>
        <v>21810</v>
      </c>
      <c r="I47" s="342">
        <f t="shared" si="3"/>
        <v>0.34</v>
      </c>
      <c r="J47" s="80">
        <f>IF(J40&gt;G47,H47,IF(J40&lt;G46,0,J40-G46))</f>
        <v>0</v>
      </c>
      <c r="K47" s="80">
        <f t="shared" si="4"/>
        <v>0</v>
      </c>
      <c r="L47" s="80">
        <f>L46+K47</f>
        <v>0</v>
      </c>
      <c r="M47" s="331"/>
      <c r="N47" s="34"/>
      <c r="O47" s="34"/>
      <c r="P47" s="34"/>
      <c r="Q47" s="341">
        <f>Q46+R47</f>
        <v>501480</v>
      </c>
      <c r="R47" s="341">
        <f>H47*12</f>
        <v>261720</v>
      </c>
      <c r="S47" s="342">
        <f t="shared" si="5"/>
        <v>0.34</v>
      </c>
      <c r="T47" s="331">
        <f>IF(T40&gt;Q47,R47,IF(T40&lt;Q46,0,T40-Q46))</f>
        <v>0</v>
      </c>
      <c r="U47" s="331">
        <f t="shared" si="6"/>
        <v>0</v>
      </c>
      <c r="V47" s="331">
        <f>V46+U47</f>
        <v>0</v>
      </c>
      <c r="W47" s="331"/>
      <c r="X47" s="34"/>
      <c r="Z47" s="408"/>
      <c r="AA47" s="423" t="str">
        <f>'[1]נתוני יסוד'!A38</f>
        <v>כספים ממקורות הפטורים במשיכה ח"פ בפרישה</v>
      </c>
      <c r="AB47" s="414">
        <f>'[1]נתוני יסוד'!B38</f>
        <v>0</v>
      </c>
      <c r="AC47" s="414">
        <f>AB47</f>
        <v>0</v>
      </c>
    </row>
    <row r="48" spans="2:38" x14ac:dyDescent="0.2">
      <c r="F48" s="34"/>
      <c r="G48" s="341">
        <v>99999999</v>
      </c>
      <c r="H48" s="341">
        <f>IF(J40-G47&gt;=0,J40-G47,0)</f>
        <v>0</v>
      </c>
      <c r="I48" s="342">
        <f>I18</f>
        <v>0.48</v>
      </c>
      <c r="J48" s="80">
        <f>IF(J40&gt;G48,H48,IF(J40&lt;G47,0,J40-G47))</f>
        <v>0</v>
      </c>
      <c r="K48" s="80">
        <f t="shared" si="4"/>
        <v>0</v>
      </c>
      <c r="L48" s="80">
        <f>L47+K48</f>
        <v>0</v>
      </c>
      <c r="M48" s="331"/>
      <c r="N48" s="34"/>
      <c r="O48" s="34"/>
      <c r="P48" s="34"/>
      <c r="Q48" s="341">
        <v>99999999</v>
      </c>
      <c r="R48" s="341">
        <f>IF(T40-Q47&gt;=0,T40-Q47,0)</f>
        <v>0</v>
      </c>
      <c r="S48" s="342">
        <f t="shared" si="5"/>
        <v>0.48</v>
      </c>
      <c r="T48" s="331">
        <f>IF(T40&gt;Q48,R48,IF(T40&lt;Q47,0,T40-Q47))</f>
        <v>0</v>
      </c>
      <c r="U48" s="331">
        <f t="shared" si="6"/>
        <v>0</v>
      </c>
      <c r="V48" s="331">
        <f>V47+U48</f>
        <v>0</v>
      </c>
      <c r="W48" s="331"/>
      <c r="X48" s="34"/>
      <c r="Z48" s="408"/>
      <c r="AA48" s="414"/>
      <c r="AB48" s="414"/>
    </row>
    <row r="49" spans="6:29" ht="25.5" x14ac:dyDescent="0.2">
      <c r="F49" s="34"/>
      <c r="G49" s="331"/>
      <c r="H49" s="331"/>
      <c r="I49" s="331"/>
      <c r="J49" s="331"/>
      <c r="K49" s="331"/>
      <c r="L49" s="331"/>
      <c r="M49" s="331" t="s">
        <v>635</v>
      </c>
      <c r="N49" s="331">
        <f>IF(L48-'[1]נתוני יסוד'!L2&gt;=0,L48-'[1]נתוני יסוד'!L2,0)</f>
        <v>0</v>
      </c>
      <c r="O49" s="34"/>
      <c r="P49" s="34"/>
      <c r="Q49" s="331"/>
      <c r="R49" s="331"/>
      <c r="S49" s="331"/>
      <c r="T49" s="331"/>
      <c r="U49" s="331"/>
      <c r="V49" s="331"/>
      <c r="W49" s="331" t="s">
        <v>635</v>
      </c>
      <c r="X49" s="331">
        <f>IF(V48-'[1]נתוני יסוד'!L1&gt;=0,V48-'[1]נתוני יסוד'!L1,0)</f>
        <v>0</v>
      </c>
      <c r="Z49" s="408"/>
      <c r="AA49" s="414"/>
      <c r="AB49" s="414"/>
    </row>
    <row r="50" spans="6:29" ht="27" customHeight="1" x14ac:dyDescent="0.2">
      <c r="F50" s="34"/>
      <c r="G50" s="34"/>
      <c r="H50" s="34"/>
      <c r="I50" s="34"/>
      <c r="J50" s="34"/>
      <c r="K50" s="34"/>
      <c r="L50" s="34"/>
      <c r="M50" s="34" t="s">
        <v>586</v>
      </c>
      <c r="N50" s="355">
        <f>H40-N49</f>
        <v>0</v>
      </c>
      <c r="O50" s="34"/>
      <c r="P50" s="34"/>
      <c r="Q50" s="34"/>
      <c r="R50" s="34"/>
      <c r="S50" s="34"/>
      <c r="T50" s="34"/>
      <c r="U50" s="34"/>
      <c r="V50" s="34"/>
      <c r="W50" s="34" t="s">
        <v>586</v>
      </c>
      <c r="X50" s="331">
        <f>R40-X49</f>
        <v>0</v>
      </c>
      <c r="Z50" s="408"/>
      <c r="AA50" s="414" t="s">
        <v>589</v>
      </c>
      <c r="AB50" s="421" t="e">
        <f>AB47+#REF!</f>
        <v>#REF!</v>
      </c>
      <c r="AC50" s="421" t="e">
        <f>AC47+#REF!</f>
        <v>#REF!</v>
      </c>
    </row>
    <row r="51" spans="6:29" x14ac:dyDescent="0.2"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Z51" s="408"/>
      <c r="AA51" s="414"/>
      <c r="AB51" s="414"/>
    </row>
    <row r="52" spans="6:29" ht="33" x14ac:dyDescent="0.2">
      <c r="F52" s="34"/>
      <c r="G52" s="1143" t="s">
        <v>658</v>
      </c>
      <c r="H52" s="1144"/>
      <c r="I52" s="1144"/>
      <c r="J52" s="1145"/>
      <c r="K52" s="34"/>
      <c r="L52" s="34"/>
      <c r="M52" s="34"/>
      <c r="N52" s="34"/>
      <c r="O52" s="34"/>
      <c r="P52" s="34"/>
      <c r="Q52" s="1146" t="s">
        <v>658</v>
      </c>
      <c r="R52" s="1146"/>
      <c r="S52" s="34"/>
      <c r="T52" s="34"/>
      <c r="U52" s="34"/>
      <c r="V52" s="34"/>
      <c r="W52" s="34"/>
      <c r="X52" s="34"/>
      <c r="Z52" s="408"/>
      <c r="AA52" s="423"/>
      <c r="AB52" s="412" t="s">
        <v>594</v>
      </c>
    </row>
    <row r="53" spans="6:29" x14ac:dyDescent="0.2">
      <c r="F53" s="34"/>
      <c r="G53" s="34"/>
      <c r="H53" s="34" t="s">
        <v>163</v>
      </c>
      <c r="I53" s="41">
        <v>68</v>
      </c>
      <c r="J53" s="1140" t="s">
        <v>433</v>
      </c>
      <c r="K53" s="1140"/>
      <c r="L53" s="41">
        <v>120</v>
      </c>
      <c r="M53" s="34" t="s">
        <v>231</v>
      </c>
      <c r="N53" s="416">
        <v>3.5</v>
      </c>
      <c r="O53" s="34"/>
      <c r="P53" s="34"/>
      <c r="Q53" s="34"/>
      <c r="R53" s="34" t="s">
        <v>163</v>
      </c>
      <c r="S53" s="41">
        <v>68</v>
      </c>
      <c r="T53" s="1140" t="s">
        <v>433</v>
      </c>
      <c r="U53" s="1140"/>
      <c r="V53" s="41">
        <v>120</v>
      </c>
      <c r="W53" s="34" t="s">
        <v>231</v>
      </c>
      <c r="X53" s="416">
        <v>3.5</v>
      </c>
      <c r="Z53" s="408"/>
      <c r="AA53" s="414"/>
      <c r="AB53" s="414"/>
    </row>
    <row r="54" spans="6:29" x14ac:dyDescent="0.2"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AA54" s="414"/>
      <c r="AB54" s="414"/>
    </row>
    <row r="55" spans="6:29" x14ac:dyDescent="0.2">
      <c r="F55" s="34"/>
      <c r="G55" s="34"/>
      <c r="H55" s="34" t="s">
        <v>245</v>
      </c>
      <c r="I55" s="1141">
        <f>PV(N53/100/12,(L53-I53)*12,N50,,1)*(-1)</f>
        <v>0</v>
      </c>
      <c r="J55" s="1141"/>
      <c r="K55" s="34"/>
      <c r="L55" s="34"/>
      <c r="M55" s="34"/>
      <c r="N55" s="34"/>
      <c r="O55" s="34"/>
      <c r="P55" s="34"/>
      <c r="Q55" s="34"/>
      <c r="R55" s="34" t="s">
        <v>245</v>
      </c>
      <c r="S55" s="1141">
        <f>PV(X53/100,(V53-S53),X50,,1)*(-1)</f>
        <v>0</v>
      </c>
      <c r="T55" s="1141"/>
      <c r="U55" s="34"/>
      <c r="V55" s="34"/>
      <c r="W55" s="34"/>
      <c r="X55" s="34"/>
      <c r="AA55" s="414"/>
      <c r="AB55" s="414"/>
    </row>
    <row r="56" spans="6:29" x14ac:dyDescent="0.2"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AA56" s="414"/>
      <c r="AB56" s="414"/>
    </row>
    <row r="57" spans="6:29" x14ac:dyDescent="0.2">
      <c r="F57" s="34"/>
      <c r="G57" s="1140" t="s">
        <v>660</v>
      </c>
      <c r="H57" s="1140"/>
      <c r="I57" s="1141">
        <f>PV(N53/100/12,(L53-I53)*12,I40,,1)*(-1)</f>
        <v>0</v>
      </c>
      <c r="J57" s="1141"/>
      <c r="K57" s="34"/>
      <c r="L57" s="34"/>
      <c r="M57" s="34"/>
      <c r="N57" s="34"/>
      <c r="O57" s="34"/>
      <c r="P57" s="34"/>
      <c r="Q57" s="1140" t="s">
        <v>660</v>
      </c>
      <c r="R57" s="1140"/>
      <c r="S57" s="1141">
        <f>PV(X53/100,(V53-S53),S40,,1)*(-1)</f>
        <v>0</v>
      </c>
      <c r="T57" s="1141"/>
      <c r="U57" s="34"/>
      <c r="V57" s="34"/>
      <c r="W57" s="34"/>
      <c r="X57" s="34"/>
      <c r="AA57" s="414"/>
      <c r="AB57" s="414"/>
    </row>
    <row r="58" spans="6:29" x14ac:dyDescent="0.2"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AA58" s="414"/>
      <c r="AB58" s="414"/>
    </row>
    <row r="59" spans="6:29" x14ac:dyDescent="0.2"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AA59" s="414"/>
      <c r="AB59" s="414"/>
    </row>
    <row r="60" spans="6:29" x14ac:dyDescent="0.2">
      <c r="AA60" s="414"/>
      <c r="AB60" s="414"/>
    </row>
    <row r="61" spans="6:29" x14ac:dyDescent="0.2">
      <c r="AA61" s="414"/>
      <c r="AB61" s="414"/>
    </row>
    <row r="62" spans="6:29" x14ac:dyDescent="0.2">
      <c r="AA62" s="414"/>
    </row>
  </sheetData>
  <sheetProtection password="83F6" sheet="1" objects="1" scenarios="1"/>
  <mergeCells count="58">
    <mergeCell ref="I55:J55"/>
    <mergeCell ref="S55:T55"/>
    <mergeCell ref="G57:H57"/>
    <mergeCell ref="I57:J57"/>
    <mergeCell ref="Q57:R57"/>
    <mergeCell ref="S57:T57"/>
    <mergeCell ref="J53:K53"/>
    <mergeCell ref="T53:U53"/>
    <mergeCell ref="B30:C30"/>
    <mergeCell ref="B31:C31"/>
    <mergeCell ref="B32:C32"/>
    <mergeCell ref="B33:C33"/>
    <mergeCell ref="B34:C34"/>
    <mergeCell ref="B35:C35"/>
    <mergeCell ref="B37:K37"/>
    <mergeCell ref="G38:K38"/>
    <mergeCell ref="Q38:U38"/>
    <mergeCell ref="G52:J52"/>
    <mergeCell ref="Q52:R52"/>
    <mergeCell ref="T23:U23"/>
    <mergeCell ref="I25:J25"/>
    <mergeCell ref="S25:T25"/>
    <mergeCell ref="G27:H27"/>
    <mergeCell ref="I27:J27"/>
    <mergeCell ref="Q27:R27"/>
    <mergeCell ref="S27:T27"/>
    <mergeCell ref="B18:C18"/>
    <mergeCell ref="B22:C22"/>
    <mergeCell ref="G22:J22"/>
    <mergeCell ref="Q22:R22"/>
    <mergeCell ref="B23:C23"/>
    <mergeCell ref="J23:K23"/>
    <mergeCell ref="B17:C17"/>
    <mergeCell ref="B8:K8"/>
    <mergeCell ref="Q8:S8"/>
    <mergeCell ref="G9:K9"/>
    <mergeCell ref="Q9:U9"/>
    <mergeCell ref="A10:C10"/>
    <mergeCell ref="A11:C11"/>
    <mergeCell ref="A12:C12"/>
    <mergeCell ref="A13:C13"/>
    <mergeCell ref="A14:C14"/>
    <mergeCell ref="A15:C15"/>
    <mergeCell ref="B16:C16"/>
    <mergeCell ref="B5:C5"/>
    <mergeCell ref="I5:K5"/>
    <mergeCell ref="Q5:S5"/>
    <mergeCell ref="B6:C6"/>
    <mergeCell ref="F6:G6"/>
    <mergeCell ref="I6:K6"/>
    <mergeCell ref="Q6:S6"/>
    <mergeCell ref="I4:K4"/>
    <mergeCell ref="Q4:S4"/>
    <mergeCell ref="I1:K1"/>
    <mergeCell ref="E2:G2"/>
    <mergeCell ref="I2:K2"/>
    <mergeCell ref="I3:K3"/>
    <mergeCell ref="Q3:S3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23">
    <tabColor indexed="56"/>
  </sheetPr>
  <dimension ref="A1:AF132"/>
  <sheetViews>
    <sheetView rightToLeft="1" workbookViewId="0">
      <selection activeCell="AL8" sqref="AL8"/>
    </sheetView>
  </sheetViews>
  <sheetFormatPr defaultRowHeight="12.75" x14ac:dyDescent="0.2"/>
  <cols>
    <col min="1" max="1" width="33.42578125" style="34" customWidth="1"/>
    <col min="2" max="2" width="19.7109375" style="34" customWidth="1"/>
    <col min="3" max="3" width="3.85546875" style="34" customWidth="1"/>
    <col min="4" max="4" width="23.7109375" style="34" customWidth="1"/>
    <col min="5" max="5" width="13.28515625" style="34" bestFit="1" customWidth="1"/>
    <col min="6" max="6" width="18.7109375" style="34" customWidth="1"/>
    <col min="7" max="14" width="14.7109375" style="34" customWidth="1"/>
    <col min="15" max="15" width="9.140625" style="34"/>
    <col min="16" max="16" width="9.85546875" style="34" bestFit="1" customWidth="1"/>
    <col min="17" max="17" width="14.28515625" style="34" customWidth="1"/>
    <col min="18" max="16384" width="9.140625" style="34"/>
  </cols>
  <sheetData>
    <row r="1" spans="1:32" ht="39" customHeight="1" thickTop="1" x14ac:dyDescent="0.2">
      <c r="A1" s="118" t="s">
        <v>361</v>
      </c>
      <c r="B1" s="33" t="str">
        <f>MyData!P8</f>
        <v>ענתבי איל</v>
      </c>
      <c r="D1" s="34" t="s">
        <v>362</v>
      </c>
      <c r="E1" s="35">
        <f>'נתונים ידניים'!D2</f>
        <v>0</v>
      </c>
      <c r="F1" s="36">
        <f ca="1">TODAY()</f>
        <v>43110</v>
      </c>
      <c r="G1" s="37"/>
      <c r="H1" s="124" t="s">
        <v>363</v>
      </c>
      <c r="I1" s="38">
        <v>178</v>
      </c>
      <c r="J1" s="39"/>
      <c r="K1" s="126" t="s">
        <v>364</v>
      </c>
      <c r="L1" s="127">
        <f>I1*B21*12</f>
        <v>4806</v>
      </c>
      <c r="P1" s="1051" t="s">
        <v>365</v>
      </c>
      <c r="Q1" s="1052"/>
      <c r="R1" s="1053"/>
      <c r="V1" s="1051" t="s">
        <v>366</v>
      </c>
      <c r="W1" s="1052"/>
      <c r="X1" s="1053"/>
      <c r="AB1" s="1051" t="s">
        <v>367</v>
      </c>
      <c r="AC1" s="1054"/>
      <c r="AD1" s="1055"/>
    </row>
    <row r="2" spans="1:32" ht="26.25" thickBot="1" x14ac:dyDescent="0.25">
      <c r="A2" s="118" t="s">
        <v>368</v>
      </c>
      <c r="B2" s="33" t="str">
        <f>MyData!P10</f>
        <v>גבר</v>
      </c>
      <c r="D2" s="40" t="s">
        <v>369</v>
      </c>
      <c r="E2" s="41">
        <f>'נתונים ידניים'!D3</f>
        <v>0</v>
      </c>
      <c r="G2" s="37"/>
      <c r="H2" s="125" t="s">
        <v>370</v>
      </c>
      <c r="I2" s="42">
        <v>7200</v>
      </c>
      <c r="J2" s="39"/>
      <c r="K2" s="126" t="s">
        <v>371</v>
      </c>
      <c r="L2" s="126">
        <f>I1*B21</f>
        <v>400.5</v>
      </c>
      <c r="P2" s="43" t="s">
        <v>372</v>
      </c>
      <c r="Q2" s="44">
        <v>14397</v>
      </c>
      <c r="R2" s="45">
        <v>65</v>
      </c>
      <c r="S2" s="46">
        <v>14397</v>
      </c>
      <c r="T2" s="34">
        <v>65</v>
      </c>
      <c r="V2" s="47" t="s">
        <v>373</v>
      </c>
      <c r="W2" s="48">
        <v>16224</v>
      </c>
      <c r="X2" s="49">
        <v>60</v>
      </c>
      <c r="Y2" s="50">
        <v>16224</v>
      </c>
      <c r="Z2" s="34">
        <v>60</v>
      </c>
      <c r="AB2" s="43" t="s">
        <v>374</v>
      </c>
      <c r="AC2" s="44">
        <v>14397</v>
      </c>
      <c r="AD2" s="45">
        <v>65</v>
      </c>
      <c r="AE2" s="50">
        <v>14427</v>
      </c>
      <c r="AF2" s="34">
        <v>65.33</v>
      </c>
    </row>
    <row r="3" spans="1:32" ht="26.25" thickBot="1" x14ac:dyDescent="0.25">
      <c r="A3" s="118" t="s">
        <v>48</v>
      </c>
      <c r="B3" s="35">
        <f>MyData!P9</f>
        <v>21920.083333333332</v>
      </c>
      <c r="D3" s="34" t="s">
        <v>375</v>
      </c>
      <c r="E3" s="51">
        <f>(B4-B3)/365.25</f>
        <v>-60.01391740816792</v>
      </c>
      <c r="G3" s="37"/>
      <c r="H3" s="125" t="s">
        <v>376</v>
      </c>
      <c r="I3" s="42">
        <v>7400</v>
      </c>
      <c r="J3" s="39"/>
      <c r="P3" s="52">
        <v>14427</v>
      </c>
      <c r="Q3" s="44" t="s">
        <v>377</v>
      </c>
      <c r="R3" s="45" t="s">
        <v>378</v>
      </c>
      <c r="S3" s="46">
        <v>14427</v>
      </c>
      <c r="T3" s="34">
        <v>65.33</v>
      </c>
      <c r="V3" s="53">
        <v>16254</v>
      </c>
      <c r="W3" s="48">
        <v>16285</v>
      </c>
      <c r="X3" s="49" t="s">
        <v>379</v>
      </c>
      <c r="Y3" s="50">
        <v>16254</v>
      </c>
      <c r="Z3" s="34">
        <v>60.33</v>
      </c>
      <c r="AB3" s="52">
        <v>14427</v>
      </c>
      <c r="AC3" s="44">
        <v>14458</v>
      </c>
      <c r="AD3" s="45" t="s">
        <v>378</v>
      </c>
      <c r="AE3" s="50">
        <v>14458</v>
      </c>
      <c r="AF3" s="34">
        <v>65.33</v>
      </c>
    </row>
    <row r="4" spans="1:32" ht="26.25" thickBot="1" x14ac:dyDescent="0.25">
      <c r="A4" s="118" t="s">
        <v>380</v>
      </c>
      <c r="B4" s="54"/>
      <c r="D4" s="40" t="s">
        <v>381</v>
      </c>
      <c r="E4" s="51">
        <f>(E1-B3)/365.25</f>
        <v>-60.01391740816792</v>
      </c>
      <c r="G4" s="37"/>
      <c r="H4" s="125" t="s">
        <v>382</v>
      </c>
      <c r="I4" s="42">
        <v>3850</v>
      </c>
      <c r="J4" s="39"/>
      <c r="P4" s="52">
        <v>14489</v>
      </c>
      <c r="Q4" s="44">
        <v>14702</v>
      </c>
      <c r="R4" s="45" t="s">
        <v>383</v>
      </c>
      <c r="S4" s="50">
        <v>14458</v>
      </c>
      <c r="T4" s="34">
        <v>65.33</v>
      </c>
      <c r="V4" s="53">
        <v>16316</v>
      </c>
      <c r="W4" s="48">
        <v>16528</v>
      </c>
      <c r="X4" s="49" t="s">
        <v>384</v>
      </c>
      <c r="Y4" s="50">
        <v>16285</v>
      </c>
      <c r="Z4" s="34">
        <v>60.33</v>
      </c>
      <c r="AB4" s="52">
        <v>14489</v>
      </c>
      <c r="AC4" s="44">
        <v>14702</v>
      </c>
      <c r="AD4" s="45" t="s">
        <v>383</v>
      </c>
      <c r="AE4" s="50">
        <v>14489</v>
      </c>
      <c r="AF4" s="34">
        <v>65.66</v>
      </c>
    </row>
    <row r="5" spans="1:32" ht="26.25" thickBot="1" x14ac:dyDescent="0.25">
      <c r="A5" s="118" t="s">
        <v>163</v>
      </c>
      <c r="B5" s="55">
        <f>B14</f>
        <v>65.584511749942962</v>
      </c>
      <c r="D5" s="40" t="s">
        <v>385</v>
      </c>
      <c r="E5" s="56">
        <f>INT(E4+0.5)</f>
        <v>-60</v>
      </c>
      <c r="G5" s="37"/>
      <c r="H5" s="57" t="s">
        <v>386</v>
      </c>
      <c r="I5" s="58">
        <v>10500</v>
      </c>
      <c r="J5" s="39"/>
      <c r="K5" s="59"/>
      <c r="L5" s="59"/>
      <c r="M5" s="59"/>
      <c r="P5" s="52">
        <v>14732</v>
      </c>
      <c r="Q5" s="44">
        <v>14946</v>
      </c>
      <c r="R5" s="45">
        <v>66</v>
      </c>
      <c r="S5" s="46">
        <v>14489</v>
      </c>
      <c r="T5" s="34">
        <v>65.33</v>
      </c>
      <c r="V5" s="53">
        <v>16558</v>
      </c>
      <c r="W5" s="48">
        <v>16772</v>
      </c>
      <c r="X5" s="49">
        <v>61</v>
      </c>
      <c r="Y5" s="50">
        <v>16316</v>
      </c>
      <c r="Z5" s="34">
        <v>60.66</v>
      </c>
      <c r="AB5" s="52">
        <v>14732</v>
      </c>
      <c r="AC5" s="44">
        <v>14946</v>
      </c>
      <c r="AD5" s="45">
        <v>66</v>
      </c>
      <c r="AE5" s="50">
        <v>14519</v>
      </c>
      <c r="AF5" s="34">
        <v>65.66</v>
      </c>
    </row>
    <row r="6" spans="1:32" ht="12.75" customHeight="1" thickTop="1" thickBot="1" x14ac:dyDescent="0.25">
      <c r="A6" s="118" t="s">
        <v>387</v>
      </c>
      <c r="B6" s="55">
        <f>B3+(B5*365.25)</f>
        <v>45874.826249999998</v>
      </c>
      <c r="D6" s="34" t="s">
        <v>388</v>
      </c>
      <c r="E6" s="51">
        <v>0</v>
      </c>
      <c r="H6" s="60"/>
      <c r="I6" s="60"/>
      <c r="J6" s="37"/>
      <c r="K6" s="1056" t="s">
        <v>389</v>
      </c>
      <c r="L6" s="1057"/>
      <c r="M6" s="61">
        <f>I5*(B7-B9)</f>
        <v>1318783.5061601643</v>
      </c>
      <c r="N6" s="39"/>
      <c r="P6" s="52">
        <v>14977</v>
      </c>
      <c r="Q6" s="44">
        <v>15189</v>
      </c>
      <c r="R6" s="45" t="s">
        <v>390</v>
      </c>
      <c r="S6" s="46">
        <v>14519</v>
      </c>
      <c r="T6" s="34">
        <v>65.33</v>
      </c>
      <c r="V6" s="53">
        <v>16803</v>
      </c>
      <c r="W6" s="48">
        <v>17015</v>
      </c>
      <c r="X6" s="49" t="s">
        <v>391</v>
      </c>
      <c r="Y6" s="50">
        <v>16346</v>
      </c>
      <c r="Z6" s="34">
        <v>60.66</v>
      </c>
      <c r="AB6" s="52">
        <v>14977</v>
      </c>
      <c r="AC6" s="44">
        <v>15189</v>
      </c>
      <c r="AD6" s="45" t="s">
        <v>390</v>
      </c>
      <c r="AE6" s="50">
        <v>14550</v>
      </c>
      <c r="AF6" s="34">
        <v>65.66</v>
      </c>
    </row>
    <row r="7" spans="1:32" ht="26.25" customHeight="1" thickBot="1" x14ac:dyDescent="0.25">
      <c r="A7" s="118" t="s">
        <v>392</v>
      </c>
      <c r="B7" s="55">
        <f>((B6-B4)/365.25)-B9</f>
        <v>125.59842915811087</v>
      </c>
      <c r="K7" s="60"/>
      <c r="L7" s="60"/>
      <c r="M7" s="60"/>
      <c r="P7" s="52">
        <v>15220</v>
      </c>
      <c r="Q7" s="44">
        <v>15432</v>
      </c>
      <c r="R7" s="45" t="s">
        <v>393</v>
      </c>
      <c r="S7" s="50">
        <v>14550</v>
      </c>
      <c r="T7" s="34">
        <v>65.66</v>
      </c>
      <c r="V7" s="53">
        <v>17046</v>
      </c>
      <c r="W7" s="48">
        <v>17258</v>
      </c>
      <c r="X7" s="49" t="s">
        <v>394</v>
      </c>
      <c r="Y7" s="50">
        <v>16377</v>
      </c>
      <c r="Z7" s="34">
        <v>60.66</v>
      </c>
      <c r="AB7" s="52">
        <v>15220</v>
      </c>
      <c r="AC7" s="44">
        <v>15432</v>
      </c>
      <c r="AD7" s="45" t="s">
        <v>393</v>
      </c>
      <c r="AE7" s="50">
        <v>14580</v>
      </c>
      <c r="AF7" s="34">
        <v>65.66</v>
      </c>
    </row>
    <row r="8" spans="1:32" ht="13.5" thickBot="1" x14ac:dyDescent="0.25">
      <c r="A8" s="118" t="s">
        <v>395</v>
      </c>
      <c r="B8" s="62">
        <f>B7*12</f>
        <v>1507.1811498973304</v>
      </c>
      <c r="F8" s="34">
        <f>SUM(F2)</f>
        <v>0</v>
      </c>
      <c r="P8" s="52">
        <v>15462</v>
      </c>
      <c r="Q8" s="45" t="s">
        <v>396</v>
      </c>
      <c r="R8" s="45">
        <v>67</v>
      </c>
      <c r="S8" s="46">
        <v>14580</v>
      </c>
      <c r="T8" s="34">
        <v>65.66</v>
      </c>
      <c r="V8" s="53">
        <v>17288</v>
      </c>
      <c r="W8" s="48">
        <v>18233</v>
      </c>
      <c r="X8" s="49">
        <v>62</v>
      </c>
      <c r="Y8" s="50">
        <v>16407</v>
      </c>
      <c r="Z8" s="34">
        <v>60.66</v>
      </c>
      <c r="AB8" s="52">
        <v>15462</v>
      </c>
      <c r="AC8" s="44">
        <v>16407</v>
      </c>
      <c r="AD8" s="45">
        <v>67</v>
      </c>
      <c r="AE8" s="50">
        <v>14611</v>
      </c>
      <c r="AF8" s="34">
        <v>65.66</v>
      </c>
    </row>
    <row r="9" spans="1:32" ht="16.5" customHeight="1" thickBot="1" x14ac:dyDescent="0.25">
      <c r="A9" s="118" t="s">
        <v>397</v>
      </c>
      <c r="B9" s="62"/>
      <c r="D9" s="63" t="s">
        <v>370</v>
      </c>
      <c r="E9" s="64">
        <f>I2</f>
        <v>7200</v>
      </c>
      <c r="S9" s="46">
        <v>14611</v>
      </c>
      <c r="T9" s="34">
        <v>65.66</v>
      </c>
      <c r="V9" s="53">
        <v>18264</v>
      </c>
      <c r="W9" s="48">
        <v>18476</v>
      </c>
      <c r="X9" s="49" t="s">
        <v>398</v>
      </c>
      <c r="Y9" s="50">
        <v>16438</v>
      </c>
      <c r="Z9" s="34">
        <v>60.66</v>
      </c>
      <c r="AB9" s="52">
        <v>16438</v>
      </c>
      <c r="AC9" s="44">
        <v>16650</v>
      </c>
      <c r="AD9" s="45" t="s">
        <v>399</v>
      </c>
      <c r="AE9" s="50">
        <v>14642</v>
      </c>
      <c r="AF9" s="34">
        <v>65.66</v>
      </c>
    </row>
    <row r="10" spans="1:32" ht="22.5" customHeight="1" thickBot="1" x14ac:dyDescent="0.25">
      <c r="A10" s="118" t="s">
        <v>400</v>
      </c>
      <c r="B10" s="65"/>
      <c r="D10" s="63" t="s">
        <v>376</v>
      </c>
      <c r="E10" s="64">
        <f>I3</f>
        <v>7400</v>
      </c>
      <c r="L10" s="66"/>
      <c r="S10" s="50">
        <v>14642</v>
      </c>
      <c r="T10" s="34">
        <v>65.66</v>
      </c>
      <c r="V10" s="53">
        <v>18507</v>
      </c>
      <c r="W10" s="48">
        <v>18719</v>
      </c>
      <c r="X10" s="49" t="s">
        <v>401</v>
      </c>
      <c r="Y10" s="50">
        <v>16469</v>
      </c>
      <c r="Z10" s="34">
        <v>60.66</v>
      </c>
      <c r="AB10" s="52">
        <v>16681</v>
      </c>
      <c r="AC10" s="44">
        <v>16893</v>
      </c>
      <c r="AD10" s="45" t="s">
        <v>402</v>
      </c>
      <c r="AE10" s="50">
        <v>14671</v>
      </c>
      <c r="AF10" s="34">
        <v>65.66</v>
      </c>
    </row>
    <row r="11" spans="1:32" ht="19.5" customHeight="1" thickBot="1" x14ac:dyDescent="0.25">
      <c r="A11" s="34" t="s">
        <v>403</v>
      </c>
      <c r="B11" s="34">
        <f>IF(B2="גבר",L12,N12)</f>
        <v>67</v>
      </c>
      <c r="D11" s="63" t="str">
        <f>H5</f>
        <v>פיצויים פטורים לשנת עבודה</v>
      </c>
      <c r="E11" s="67">
        <f>I5</f>
        <v>10500</v>
      </c>
      <c r="G11" s="34" t="s">
        <v>404</v>
      </c>
      <c r="H11" s="51">
        <f>E4-E3</f>
        <v>0</v>
      </c>
      <c r="K11" s="66"/>
      <c r="L11" s="66"/>
      <c r="S11" s="46">
        <v>14671</v>
      </c>
      <c r="T11" s="34">
        <v>65.66</v>
      </c>
      <c r="V11" s="53">
        <v>18749</v>
      </c>
      <c r="W11" s="48">
        <v>18963</v>
      </c>
      <c r="X11" s="49">
        <v>63</v>
      </c>
      <c r="Y11" s="50">
        <v>16497</v>
      </c>
      <c r="Z11" s="34">
        <v>60.66</v>
      </c>
      <c r="AB11" s="52">
        <v>16923</v>
      </c>
      <c r="AC11" s="44">
        <v>17137</v>
      </c>
      <c r="AD11" s="45">
        <v>68</v>
      </c>
      <c r="AE11" s="50">
        <v>14702</v>
      </c>
      <c r="AF11" s="34">
        <v>65.66</v>
      </c>
    </row>
    <row r="12" spans="1:32" ht="39" thickBot="1" x14ac:dyDescent="0.25">
      <c r="G12" s="34" t="s">
        <v>405</v>
      </c>
      <c r="H12" s="68">
        <f>(E1-B4)/365.25</f>
        <v>0</v>
      </c>
      <c r="I12" s="128" t="s">
        <v>406</v>
      </c>
      <c r="K12" s="40" t="s">
        <v>407</v>
      </c>
      <c r="L12" s="34">
        <f>IF(B2="גבר",IF(B3&lt;=DATE(1939,6,1),65,IF(B3&gt;=DATE(1942,5,1),67,VLOOKUP(B3,S2:T37,2))))</f>
        <v>67</v>
      </c>
      <c r="M12" s="40" t="s">
        <v>408</v>
      </c>
      <c r="N12" s="34" t="b">
        <f>IF(B2="אשה",IF(B3&lt;DATE(1944,7,1),60,IF(B3&gt;=DATE(1953,5,1),67,VLOOKUP(B3,Y2:Z109,2))))</f>
        <v>0</v>
      </c>
      <c r="S12" s="46">
        <v>14702</v>
      </c>
      <c r="T12" s="34">
        <v>65.66</v>
      </c>
      <c r="V12" s="53">
        <v>18994</v>
      </c>
      <c r="W12" s="48">
        <v>19207</v>
      </c>
      <c r="X12" s="49" t="s">
        <v>409</v>
      </c>
      <c r="Y12" s="50">
        <v>16528</v>
      </c>
      <c r="Z12" s="34">
        <v>60.66</v>
      </c>
      <c r="AB12" s="52">
        <v>17168</v>
      </c>
      <c r="AC12" s="44">
        <v>17380</v>
      </c>
      <c r="AD12" s="45" t="s">
        <v>410</v>
      </c>
      <c r="AE12" s="50">
        <v>14732</v>
      </c>
      <c r="AF12" s="34">
        <v>66</v>
      </c>
    </row>
    <row r="13" spans="1:32" ht="39" thickBot="1" x14ac:dyDescent="0.25">
      <c r="A13" s="120" t="s">
        <v>411</v>
      </c>
      <c r="B13" s="69">
        <f>'נתונים ידניים'!D4</f>
        <v>45873</v>
      </c>
      <c r="D13" s="118" t="s">
        <v>412</v>
      </c>
      <c r="E13" s="70">
        <f>FLOOR(I13,1)</f>
        <v>-937</v>
      </c>
      <c r="G13" s="34" t="s">
        <v>413</v>
      </c>
      <c r="H13" s="71">
        <f>(E1-B4)/30.4375</f>
        <v>0</v>
      </c>
      <c r="I13" s="129">
        <f>(E4-18)*12</f>
        <v>-936.16700889801496</v>
      </c>
      <c r="K13" s="40" t="s">
        <v>414</v>
      </c>
      <c r="L13" s="72">
        <v>70</v>
      </c>
      <c r="M13" s="40" t="s">
        <v>415</v>
      </c>
      <c r="N13" s="34" t="b">
        <f>IF(B2="אשה",IF(B3&lt;DATE(1939,7,1),65,IF(B3&gt;=DATE(1950,5,1),70,VLOOKUP(B3,AE2:AF132,2))))</f>
        <v>0</v>
      </c>
      <c r="S13" s="50">
        <v>14732</v>
      </c>
      <c r="T13" s="34">
        <v>66</v>
      </c>
      <c r="V13" s="53">
        <v>19238</v>
      </c>
      <c r="W13" s="48">
        <v>19450</v>
      </c>
      <c r="X13" s="49" t="s">
        <v>416</v>
      </c>
      <c r="Y13" s="50">
        <v>16558</v>
      </c>
      <c r="Z13" s="34">
        <v>61</v>
      </c>
      <c r="AB13" s="52">
        <v>17411</v>
      </c>
      <c r="AC13" s="44">
        <v>17624</v>
      </c>
      <c r="AD13" s="45" t="s">
        <v>417</v>
      </c>
      <c r="AE13" s="50">
        <v>14763</v>
      </c>
      <c r="AF13" s="34">
        <v>66</v>
      </c>
    </row>
    <row r="14" spans="1:32" ht="13.5" thickBot="1" x14ac:dyDescent="0.25">
      <c r="A14" s="120" t="s">
        <v>418</v>
      </c>
      <c r="B14" s="73">
        <f>((B13-B3)/365.25)+0.005</f>
        <v>65.584511749942962</v>
      </c>
      <c r="D14" s="34" t="s">
        <v>419</v>
      </c>
      <c r="E14" s="55">
        <f>((B5-E4)*12)-0.01</f>
        <v>1507.1711498973307</v>
      </c>
      <c r="S14" s="46">
        <v>14763</v>
      </c>
      <c r="T14" s="34">
        <v>66</v>
      </c>
      <c r="V14" s="53">
        <v>19480</v>
      </c>
      <c r="W14" s="49" t="s">
        <v>396</v>
      </c>
      <c r="X14" s="49">
        <v>64</v>
      </c>
      <c r="Y14" s="50">
        <v>16589</v>
      </c>
      <c r="Z14" s="34">
        <v>61</v>
      </c>
      <c r="AB14" s="74">
        <v>17654</v>
      </c>
      <c r="AC14" s="74">
        <v>17868</v>
      </c>
      <c r="AD14" s="75">
        <v>69</v>
      </c>
      <c r="AE14" s="50">
        <v>14793</v>
      </c>
      <c r="AF14" s="34">
        <v>66</v>
      </c>
    </row>
    <row r="15" spans="1:32" ht="13.5" thickBot="1" x14ac:dyDescent="0.25">
      <c r="D15" s="34" t="s">
        <v>420</v>
      </c>
      <c r="E15" s="76">
        <f>IF((E13/12)&lt;(E4-18),(E13+E14)/12,"???")</f>
        <v>47.514262491444221</v>
      </c>
      <c r="J15" s="50"/>
      <c r="L15" s="34">
        <v>70</v>
      </c>
      <c r="S15" s="46">
        <v>14793</v>
      </c>
      <c r="T15" s="34">
        <v>66</v>
      </c>
      <c r="Y15" s="50">
        <v>16619</v>
      </c>
      <c r="Z15" s="34">
        <v>61</v>
      </c>
      <c r="AB15" s="53"/>
      <c r="AC15" s="53"/>
      <c r="AD15" s="77"/>
      <c r="AE15" s="50">
        <v>14824</v>
      </c>
      <c r="AF15" s="34">
        <v>66</v>
      </c>
    </row>
    <row r="16" spans="1:32" ht="26.25" thickBot="1" x14ac:dyDescent="0.25">
      <c r="A16" s="34" t="s">
        <v>421</v>
      </c>
      <c r="B16" s="56">
        <f>(B5-E4)</f>
        <v>125.59842915811089</v>
      </c>
      <c r="F16" s="34" t="s">
        <v>422</v>
      </c>
      <c r="G16" s="78">
        <v>35</v>
      </c>
      <c r="J16" s="50"/>
      <c r="K16" s="50"/>
      <c r="M16" s="79"/>
      <c r="S16" s="50">
        <v>14824</v>
      </c>
      <c r="T16" s="34">
        <v>66</v>
      </c>
      <c r="Y16" s="50">
        <v>16650</v>
      </c>
      <c r="Z16" s="34">
        <v>61</v>
      </c>
      <c r="AB16" s="52">
        <v>17899</v>
      </c>
      <c r="AC16" s="44">
        <v>18111</v>
      </c>
      <c r="AD16" s="45" t="s">
        <v>423</v>
      </c>
      <c r="AE16" s="50">
        <v>14855</v>
      </c>
      <c r="AF16" s="34">
        <v>66</v>
      </c>
    </row>
    <row r="17" spans="1:32" ht="26.25" thickBot="1" x14ac:dyDescent="0.25">
      <c r="A17" s="34" t="s">
        <v>424</v>
      </c>
      <c r="B17" s="80">
        <f>(B6-E1)/365.25</f>
        <v>125.59842915811087</v>
      </c>
      <c r="F17" s="34" t="s">
        <v>425</v>
      </c>
      <c r="G17" s="78">
        <f>G16*12</f>
        <v>420</v>
      </c>
      <c r="S17" s="46">
        <v>14855</v>
      </c>
      <c r="T17" s="34">
        <v>66</v>
      </c>
      <c r="Y17" s="50">
        <v>16681</v>
      </c>
      <c r="Z17" s="34">
        <v>61</v>
      </c>
      <c r="AB17" s="52">
        <v>18142</v>
      </c>
      <c r="AC17" s="44">
        <v>18354</v>
      </c>
      <c r="AD17" s="45" t="s">
        <v>426</v>
      </c>
      <c r="AE17" s="50">
        <v>14885</v>
      </c>
      <c r="AF17" s="34">
        <v>66</v>
      </c>
    </row>
    <row r="18" spans="1:32" ht="13.5" thickBot="1" x14ac:dyDescent="0.25">
      <c r="S18" s="46">
        <v>14885</v>
      </c>
      <c r="T18" s="34">
        <v>66</v>
      </c>
      <c r="Y18" s="50">
        <v>16711</v>
      </c>
      <c r="Z18" s="34">
        <v>61</v>
      </c>
      <c r="AB18" s="52">
        <v>18384</v>
      </c>
      <c r="AC18" s="45" t="s">
        <v>396</v>
      </c>
      <c r="AD18" s="45">
        <v>70</v>
      </c>
      <c r="AE18" s="50">
        <v>14916</v>
      </c>
      <c r="AF18" s="34">
        <v>66</v>
      </c>
    </row>
    <row r="19" spans="1:32" x14ac:dyDescent="0.2">
      <c r="S19" s="50">
        <v>14916</v>
      </c>
      <c r="T19" s="34">
        <v>66</v>
      </c>
      <c r="Y19" s="50">
        <v>16742</v>
      </c>
      <c r="Z19" s="34">
        <v>61</v>
      </c>
      <c r="AE19" s="50">
        <v>14946</v>
      </c>
      <c r="AF19" s="34">
        <v>66</v>
      </c>
    </row>
    <row r="20" spans="1:32" x14ac:dyDescent="0.2">
      <c r="D20" s="34" t="s">
        <v>427</v>
      </c>
      <c r="E20" s="81" t="s">
        <v>428</v>
      </c>
      <c r="F20" s="34" t="s">
        <v>429</v>
      </c>
      <c r="S20" s="46">
        <v>14946</v>
      </c>
      <c r="T20" s="34">
        <v>66</v>
      </c>
      <c r="Y20" s="50">
        <v>16772</v>
      </c>
      <c r="Z20" s="34">
        <v>61</v>
      </c>
      <c r="AE20" s="50">
        <v>14977</v>
      </c>
      <c r="AF20" s="34">
        <v>66.33</v>
      </c>
    </row>
    <row r="21" spans="1:32" x14ac:dyDescent="0.2">
      <c r="A21" s="121" t="s">
        <v>430</v>
      </c>
      <c r="B21" s="120">
        <v>2.25</v>
      </c>
      <c r="D21" s="142" t="s">
        <v>431</v>
      </c>
      <c r="E21" s="82"/>
      <c r="F21" s="139" t="s">
        <v>432</v>
      </c>
      <c r="G21" s="83">
        <f>IF(B7&gt;=35,70%,B7*2%)</f>
        <v>0.7</v>
      </c>
      <c r="S21" s="46">
        <v>14977</v>
      </c>
      <c r="T21" s="34">
        <v>66.33</v>
      </c>
      <c r="Y21" s="50">
        <v>16803</v>
      </c>
      <c r="Z21" s="34">
        <v>61.33</v>
      </c>
      <c r="AE21" s="50">
        <v>15008</v>
      </c>
      <c r="AF21" s="34">
        <v>66.33</v>
      </c>
    </row>
    <row r="22" spans="1:32" ht="18.75" customHeight="1" x14ac:dyDescent="0.2">
      <c r="A22" s="121" t="s">
        <v>433</v>
      </c>
      <c r="B22" s="120">
        <v>90</v>
      </c>
      <c r="S22" s="50">
        <v>15008</v>
      </c>
      <c r="T22" s="34">
        <v>66.33</v>
      </c>
      <c r="Y22" s="50">
        <v>16834</v>
      </c>
      <c r="Z22" s="34">
        <v>61.33</v>
      </c>
      <c r="AE22" s="50">
        <v>15036</v>
      </c>
      <c r="AF22" s="34">
        <v>66.33</v>
      </c>
    </row>
    <row r="23" spans="1:32" x14ac:dyDescent="0.2">
      <c r="A23" s="121" t="s">
        <v>434</v>
      </c>
      <c r="B23" s="130">
        <v>2.5</v>
      </c>
      <c r="D23" s="135" t="s">
        <v>435</v>
      </c>
      <c r="E23" s="136">
        <v>0</v>
      </c>
      <c r="F23" s="34" t="s">
        <v>436</v>
      </c>
      <c r="S23" s="46">
        <v>15036</v>
      </c>
      <c r="T23" s="34">
        <v>66.33</v>
      </c>
      <c r="Y23" s="50">
        <v>16862</v>
      </c>
      <c r="Z23" s="34">
        <v>61.33</v>
      </c>
      <c r="AE23" s="50">
        <v>15067</v>
      </c>
      <c r="AF23" s="34">
        <v>66.33</v>
      </c>
    </row>
    <row r="24" spans="1:32" x14ac:dyDescent="0.2">
      <c r="D24" s="135" t="s">
        <v>437</v>
      </c>
      <c r="E24" s="136">
        <v>0</v>
      </c>
      <c r="F24" s="122" t="s">
        <v>438</v>
      </c>
      <c r="I24" s="65" t="s">
        <v>439</v>
      </c>
      <c r="J24" s="65">
        <v>1</v>
      </c>
      <c r="S24" s="46">
        <v>15067</v>
      </c>
      <c r="T24" s="34">
        <v>66.33</v>
      </c>
      <c r="Y24" s="50">
        <v>16893</v>
      </c>
      <c r="Z24" s="34">
        <v>61.33</v>
      </c>
      <c r="AE24" s="50">
        <v>15097</v>
      </c>
      <c r="AF24" s="34">
        <v>66.33</v>
      </c>
    </row>
    <row r="25" spans="1:32" ht="20.25" customHeight="1" x14ac:dyDescent="0.2">
      <c r="A25" s="84" t="s">
        <v>440</v>
      </c>
      <c r="B25" s="85">
        <f>IF(B2="גבר",(B26*0.57),B26*0.28)</f>
        <v>0</v>
      </c>
      <c r="D25" s="123" t="s">
        <v>441</v>
      </c>
      <c r="E25" s="86">
        <f>J29</f>
        <v>1004.7874332648869</v>
      </c>
      <c r="F25" s="34" t="s">
        <v>442</v>
      </c>
      <c r="I25" s="78" t="s">
        <v>443</v>
      </c>
      <c r="J25" s="78">
        <f>B7*12</f>
        <v>1507.1811498973304</v>
      </c>
      <c r="S25" s="50">
        <v>15097</v>
      </c>
      <c r="T25" s="34">
        <v>66.33</v>
      </c>
      <c r="Y25" s="50">
        <v>16923</v>
      </c>
      <c r="Z25" s="34">
        <v>61.33</v>
      </c>
      <c r="AE25" s="50">
        <v>15128</v>
      </c>
      <c r="AF25" s="34">
        <v>66.33</v>
      </c>
    </row>
    <row r="26" spans="1:32" ht="25.5" x14ac:dyDescent="0.2">
      <c r="A26" s="131" t="s">
        <v>444</v>
      </c>
      <c r="B26" s="85">
        <f>E21*G21</f>
        <v>0</v>
      </c>
      <c r="D26" s="123" t="s">
        <v>445</v>
      </c>
      <c r="E26" s="55">
        <v>0</v>
      </c>
      <c r="I26" s="78" t="s">
        <v>446</v>
      </c>
      <c r="J26" s="78">
        <f>J25*2.5</f>
        <v>3767.952874743326</v>
      </c>
      <c r="S26" s="46">
        <v>15128</v>
      </c>
      <c r="T26" s="34">
        <v>66.33</v>
      </c>
      <c r="Y26" s="50">
        <v>16954</v>
      </c>
      <c r="Z26" s="34">
        <v>61.33</v>
      </c>
      <c r="AE26" s="50">
        <v>15158</v>
      </c>
      <c r="AF26" s="34">
        <v>66.33</v>
      </c>
    </row>
    <row r="27" spans="1:32" x14ac:dyDescent="0.2">
      <c r="A27" s="119" t="s">
        <v>447</v>
      </c>
      <c r="B27" s="85">
        <v>0</v>
      </c>
      <c r="D27" s="137" t="s">
        <v>448</v>
      </c>
      <c r="E27" s="138">
        <v>0</v>
      </c>
      <c r="I27" s="87" t="s">
        <v>449</v>
      </c>
      <c r="J27" s="87">
        <v>0</v>
      </c>
      <c r="S27" s="46">
        <v>15158</v>
      </c>
      <c r="T27" s="34">
        <v>66.33</v>
      </c>
      <c r="Y27" s="50">
        <v>16984</v>
      </c>
      <c r="Z27" s="34">
        <v>61.33</v>
      </c>
      <c r="AE27" s="50">
        <v>15189</v>
      </c>
      <c r="AF27" s="34">
        <v>66.33</v>
      </c>
    </row>
    <row r="28" spans="1:32" x14ac:dyDescent="0.2">
      <c r="A28" s="117" t="s">
        <v>450</v>
      </c>
      <c r="B28" s="85">
        <v>0</v>
      </c>
      <c r="G28" s="37"/>
      <c r="I28" s="88" t="s">
        <v>451</v>
      </c>
      <c r="J28" s="88">
        <f>J26-J27</f>
        <v>3767.952874743326</v>
      </c>
      <c r="K28" s="59"/>
      <c r="L28" s="59"/>
      <c r="M28" s="59"/>
      <c r="S28" s="50">
        <v>15189</v>
      </c>
      <c r="T28" s="34">
        <v>66.33</v>
      </c>
      <c r="Y28" s="50">
        <v>17015</v>
      </c>
      <c r="Z28" s="34">
        <v>61.33</v>
      </c>
      <c r="AE28" s="50">
        <v>15220</v>
      </c>
      <c r="AF28" s="34">
        <v>66.66</v>
      </c>
    </row>
    <row r="29" spans="1:32" x14ac:dyDescent="0.2">
      <c r="A29" s="117" t="s">
        <v>452</v>
      </c>
      <c r="B29" s="85">
        <v>0</v>
      </c>
      <c r="I29" s="89" t="s">
        <v>453</v>
      </c>
      <c r="J29" s="90">
        <f>(J24*J28)*K30</f>
        <v>1004.7874332648869</v>
      </c>
      <c r="K29" s="91"/>
      <c r="L29" s="92">
        <v>8</v>
      </c>
      <c r="M29" s="93" t="s">
        <v>454</v>
      </c>
      <c r="N29" s="39"/>
      <c r="S29" s="46">
        <v>15220</v>
      </c>
      <c r="T29" s="34">
        <v>66.66</v>
      </c>
      <c r="Y29" s="50">
        <v>17046</v>
      </c>
      <c r="Z29" s="34">
        <v>61.66</v>
      </c>
      <c r="AE29" s="50">
        <v>15250</v>
      </c>
      <c r="AF29" s="34">
        <v>66.66</v>
      </c>
    </row>
    <row r="30" spans="1:32" ht="21" customHeight="1" x14ac:dyDescent="0.2">
      <c r="A30" s="132" t="s">
        <v>455</v>
      </c>
      <c r="B30" s="85">
        <v>0</v>
      </c>
      <c r="J30" s="37"/>
      <c r="K30" s="94">
        <f>L29/L30</f>
        <v>0.26666666666666666</v>
      </c>
      <c r="L30" s="95">
        <v>30</v>
      </c>
      <c r="M30" s="96" t="s">
        <v>456</v>
      </c>
      <c r="N30" s="39"/>
      <c r="S30" s="46">
        <v>15250</v>
      </c>
      <c r="T30" s="34">
        <v>66.66</v>
      </c>
      <c r="Y30" s="50">
        <v>17076</v>
      </c>
      <c r="Z30" s="34">
        <v>61.66</v>
      </c>
      <c r="AE30" s="50">
        <v>15281</v>
      </c>
      <c r="AF30" s="34">
        <v>66.66</v>
      </c>
    </row>
    <row r="31" spans="1:32" x14ac:dyDescent="0.2">
      <c r="A31" s="117" t="s">
        <v>457</v>
      </c>
      <c r="B31" s="134"/>
      <c r="D31" s="140" t="s">
        <v>458</v>
      </c>
      <c r="E31" s="141"/>
      <c r="K31" s="97"/>
      <c r="L31" s="60"/>
      <c r="M31" s="60"/>
      <c r="S31" s="50">
        <v>15281</v>
      </c>
      <c r="T31" s="34">
        <v>66.66</v>
      </c>
      <c r="Y31" s="50">
        <v>17107</v>
      </c>
      <c r="Z31" s="34">
        <v>61.66</v>
      </c>
      <c r="AE31" s="50">
        <v>15311</v>
      </c>
      <c r="AF31" s="34">
        <v>66.66</v>
      </c>
    </row>
    <row r="32" spans="1:32" x14ac:dyDescent="0.2">
      <c r="S32" s="46">
        <v>15311</v>
      </c>
      <c r="T32" s="34">
        <v>66.66</v>
      </c>
      <c r="Y32" s="50">
        <v>17137</v>
      </c>
      <c r="Z32" s="34">
        <v>61.66</v>
      </c>
      <c r="AE32" s="50">
        <v>15342</v>
      </c>
      <c r="AF32" s="34">
        <v>66.66</v>
      </c>
    </row>
    <row r="33" spans="1:32" x14ac:dyDescent="0.2">
      <c r="A33" s="135" t="s">
        <v>459</v>
      </c>
      <c r="B33" s="98">
        <f>E26+E23+E24+E27</f>
        <v>0</v>
      </c>
      <c r="S33" s="46">
        <v>15342</v>
      </c>
      <c r="T33" s="34">
        <v>66.66</v>
      </c>
      <c r="Y33" s="50">
        <v>17168</v>
      </c>
      <c r="Z33" s="34">
        <v>61.66</v>
      </c>
      <c r="AE33" s="50">
        <v>15373</v>
      </c>
      <c r="AF33" s="34">
        <v>66.66</v>
      </c>
    </row>
    <row r="34" spans="1:32" x14ac:dyDescent="0.2">
      <c r="A34" s="135" t="s">
        <v>460</v>
      </c>
      <c r="B34" s="98">
        <v>0</v>
      </c>
      <c r="S34" s="50">
        <v>15373</v>
      </c>
      <c r="T34" s="34">
        <v>66.66</v>
      </c>
      <c r="Y34" s="50">
        <v>17199</v>
      </c>
      <c r="Z34" s="34">
        <v>61.66</v>
      </c>
      <c r="AE34" s="50">
        <v>15401</v>
      </c>
      <c r="AF34" s="34">
        <v>66.66</v>
      </c>
    </row>
    <row r="35" spans="1:32" x14ac:dyDescent="0.2">
      <c r="A35" s="135" t="s">
        <v>461</v>
      </c>
      <c r="B35" s="99">
        <v>0</v>
      </c>
      <c r="S35" s="46">
        <v>15401</v>
      </c>
      <c r="T35" s="34">
        <v>66.66</v>
      </c>
      <c r="Y35" s="50">
        <v>17227</v>
      </c>
      <c r="Z35" s="34">
        <v>61.66</v>
      </c>
      <c r="AE35" s="50">
        <v>15432</v>
      </c>
      <c r="AF35" s="34">
        <v>66.66</v>
      </c>
    </row>
    <row r="36" spans="1:32" ht="25.5" x14ac:dyDescent="0.2">
      <c r="A36" s="135" t="s">
        <v>462</v>
      </c>
      <c r="B36" s="55">
        <v>0</v>
      </c>
      <c r="G36" s="100"/>
      <c r="H36" s="101"/>
      <c r="S36" s="46">
        <v>15432</v>
      </c>
      <c r="T36" s="34">
        <v>66.66</v>
      </c>
      <c r="Y36" s="50">
        <v>17258</v>
      </c>
      <c r="Z36" s="34">
        <v>61.66</v>
      </c>
      <c r="AE36" s="50">
        <v>15462</v>
      </c>
      <c r="AF36" s="34">
        <v>67</v>
      </c>
    </row>
    <row r="37" spans="1:32" ht="24" customHeight="1" x14ac:dyDescent="0.2">
      <c r="G37" s="100"/>
      <c r="H37" s="102"/>
      <c r="S37" s="50">
        <v>15462</v>
      </c>
      <c r="T37" s="34">
        <v>67</v>
      </c>
      <c r="Y37" s="50">
        <v>17288</v>
      </c>
      <c r="Z37" s="34">
        <v>62</v>
      </c>
      <c r="AE37" s="50">
        <v>15493</v>
      </c>
      <c r="AF37" s="34">
        <v>67</v>
      </c>
    </row>
    <row r="38" spans="1:32" ht="23.25" customHeight="1" x14ac:dyDescent="0.2">
      <c r="A38" s="133" t="s">
        <v>463</v>
      </c>
      <c r="B38" s="55">
        <v>0</v>
      </c>
      <c r="G38" s="100"/>
      <c r="H38" s="103"/>
      <c r="Y38" s="50">
        <v>17319</v>
      </c>
      <c r="Z38" s="34">
        <v>62</v>
      </c>
      <c r="AE38" s="50">
        <v>15523</v>
      </c>
      <c r="AF38" s="34">
        <v>67</v>
      </c>
    </row>
    <row r="39" spans="1:32" ht="28.5" customHeight="1" x14ac:dyDescent="0.2">
      <c r="D39" s="104"/>
      <c r="E39" s="104"/>
      <c r="F39" s="104"/>
      <c r="G39" s="104"/>
      <c r="H39" s="104"/>
      <c r="Y39" s="50">
        <v>17349</v>
      </c>
      <c r="Z39" s="34">
        <v>62</v>
      </c>
      <c r="AE39" s="50">
        <v>15554</v>
      </c>
      <c r="AF39" s="34">
        <v>67</v>
      </c>
    </row>
    <row r="40" spans="1:32" x14ac:dyDescent="0.2">
      <c r="A40" s="63" t="s">
        <v>464</v>
      </c>
      <c r="B40" s="41"/>
      <c r="F40" s="104"/>
      <c r="Y40" s="50">
        <v>17380</v>
      </c>
      <c r="Z40" s="34">
        <v>62</v>
      </c>
      <c r="AE40" s="50">
        <v>15585</v>
      </c>
      <c r="AF40" s="34">
        <v>67</v>
      </c>
    </row>
    <row r="41" spans="1:32" ht="24.75" customHeight="1" x14ac:dyDescent="0.2">
      <c r="A41" s="63" t="s">
        <v>465</v>
      </c>
      <c r="B41" s="41"/>
      <c r="D41" s="133" t="s">
        <v>466</v>
      </c>
      <c r="E41" s="133" t="s">
        <v>467</v>
      </c>
      <c r="F41" s="133" t="s">
        <v>468</v>
      </c>
      <c r="G41" s="133" t="s">
        <v>469</v>
      </c>
      <c r="H41" s="34" t="s">
        <v>470</v>
      </c>
      <c r="Y41" s="50">
        <v>17411</v>
      </c>
      <c r="Z41" s="34">
        <v>62</v>
      </c>
      <c r="AE41" s="50">
        <v>15615</v>
      </c>
      <c r="AF41" s="34">
        <v>67</v>
      </c>
    </row>
    <row r="42" spans="1:32" ht="23.25" customHeight="1" x14ac:dyDescent="0.2">
      <c r="A42" s="63" t="s">
        <v>471</v>
      </c>
      <c r="B42" s="54"/>
      <c r="D42" s="105"/>
      <c r="E42" s="35"/>
      <c r="F42" s="106">
        <f t="shared" ref="F42:F62" si="0">INT((($E$1-E42)/365.25)+0.5)</f>
        <v>0</v>
      </c>
      <c r="G42" s="41"/>
      <c r="H42" s="34" t="s">
        <v>472</v>
      </c>
      <c r="Y42" s="50">
        <v>17441</v>
      </c>
      <c r="Z42" s="34">
        <v>62</v>
      </c>
      <c r="AE42" s="50">
        <v>15646</v>
      </c>
      <c r="AF42" s="34">
        <v>67</v>
      </c>
    </row>
    <row r="43" spans="1:32" x14ac:dyDescent="0.2">
      <c r="A43" s="63" t="s">
        <v>473</v>
      </c>
      <c r="B43" s="143">
        <f>(E1-B42)/365.25</f>
        <v>0</v>
      </c>
      <c r="D43" s="105"/>
      <c r="E43" s="35"/>
      <c r="F43" s="106">
        <f t="shared" si="0"/>
        <v>0</v>
      </c>
      <c r="G43" s="41"/>
      <c r="Y43" s="50">
        <v>17472</v>
      </c>
      <c r="Z43" s="34">
        <v>62</v>
      </c>
      <c r="AE43" s="50">
        <v>15676</v>
      </c>
      <c r="AF43" s="34">
        <v>67</v>
      </c>
    </row>
    <row r="44" spans="1:32" x14ac:dyDescent="0.2">
      <c r="A44" s="63" t="s">
        <v>474</v>
      </c>
      <c r="B44" s="143">
        <f>B43+B16</f>
        <v>125.59842915811089</v>
      </c>
      <c r="D44" s="105"/>
      <c r="E44" s="35"/>
      <c r="F44" s="106">
        <f t="shared" si="0"/>
        <v>0</v>
      </c>
      <c r="G44" s="41"/>
      <c r="Y44" s="50">
        <v>17502</v>
      </c>
      <c r="Z44" s="34">
        <v>62</v>
      </c>
      <c r="AE44" s="50">
        <v>15707</v>
      </c>
      <c r="AF44" s="34">
        <v>67</v>
      </c>
    </row>
    <row r="45" spans="1:32" x14ac:dyDescent="0.2">
      <c r="A45" s="63" t="s">
        <v>475</v>
      </c>
      <c r="B45" s="144">
        <f>(B6-B42)/365.25</f>
        <v>125.59842915811087</v>
      </c>
      <c r="D45" s="105"/>
      <c r="E45" s="35"/>
      <c r="F45" s="106">
        <f t="shared" si="0"/>
        <v>0</v>
      </c>
      <c r="G45" s="41"/>
      <c r="Y45" s="50">
        <v>17533</v>
      </c>
      <c r="Z45" s="34">
        <v>62</v>
      </c>
      <c r="AE45" s="50">
        <v>15738</v>
      </c>
      <c r="AF45" s="34">
        <v>67</v>
      </c>
    </row>
    <row r="46" spans="1:32" x14ac:dyDescent="0.2">
      <c r="A46" s="63" t="s">
        <v>476</v>
      </c>
      <c r="B46" s="107">
        <f>INT(B45+0.5)</f>
        <v>126</v>
      </c>
      <c r="D46" s="108"/>
      <c r="E46" s="41"/>
      <c r="F46" s="106">
        <f t="shared" si="0"/>
        <v>0</v>
      </c>
      <c r="G46" s="41"/>
      <c r="Y46" s="50">
        <v>17564</v>
      </c>
      <c r="Z46" s="34">
        <v>62</v>
      </c>
      <c r="AE46" s="50">
        <v>15766</v>
      </c>
      <c r="AF46" s="34">
        <v>67</v>
      </c>
    </row>
    <row r="47" spans="1:32" x14ac:dyDescent="0.2">
      <c r="D47" s="108"/>
      <c r="E47" s="41"/>
      <c r="F47" s="106">
        <f t="shared" si="0"/>
        <v>0</v>
      </c>
      <c r="G47" s="41"/>
      <c r="Y47" s="50">
        <v>17593</v>
      </c>
      <c r="Z47" s="34">
        <v>62</v>
      </c>
      <c r="AE47" s="50">
        <v>15797</v>
      </c>
      <c r="AF47" s="34">
        <v>67</v>
      </c>
    </row>
    <row r="48" spans="1:32" x14ac:dyDescent="0.2">
      <c r="D48" s="108"/>
      <c r="E48" s="41"/>
      <c r="F48" s="106">
        <f t="shared" si="0"/>
        <v>0</v>
      </c>
      <c r="G48" s="41"/>
      <c r="Y48" s="50">
        <v>17624</v>
      </c>
      <c r="Z48" s="34">
        <v>62</v>
      </c>
      <c r="AE48" s="50">
        <v>15827</v>
      </c>
      <c r="AF48" s="34">
        <v>67</v>
      </c>
    </row>
    <row r="49" spans="1:32" x14ac:dyDescent="0.2">
      <c r="D49" s="108"/>
      <c r="E49" s="41"/>
      <c r="F49" s="106">
        <f t="shared" si="0"/>
        <v>0</v>
      </c>
      <c r="G49" s="41"/>
      <c r="Y49" s="50">
        <v>17654</v>
      </c>
      <c r="Z49" s="34">
        <v>62</v>
      </c>
      <c r="AE49" s="50">
        <v>15858</v>
      </c>
      <c r="AF49" s="34">
        <v>67</v>
      </c>
    </row>
    <row r="50" spans="1:32" x14ac:dyDescent="0.2">
      <c r="D50" s="108"/>
      <c r="E50" s="41"/>
      <c r="F50" s="106">
        <f t="shared" si="0"/>
        <v>0</v>
      </c>
      <c r="G50" s="41"/>
      <c r="Y50" s="50">
        <v>17685</v>
      </c>
      <c r="Z50" s="34">
        <v>62</v>
      </c>
      <c r="AE50" s="50">
        <v>15888</v>
      </c>
      <c r="AF50" s="34">
        <v>67</v>
      </c>
    </row>
    <row r="51" spans="1:32" x14ac:dyDescent="0.2">
      <c r="D51" s="108"/>
      <c r="E51" s="41"/>
      <c r="F51" s="106">
        <f t="shared" si="0"/>
        <v>0</v>
      </c>
      <c r="G51" s="41"/>
      <c r="Y51" s="50">
        <v>17715</v>
      </c>
      <c r="Z51" s="34">
        <v>62</v>
      </c>
      <c r="AE51" s="50">
        <v>15919</v>
      </c>
      <c r="AF51" s="34">
        <v>67</v>
      </c>
    </row>
    <row r="52" spans="1:32" x14ac:dyDescent="0.2">
      <c r="D52" s="108"/>
      <c r="E52" s="41"/>
      <c r="F52" s="106">
        <f t="shared" si="0"/>
        <v>0</v>
      </c>
      <c r="G52" s="41"/>
      <c r="Y52" s="50">
        <v>17746</v>
      </c>
      <c r="Z52" s="34">
        <v>62</v>
      </c>
      <c r="AE52" s="50">
        <v>15950</v>
      </c>
      <c r="AF52" s="34">
        <v>67</v>
      </c>
    </row>
    <row r="53" spans="1:32" x14ac:dyDescent="0.2">
      <c r="A53" s="34" t="s">
        <v>477</v>
      </c>
      <c r="D53" s="108"/>
      <c r="E53" s="41"/>
      <c r="F53" s="106">
        <f t="shared" si="0"/>
        <v>0</v>
      </c>
      <c r="G53" s="41"/>
      <c r="Y53" s="50">
        <v>17777</v>
      </c>
      <c r="Z53" s="34">
        <v>62</v>
      </c>
      <c r="AE53" s="50">
        <v>15980</v>
      </c>
      <c r="AF53" s="34">
        <v>67</v>
      </c>
    </row>
    <row r="54" spans="1:32" x14ac:dyDescent="0.2">
      <c r="D54" s="108"/>
      <c r="E54" s="41"/>
      <c r="F54" s="106">
        <f t="shared" si="0"/>
        <v>0</v>
      </c>
      <c r="G54" s="41"/>
      <c r="Y54" s="50">
        <v>17807</v>
      </c>
      <c r="Z54" s="34">
        <v>62</v>
      </c>
      <c r="AE54" s="50">
        <v>16011</v>
      </c>
      <c r="AF54" s="34">
        <v>67</v>
      </c>
    </row>
    <row r="55" spans="1:32" x14ac:dyDescent="0.2">
      <c r="A55" s="59"/>
      <c r="D55" s="108"/>
      <c r="E55" s="41"/>
      <c r="F55" s="106">
        <f t="shared" si="0"/>
        <v>0</v>
      </c>
      <c r="G55" s="41"/>
      <c r="Y55" s="50">
        <v>17838</v>
      </c>
      <c r="Z55" s="34">
        <v>62</v>
      </c>
      <c r="AE55" s="50">
        <v>16041</v>
      </c>
      <c r="AF55" s="34">
        <v>67</v>
      </c>
    </row>
    <row r="56" spans="1:32" x14ac:dyDescent="0.2">
      <c r="B56" s="39"/>
      <c r="D56" s="108"/>
      <c r="E56" s="41"/>
      <c r="F56" s="106">
        <f t="shared" si="0"/>
        <v>0</v>
      </c>
      <c r="G56" s="41"/>
      <c r="Y56" s="50">
        <v>17868</v>
      </c>
      <c r="Z56" s="34">
        <v>62</v>
      </c>
      <c r="AE56" s="50">
        <v>16072</v>
      </c>
      <c r="AF56" s="34">
        <v>67</v>
      </c>
    </row>
    <row r="57" spans="1:32" x14ac:dyDescent="0.2">
      <c r="B57" s="39"/>
      <c r="D57" s="108"/>
      <c r="E57" s="41"/>
      <c r="F57" s="106">
        <f t="shared" si="0"/>
        <v>0</v>
      </c>
      <c r="G57" s="41"/>
      <c r="Y57" s="50">
        <v>17899</v>
      </c>
      <c r="Z57" s="34">
        <v>62</v>
      </c>
      <c r="AE57" s="50">
        <v>16103</v>
      </c>
      <c r="AF57" s="34">
        <v>67</v>
      </c>
    </row>
    <row r="58" spans="1:32" x14ac:dyDescent="0.2">
      <c r="B58" s="39"/>
      <c r="D58" s="108"/>
      <c r="E58" s="41"/>
      <c r="F58" s="106">
        <f t="shared" si="0"/>
        <v>0</v>
      </c>
      <c r="G58" s="41"/>
      <c r="Y58" s="50">
        <v>17930</v>
      </c>
      <c r="Z58" s="34">
        <v>62</v>
      </c>
      <c r="AE58" s="50">
        <v>16132</v>
      </c>
      <c r="AF58" s="34">
        <v>67</v>
      </c>
    </row>
    <row r="59" spans="1:32" x14ac:dyDescent="0.2">
      <c r="B59" s="39"/>
      <c r="D59" s="108"/>
      <c r="E59" s="41"/>
      <c r="F59" s="106">
        <f t="shared" si="0"/>
        <v>0</v>
      </c>
      <c r="G59" s="41"/>
      <c r="Y59" s="50">
        <v>17958</v>
      </c>
      <c r="Z59" s="34">
        <v>62</v>
      </c>
      <c r="AE59" s="50">
        <v>16163</v>
      </c>
      <c r="AF59" s="34">
        <v>67</v>
      </c>
    </row>
    <row r="60" spans="1:32" x14ac:dyDescent="0.2">
      <c r="B60" s="39"/>
      <c r="D60" s="108"/>
      <c r="E60" s="41"/>
      <c r="F60" s="106">
        <f t="shared" si="0"/>
        <v>0</v>
      </c>
      <c r="G60" s="41"/>
      <c r="Y60" s="50">
        <v>17989</v>
      </c>
      <c r="Z60" s="34">
        <v>62</v>
      </c>
      <c r="AE60" s="50">
        <v>16193</v>
      </c>
      <c r="AF60" s="34">
        <v>67</v>
      </c>
    </row>
    <row r="61" spans="1:32" x14ac:dyDescent="0.2">
      <c r="B61" s="39"/>
      <c r="D61" s="108"/>
      <c r="E61" s="41"/>
      <c r="F61" s="106">
        <f t="shared" si="0"/>
        <v>0</v>
      </c>
      <c r="G61" s="41"/>
      <c r="Y61" s="50">
        <v>18019</v>
      </c>
      <c r="Z61" s="34">
        <v>62</v>
      </c>
      <c r="AE61" s="50">
        <v>16224</v>
      </c>
      <c r="AF61" s="34">
        <v>67</v>
      </c>
    </row>
    <row r="62" spans="1:32" x14ac:dyDescent="0.2">
      <c r="B62" s="39"/>
      <c r="D62" s="108"/>
      <c r="E62" s="41"/>
      <c r="F62" s="106">
        <f t="shared" si="0"/>
        <v>0</v>
      </c>
      <c r="G62" s="41"/>
      <c r="Y62" s="50">
        <v>18050</v>
      </c>
      <c r="Z62" s="34">
        <v>62</v>
      </c>
      <c r="AE62" s="50">
        <v>16254</v>
      </c>
      <c r="AF62" s="34">
        <v>67</v>
      </c>
    </row>
    <row r="63" spans="1:32" x14ac:dyDescent="0.2">
      <c r="B63" s="39"/>
      <c r="F63" s="104"/>
      <c r="Y63" s="50">
        <v>18080</v>
      </c>
      <c r="Z63" s="34">
        <v>62</v>
      </c>
      <c r="AE63" s="50">
        <v>16285</v>
      </c>
      <c r="AF63" s="34">
        <v>67</v>
      </c>
    </row>
    <row r="64" spans="1:32" x14ac:dyDescent="0.2">
      <c r="B64" s="39"/>
      <c r="F64" s="104"/>
      <c r="Y64" s="50">
        <v>18111</v>
      </c>
      <c r="Z64" s="34">
        <v>62</v>
      </c>
      <c r="AE64" s="50">
        <v>16316</v>
      </c>
      <c r="AF64" s="34">
        <v>67</v>
      </c>
    </row>
    <row r="65" spans="1:32" x14ac:dyDescent="0.2">
      <c r="B65" s="39"/>
      <c r="F65" s="104"/>
      <c r="Y65" s="50">
        <v>18142</v>
      </c>
      <c r="Z65" s="34">
        <v>62</v>
      </c>
      <c r="AE65" s="50">
        <v>16346</v>
      </c>
      <c r="AF65" s="34">
        <v>67</v>
      </c>
    </row>
    <row r="66" spans="1:32" x14ac:dyDescent="0.2">
      <c r="B66" s="39"/>
      <c r="F66" s="104"/>
      <c r="Y66" s="50">
        <v>18172</v>
      </c>
      <c r="Z66" s="34">
        <v>62</v>
      </c>
      <c r="AE66" s="50">
        <v>16377</v>
      </c>
      <c r="AF66" s="34">
        <v>67</v>
      </c>
    </row>
    <row r="67" spans="1:32" x14ac:dyDescent="0.2">
      <c r="A67" s="60"/>
      <c r="F67" s="104"/>
      <c r="Y67" s="50">
        <v>18203</v>
      </c>
      <c r="Z67" s="34">
        <v>62</v>
      </c>
      <c r="AE67" s="50">
        <v>16407</v>
      </c>
      <c r="AF67" s="34">
        <v>67</v>
      </c>
    </row>
    <row r="68" spans="1:32" x14ac:dyDescent="0.2">
      <c r="F68" s="104"/>
      <c r="Y68" s="50">
        <v>18233</v>
      </c>
      <c r="Z68" s="34">
        <v>62</v>
      </c>
      <c r="AE68" s="50">
        <v>16438</v>
      </c>
      <c r="AF68" s="34">
        <v>67.33</v>
      </c>
    </row>
    <row r="69" spans="1:32" x14ac:dyDescent="0.2">
      <c r="F69" s="104"/>
      <c r="Y69" s="50">
        <v>18264</v>
      </c>
      <c r="Z69" s="34">
        <v>62.33</v>
      </c>
      <c r="AE69" s="50">
        <v>16469</v>
      </c>
      <c r="AF69" s="34">
        <v>67.33</v>
      </c>
    </row>
    <row r="70" spans="1:32" x14ac:dyDescent="0.2">
      <c r="Y70" s="50">
        <v>18295</v>
      </c>
      <c r="Z70" s="34">
        <v>62.33</v>
      </c>
      <c r="AE70" s="50">
        <v>16497</v>
      </c>
      <c r="AF70" s="34">
        <v>67.33</v>
      </c>
    </row>
    <row r="71" spans="1:32" x14ac:dyDescent="0.2">
      <c r="Y71" s="50">
        <v>18323</v>
      </c>
      <c r="Z71" s="34">
        <v>62.33</v>
      </c>
      <c r="AE71" s="50">
        <v>16528</v>
      </c>
      <c r="AF71" s="34">
        <v>67.33</v>
      </c>
    </row>
    <row r="72" spans="1:32" x14ac:dyDescent="0.2">
      <c r="Y72" s="50">
        <v>18354</v>
      </c>
      <c r="Z72" s="34">
        <v>62.33</v>
      </c>
      <c r="AE72" s="50">
        <v>16558</v>
      </c>
      <c r="AF72" s="34">
        <v>67.33</v>
      </c>
    </row>
    <row r="73" spans="1:32" x14ac:dyDescent="0.2">
      <c r="Y73" s="50">
        <v>18384</v>
      </c>
      <c r="Z73" s="34">
        <v>62.33</v>
      </c>
      <c r="AE73" s="50">
        <v>16589</v>
      </c>
      <c r="AF73" s="34">
        <v>67.33</v>
      </c>
    </row>
    <row r="74" spans="1:32" x14ac:dyDescent="0.2">
      <c r="Y74" s="50">
        <v>18415</v>
      </c>
      <c r="Z74" s="34">
        <v>62.33</v>
      </c>
      <c r="AE74" s="50">
        <v>16619</v>
      </c>
      <c r="AF74" s="34">
        <v>67.33</v>
      </c>
    </row>
    <row r="75" spans="1:32" x14ac:dyDescent="0.2">
      <c r="Y75" s="50">
        <v>18445</v>
      </c>
      <c r="Z75" s="34">
        <v>62.33</v>
      </c>
      <c r="AE75" s="50">
        <v>16650</v>
      </c>
      <c r="AF75" s="34">
        <v>67.33</v>
      </c>
    </row>
    <row r="76" spans="1:32" x14ac:dyDescent="0.2">
      <c r="Y76" s="50">
        <v>18476</v>
      </c>
      <c r="Z76" s="34">
        <v>62.33</v>
      </c>
      <c r="AE76" s="50">
        <v>16681</v>
      </c>
      <c r="AF76" s="34">
        <v>67.66</v>
      </c>
    </row>
    <row r="77" spans="1:32" x14ac:dyDescent="0.2">
      <c r="Y77" s="50">
        <v>18507</v>
      </c>
      <c r="Z77" s="34">
        <v>62.66</v>
      </c>
      <c r="AE77" s="50">
        <v>16711</v>
      </c>
      <c r="AF77" s="34">
        <v>67.66</v>
      </c>
    </row>
    <row r="78" spans="1:32" x14ac:dyDescent="0.2">
      <c r="Y78" s="50">
        <v>18537</v>
      </c>
      <c r="Z78" s="34">
        <v>62.66</v>
      </c>
      <c r="AE78" s="50">
        <v>16742</v>
      </c>
      <c r="AF78" s="34">
        <v>67.66</v>
      </c>
    </row>
    <row r="79" spans="1:32" x14ac:dyDescent="0.2">
      <c r="Y79" s="50">
        <v>18568</v>
      </c>
      <c r="Z79" s="34">
        <v>62.66</v>
      </c>
      <c r="AE79" s="50">
        <v>16772</v>
      </c>
      <c r="AF79" s="34">
        <v>67.66</v>
      </c>
    </row>
    <row r="80" spans="1:32" x14ac:dyDescent="0.2">
      <c r="Y80" s="50">
        <v>18598</v>
      </c>
      <c r="Z80" s="34">
        <v>62.66</v>
      </c>
      <c r="AE80" s="50">
        <v>16803</v>
      </c>
      <c r="AF80" s="34">
        <v>67.66</v>
      </c>
    </row>
    <row r="81" spans="25:32" x14ac:dyDescent="0.2">
      <c r="Y81" s="50">
        <v>18629</v>
      </c>
      <c r="Z81" s="34">
        <v>62.66</v>
      </c>
      <c r="AE81" s="50">
        <v>16834</v>
      </c>
      <c r="AF81" s="34">
        <v>67.66</v>
      </c>
    </row>
    <row r="82" spans="25:32" x14ac:dyDescent="0.2">
      <c r="Y82" s="50">
        <v>18660</v>
      </c>
      <c r="Z82" s="34">
        <v>62.66</v>
      </c>
      <c r="AE82" s="50">
        <v>16862</v>
      </c>
      <c r="AF82" s="34">
        <v>67.66</v>
      </c>
    </row>
    <row r="83" spans="25:32" x14ac:dyDescent="0.2">
      <c r="Y83" s="50">
        <v>18688</v>
      </c>
      <c r="Z83" s="34">
        <v>62.66</v>
      </c>
      <c r="AE83" s="50">
        <v>16893</v>
      </c>
      <c r="AF83" s="34">
        <v>67.66</v>
      </c>
    </row>
    <row r="84" spans="25:32" x14ac:dyDescent="0.2">
      <c r="Y84" s="50">
        <v>18719</v>
      </c>
      <c r="Z84" s="34">
        <v>62.66</v>
      </c>
      <c r="AE84" s="50">
        <v>16923</v>
      </c>
      <c r="AF84" s="34">
        <v>68</v>
      </c>
    </row>
    <row r="85" spans="25:32" x14ac:dyDescent="0.2">
      <c r="Y85" s="50">
        <v>18749</v>
      </c>
      <c r="Z85" s="34">
        <v>63</v>
      </c>
      <c r="AE85" s="50">
        <v>16954</v>
      </c>
      <c r="AF85" s="34">
        <v>68</v>
      </c>
    </row>
    <row r="86" spans="25:32" x14ac:dyDescent="0.2">
      <c r="Y86" s="50">
        <v>18780</v>
      </c>
      <c r="Z86" s="34">
        <v>63</v>
      </c>
      <c r="AE86" s="50">
        <v>16984</v>
      </c>
      <c r="AF86" s="34">
        <v>68</v>
      </c>
    </row>
    <row r="87" spans="25:32" x14ac:dyDescent="0.2">
      <c r="Y87" s="50">
        <v>18810</v>
      </c>
      <c r="Z87" s="34">
        <v>63</v>
      </c>
      <c r="AE87" s="50">
        <v>17015</v>
      </c>
      <c r="AF87" s="34">
        <v>68</v>
      </c>
    </row>
    <row r="88" spans="25:32" x14ac:dyDescent="0.2">
      <c r="Y88" s="50">
        <v>18841</v>
      </c>
      <c r="Z88" s="34">
        <v>63</v>
      </c>
      <c r="AE88" s="50">
        <v>17046</v>
      </c>
      <c r="AF88" s="34">
        <v>68</v>
      </c>
    </row>
    <row r="89" spans="25:32" x14ac:dyDescent="0.2">
      <c r="Y89" s="50">
        <v>18872</v>
      </c>
      <c r="Z89" s="34">
        <v>63</v>
      </c>
      <c r="AE89" s="50">
        <v>17076</v>
      </c>
      <c r="AF89" s="34">
        <v>68</v>
      </c>
    </row>
    <row r="90" spans="25:32" x14ac:dyDescent="0.2">
      <c r="Y90" s="50">
        <v>18902</v>
      </c>
      <c r="Z90" s="34">
        <v>63</v>
      </c>
      <c r="AE90" s="50">
        <v>17107</v>
      </c>
      <c r="AF90" s="34">
        <v>68</v>
      </c>
    </row>
    <row r="91" spans="25:32" x14ac:dyDescent="0.2">
      <c r="Y91" s="50">
        <v>18933</v>
      </c>
      <c r="Z91" s="34">
        <v>63</v>
      </c>
      <c r="AE91" s="50">
        <v>17137</v>
      </c>
      <c r="AF91" s="34">
        <v>68</v>
      </c>
    </row>
    <row r="92" spans="25:32" x14ac:dyDescent="0.2">
      <c r="Y92" s="50">
        <v>18963</v>
      </c>
      <c r="Z92" s="34">
        <v>63</v>
      </c>
      <c r="AE92" s="50">
        <v>17168</v>
      </c>
      <c r="AF92" s="34">
        <v>68.33</v>
      </c>
    </row>
    <row r="93" spans="25:32" x14ac:dyDescent="0.2">
      <c r="Y93" s="50">
        <v>18994</v>
      </c>
      <c r="Z93" s="34">
        <v>63.33</v>
      </c>
      <c r="AE93" s="50">
        <v>17199</v>
      </c>
      <c r="AF93" s="34">
        <v>68.33</v>
      </c>
    </row>
    <row r="94" spans="25:32" x14ac:dyDescent="0.2">
      <c r="Y94" s="50">
        <v>19025</v>
      </c>
      <c r="Z94" s="34">
        <v>63.33</v>
      </c>
      <c r="AE94" s="50">
        <v>17227</v>
      </c>
      <c r="AF94" s="34">
        <v>68.33</v>
      </c>
    </row>
    <row r="95" spans="25:32" x14ac:dyDescent="0.2">
      <c r="Y95" s="50">
        <v>19054</v>
      </c>
      <c r="Z95" s="34">
        <v>63.33</v>
      </c>
      <c r="AE95" s="50">
        <v>17258</v>
      </c>
      <c r="AF95" s="34">
        <v>68.33</v>
      </c>
    </row>
    <row r="96" spans="25:32" x14ac:dyDescent="0.2">
      <c r="Y96" s="50">
        <v>19085</v>
      </c>
      <c r="Z96" s="34">
        <v>63.33</v>
      </c>
      <c r="AE96" s="50">
        <v>17288</v>
      </c>
      <c r="AF96" s="34">
        <v>68.33</v>
      </c>
    </row>
    <row r="97" spans="1:32" x14ac:dyDescent="0.2">
      <c r="Y97" s="50">
        <v>19115</v>
      </c>
      <c r="Z97" s="34">
        <v>63.33</v>
      </c>
      <c r="AE97" s="50">
        <v>17319</v>
      </c>
      <c r="AF97" s="34">
        <v>68.33</v>
      </c>
    </row>
    <row r="98" spans="1:32" x14ac:dyDescent="0.2">
      <c r="Y98" s="50">
        <v>19146</v>
      </c>
      <c r="Z98" s="34">
        <v>63.33</v>
      </c>
      <c r="AE98" s="50">
        <v>17349</v>
      </c>
      <c r="AF98" s="34">
        <v>68.33</v>
      </c>
    </row>
    <row r="99" spans="1:32" s="110" customFormat="1" ht="12" customHeight="1" thickBot="1" x14ac:dyDescent="0.25">
      <c r="A99" s="109"/>
      <c r="B99" s="109"/>
      <c r="G99" s="34"/>
      <c r="Y99" s="50">
        <v>19176</v>
      </c>
      <c r="Z99" s="34">
        <v>63.33</v>
      </c>
      <c r="AE99" s="50">
        <v>17380</v>
      </c>
      <c r="AF99" s="34">
        <v>68.33</v>
      </c>
    </row>
    <row r="100" spans="1:32" s="110" customFormat="1" ht="12" customHeight="1" x14ac:dyDescent="0.2">
      <c r="A100" s="111" t="s">
        <v>478</v>
      </c>
      <c r="B100" s="109" t="s">
        <v>479</v>
      </c>
      <c r="D100" s="112"/>
      <c r="G100" s="34"/>
      <c r="Y100" s="50">
        <v>19207</v>
      </c>
      <c r="Z100" s="34">
        <v>63.33</v>
      </c>
      <c r="AE100" s="50">
        <v>17411</v>
      </c>
      <c r="AF100" s="110">
        <v>68.66</v>
      </c>
    </row>
    <row r="101" spans="1:32" s="110" customFormat="1" ht="12" customHeight="1" x14ac:dyDescent="0.2">
      <c r="A101" s="111" t="s">
        <v>480</v>
      </c>
      <c r="B101" s="109">
        <v>0</v>
      </c>
      <c r="D101" s="113" t="s">
        <v>481</v>
      </c>
      <c r="G101" s="34"/>
      <c r="Y101" s="50">
        <v>19238</v>
      </c>
      <c r="Z101" s="34">
        <v>63.66</v>
      </c>
      <c r="AE101" s="50">
        <v>17441</v>
      </c>
      <c r="AF101" s="110">
        <v>68.66</v>
      </c>
    </row>
    <row r="102" spans="1:32" s="110" customFormat="1" ht="12" customHeight="1" x14ac:dyDescent="0.2">
      <c r="A102" s="111" t="s">
        <v>482</v>
      </c>
      <c r="B102" s="109">
        <v>1</v>
      </c>
      <c r="D102" s="114" t="s">
        <v>483</v>
      </c>
      <c r="G102" s="34"/>
      <c r="Y102" s="50">
        <v>19268</v>
      </c>
      <c r="Z102" s="34">
        <v>63.66</v>
      </c>
      <c r="AE102" s="50">
        <v>17472</v>
      </c>
      <c r="AF102" s="110">
        <v>68.66</v>
      </c>
    </row>
    <row r="103" spans="1:32" s="110" customFormat="1" ht="12" customHeight="1" x14ac:dyDescent="0.2">
      <c r="A103" s="109"/>
      <c r="B103" s="109"/>
      <c r="D103" s="114" t="s">
        <v>438</v>
      </c>
      <c r="G103" s="34"/>
      <c r="Y103" s="50">
        <v>19299</v>
      </c>
      <c r="Z103" s="34">
        <v>63.66</v>
      </c>
      <c r="AE103" s="50">
        <v>17502</v>
      </c>
      <c r="AF103" s="110">
        <v>68.66</v>
      </c>
    </row>
    <row r="104" spans="1:32" x14ac:dyDescent="0.2">
      <c r="A104" s="115"/>
      <c r="B104" s="115"/>
      <c r="D104" s="114" t="s">
        <v>484</v>
      </c>
      <c r="Y104" s="50">
        <v>19329</v>
      </c>
      <c r="Z104" s="34">
        <v>63.66</v>
      </c>
      <c r="AE104" s="50">
        <v>17533</v>
      </c>
      <c r="AF104" s="110">
        <v>68.66</v>
      </c>
    </row>
    <row r="105" spans="1:32" x14ac:dyDescent="0.2">
      <c r="D105" s="114" t="s">
        <v>485</v>
      </c>
      <c r="Y105" s="50">
        <v>19360</v>
      </c>
      <c r="Z105" s="34">
        <v>63.66</v>
      </c>
      <c r="AE105" s="50">
        <v>17564</v>
      </c>
      <c r="AF105" s="110">
        <v>68.66</v>
      </c>
    </row>
    <row r="106" spans="1:32" x14ac:dyDescent="0.2">
      <c r="Y106" s="50">
        <v>19391</v>
      </c>
      <c r="Z106" s="34">
        <v>63.66</v>
      </c>
      <c r="AE106" s="50">
        <v>17593</v>
      </c>
      <c r="AF106" s="110">
        <v>68.66</v>
      </c>
    </row>
    <row r="107" spans="1:32" x14ac:dyDescent="0.2">
      <c r="D107" s="114" t="s">
        <v>486</v>
      </c>
      <c r="Y107" s="50">
        <v>19419</v>
      </c>
      <c r="Z107" s="34">
        <v>63.66</v>
      </c>
      <c r="AE107" s="50">
        <v>17624</v>
      </c>
      <c r="AF107" s="110">
        <v>68.66</v>
      </c>
    </row>
    <row r="108" spans="1:32" x14ac:dyDescent="0.2">
      <c r="D108" s="114" t="s">
        <v>487</v>
      </c>
      <c r="Y108" s="50">
        <v>19450</v>
      </c>
      <c r="Z108" s="34">
        <v>63.66</v>
      </c>
      <c r="AE108" s="50">
        <v>17654</v>
      </c>
      <c r="AF108" s="34">
        <v>69</v>
      </c>
    </row>
    <row r="109" spans="1:32" x14ac:dyDescent="0.2">
      <c r="D109" s="114"/>
      <c r="Y109" s="50">
        <v>19480</v>
      </c>
      <c r="Z109" s="34">
        <v>64</v>
      </c>
      <c r="AE109" s="50">
        <v>17685</v>
      </c>
      <c r="AF109" s="34">
        <v>69</v>
      </c>
    </row>
    <row r="110" spans="1:32" ht="13.5" thickBot="1" x14ac:dyDescent="0.25">
      <c r="D110" s="116"/>
      <c r="AE110" s="50">
        <v>17715</v>
      </c>
      <c r="AF110" s="34">
        <v>69</v>
      </c>
    </row>
    <row r="111" spans="1:32" x14ac:dyDescent="0.2">
      <c r="AE111" s="50">
        <v>17746</v>
      </c>
      <c r="AF111" s="34">
        <v>69</v>
      </c>
    </row>
    <row r="112" spans="1:32" x14ac:dyDescent="0.2">
      <c r="AE112" s="50">
        <v>17777</v>
      </c>
      <c r="AF112" s="34">
        <v>69</v>
      </c>
    </row>
    <row r="113" spans="31:32" x14ac:dyDescent="0.2">
      <c r="AE113" s="50">
        <v>17807</v>
      </c>
      <c r="AF113" s="34">
        <v>69</v>
      </c>
    </row>
    <row r="114" spans="31:32" x14ac:dyDescent="0.2">
      <c r="AE114" s="50">
        <v>17838</v>
      </c>
      <c r="AF114" s="34">
        <v>69</v>
      </c>
    </row>
    <row r="115" spans="31:32" x14ac:dyDescent="0.2">
      <c r="AE115" s="50">
        <v>17868</v>
      </c>
      <c r="AF115" s="34">
        <v>69</v>
      </c>
    </row>
    <row r="116" spans="31:32" x14ac:dyDescent="0.2">
      <c r="AE116" s="50">
        <v>17899</v>
      </c>
      <c r="AF116" s="34">
        <v>69.33</v>
      </c>
    </row>
    <row r="117" spans="31:32" x14ac:dyDescent="0.2">
      <c r="AE117" s="50">
        <v>17930</v>
      </c>
      <c r="AF117" s="34">
        <v>69.33</v>
      </c>
    </row>
    <row r="118" spans="31:32" x14ac:dyDescent="0.2">
      <c r="AE118" s="50">
        <v>17958</v>
      </c>
      <c r="AF118" s="34">
        <v>69.33</v>
      </c>
    </row>
    <row r="119" spans="31:32" x14ac:dyDescent="0.2">
      <c r="AE119" s="50">
        <v>17989</v>
      </c>
      <c r="AF119" s="34">
        <v>69.33</v>
      </c>
    </row>
    <row r="120" spans="31:32" x14ac:dyDescent="0.2">
      <c r="AE120" s="50">
        <v>18019</v>
      </c>
      <c r="AF120" s="34">
        <v>69.33</v>
      </c>
    </row>
    <row r="121" spans="31:32" x14ac:dyDescent="0.2">
      <c r="AE121" s="50">
        <v>18050</v>
      </c>
      <c r="AF121" s="34">
        <v>69.33</v>
      </c>
    </row>
    <row r="122" spans="31:32" x14ac:dyDescent="0.2">
      <c r="AE122" s="50">
        <v>18080</v>
      </c>
      <c r="AF122" s="34">
        <v>69.33</v>
      </c>
    </row>
    <row r="123" spans="31:32" x14ac:dyDescent="0.2">
      <c r="AE123" s="50">
        <v>18111</v>
      </c>
      <c r="AF123" s="34">
        <v>69.33</v>
      </c>
    </row>
    <row r="124" spans="31:32" x14ac:dyDescent="0.2">
      <c r="AE124" s="50">
        <v>18142</v>
      </c>
      <c r="AF124" s="34">
        <v>69.66</v>
      </c>
    </row>
    <row r="125" spans="31:32" x14ac:dyDescent="0.2">
      <c r="AE125" s="50">
        <v>18172</v>
      </c>
      <c r="AF125" s="34">
        <v>69.66</v>
      </c>
    </row>
    <row r="126" spans="31:32" x14ac:dyDescent="0.2">
      <c r="AE126" s="50">
        <v>18203</v>
      </c>
      <c r="AF126" s="34">
        <v>69.66</v>
      </c>
    </row>
    <row r="127" spans="31:32" x14ac:dyDescent="0.2">
      <c r="AE127" s="50">
        <v>18233</v>
      </c>
      <c r="AF127" s="34">
        <v>69.66</v>
      </c>
    </row>
    <row r="128" spans="31:32" x14ac:dyDescent="0.2">
      <c r="AE128" s="50">
        <v>18264</v>
      </c>
      <c r="AF128" s="34">
        <v>69.66</v>
      </c>
    </row>
    <row r="129" spans="31:32" x14ac:dyDescent="0.2">
      <c r="AE129" s="50">
        <v>18295</v>
      </c>
      <c r="AF129" s="34">
        <v>69.66</v>
      </c>
    </row>
    <row r="130" spans="31:32" x14ac:dyDescent="0.2">
      <c r="AE130" s="50">
        <v>18323</v>
      </c>
      <c r="AF130" s="34">
        <v>69.66</v>
      </c>
    </row>
    <row r="131" spans="31:32" x14ac:dyDescent="0.2">
      <c r="AE131" s="50">
        <v>18354</v>
      </c>
      <c r="AF131" s="34">
        <v>69.66</v>
      </c>
    </row>
    <row r="132" spans="31:32" x14ac:dyDescent="0.2">
      <c r="AE132" s="50">
        <v>18384</v>
      </c>
      <c r="AF132" s="34">
        <v>70</v>
      </c>
    </row>
  </sheetData>
  <mergeCells count="4">
    <mergeCell ref="P1:R1"/>
    <mergeCell ref="V1:X1"/>
    <mergeCell ref="AB1:AD1"/>
    <mergeCell ref="K6:L6"/>
  </mergeCells>
  <dataValidations count="4">
    <dataValidation type="list" allowBlank="1" showInputMessage="1" showErrorMessage="1" sqref="G42:G104">
      <formula1>$H$41:$H$42</formula1>
    </dataValidation>
    <dataValidation type="list" allowBlank="1" showInputMessage="1" showErrorMessage="1" sqref="F24">
      <formula1>$D$102:$D$107</formula1>
    </dataValidation>
    <dataValidation type="list" allowBlank="1" showInputMessage="1" showErrorMessage="1" sqref="E6">
      <formula1>$B$100:$B$102</formula1>
    </dataValidation>
    <dataValidation type="list" allowBlank="1" showInputMessage="1" showErrorMessage="1" sqref="B2 B41">
      <formula1>$A$100:$A$102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20">
    <tabColor indexed="40"/>
  </sheetPr>
  <dimension ref="A1:I31"/>
  <sheetViews>
    <sheetView rightToLeft="1" workbookViewId="0">
      <selection activeCell="AL8" sqref="AL8"/>
    </sheetView>
  </sheetViews>
  <sheetFormatPr defaultRowHeight="12.75" x14ac:dyDescent="0.2"/>
  <cols>
    <col min="2" max="2" width="15.140625" customWidth="1"/>
    <col min="3" max="3" width="11.7109375" customWidth="1"/>
    <col min="4" max="4" width="13.140625" customWidth="1"/>
    <col min="5" max="5" width="13" customWidth="1"/>
    <col min="6" max="6" width="15.28515625" customWidth="1"/>
    <col min="7" max="7" width="10.42578125" customWidth="1"/>
  </cols>
  <sheetData>
    <row r="1" spans="1:9" x14ac:dyDescent="0.2">
      <c r="A1" s="323"/>
      <c r="B1" s="323"/>
      <c r="C1" s="323"/>
      <c r="D1" s="323"/>
      <c r="E1" s="323"/>
      <c r="F1" s="323"/>
      <c r="G1" s="323"/>
      <c r="H1" s="323"/>
      <c r="I1" s="323"/>
    </row>
    <row r="2" spans="1:9" x14ac:dyDescent="0.2">
      <c r="A2" s="323"/>
      <c r="B2" s="323"/>
      <c r="C2" s="323"/>
      <c r="D2" s="323"/>
      <c r="E2" s="323"/>
      <c r="F2" s="323"/>
      <c r="G2" s="323"/>
      <c r="H2" s="323"/>
      <c r="I2" s="323"/>
    </row>
    <row r="3" spans="1:9" x14ac:dyDescent="0.2">
      <c r="A3" s="323"/>
      <c r="B3" s="34"/>
      <c r="C3" s="34" t="s">
        <v>636</v>
      </c>
      <c r="D3" s="330" t="s">
        <v>637</v>
      </c>
      <c r="E3" s="34" t="s">
        <v>638</v>
      </c>
      <c r="F3" s="34"/>
      <c r="G3" s="34" t="s">
        <v>430</v>
      </c>
      <c r="H3" s="416">
        <v>2.25</v>
      </c>
      <c r="I3" s="34"/>
    </row>
    <row r="4" spans="1:9" ht="25.5" x14ac:dyDescent="0.2">
      <c r="A4" s="323"/>
      <c r="B4" s="331"/>
      <c r="C4" s="76">
        <v>0</v>
      </c>
      <c r="D4" s="76">
        <v>0</v>
      </c>
      <c r="E4" s="338">
        <f>C4-D4</f>
        <v>0</v>
      </c>
      <c r="F4" s="331"/>
      <c r="G4" s="331" t="s">
        <v>711</v>
      </c>
      <c r="H4" s="337">
        <f>H3*'[1]נתוני יסוד'!I1</f>
        <v>400.5</v>
      </c>
      <c r="I4" s="34"/>
    </row>
    <row r="5" spans="1:9" x14ac:dyDescent="0.2">
      <c r="A5" s="323"/>
      <c r="B5" s="331"/>
      <c r="C5" s="331"/>
      <c r="D5" s="331"/>
      <c r="E5" s="331"/>
      <c r="F5" s="331"/>
      <c r="G5" s="331"/>
      <c r="H5" s="331"/>
      <c r="I5" s="34"/>
    </row>
    <row r="6" spans="1:9" x14ac:dyDescent="0.2">
      <c r="A6" s="323"/>
      <c r="B6" s="331" t="s">
        <v>631</v>
      </c>
      <c r="C6" s="331" t="s">
        <v>632</v>
      </c>
      <c r="D6" s="331" t="s">
        <v>542</v>
      </c>
      <c r="E6" s="331" t="s">
        <v>632</v>
      </c>
      <c r="F6" s="331" t="s">
        <v>633</v>
      </c>
      <c r="G6" s="331" t="s">
        <v>634</v>
      </c>
      <c r="H6" s="331"/>
      <c r="I6" s="34"/>
    </row>
    <row r="7" spans="1:9" x14ac:dyDescent="0.2">
      <c r="A7" s="323"/>
      <c r="B7" s="341">
        <f>C7</f>
        <v>5270</v>
      </c>
      <c r="C7" s="341">
        <f>'[1]חישובי מיסוי פנסיה פתוחים'!B6</f>
        <v>5270</v>
      </c>
      <c r="D7" s="342">
        <f>'[1]חישובי מיסוי פנסיה פתוחים'!C6</f>
        <v>0.1</v>
      </c>
      <c r="E7" s="331">
        <f>IF(E4&gt;B7,C7,E4)</f>
        <v>0</v>
      </c>
      <c r="F7" s="331">
        <f t="shared" ref="F7:F12" si="0">E7*D7</f>
        <v>0</v>
      </c>
      <c r="G7" s="331">
        <f>F7</f>
        <v>0</v>
      </c>
      <c r="H7" s="331"/>
      <c r="I7" s="34"/>
    </row>
    <row r="8" spans="1:9" x14ac:dyDescent="0.2">
      <c r="A8" s="323"/>
      <c r="B8" s="341">
        <f>B7+C8</f>
        <v>9000</v>
      </c>
      <c r="C8" s="341">
        <f>'[1]חישובי מיסוי פנסיה פתוחים'!B7</f>
        <v>3730</v>
      </c>
      <c r="D8" s="342">
        <f>'[1]חישובי מיסוי פנסיה פתוחים'!C7</f>
        <v>0.14000000000000001</v>
      </c>
      <c r="E8" s="331">
        <f>IF(E4&gt;B8,C8,IF(E4&lt;B7,0,E4-B7))</f>
        <v>0</v>
      </c>
      <c r="F8" s="331">
        <f t="shared" si="0"/>
        <v>0</v>
      </c>
      <c r="G8" s="331">
        <f>G7+F8</f>
        <v>0</v>
      </c>
      <c r="H8" s="331"/>
      <c r="I8" s="34"/>
    </row>
    <row r="9" spans="1:9" x14ac:dyDescent="0.2">
      <c r="A9" s="323"/>
      <c r="B9" s="341">
        <f>B8+C9</f>
        <v>13990</v>
      </c>
      <c r="C9" s="341">
        <f>'[1]חישובי מיסוי פנסיה פתוחים'!B8</f>
        <v>4990</v>
      </c>
      <c r="D9" s="342">
        <f>'[1]חישובי מיסוי פנסיה פתוחים'!C8</f>
        <v>0.21</v>
      </c>
      <c r="E9" s="331">
        <f>IF(E4&gt;B9,C9,IF(E4&lt;B8,0,E4-B8))</f>
        <v>0</v>
      </c>
      <c r="F9" s="331">
        <f t="shared" si="0"/>
        <v>0</v>
      </c>
      <c r="G9" s="331">
        <f>G8+F9</f>
        <v>0</v>
      </c>
      <c r="H9" s="331"/>
      <c r="I9" s="34"/>
    </row>
    <row r="10" spans="1:9" x14ac:dyDescent="0.2">
      <c r="A10" s="323"/>
      <c r="B10" s="341">
        <f>B9+C10</f>
        <v>19980</v>
      </c>
      <c r="C10" s="341">
        <f>'[1]חישובי מיסוי פנסיה פתוחים'!B9</f>
        <v>5990</v>
      </c>
      <c r="D10" s="342">
        <f>'[1]חישובי מיסוי פנסיה פתוחים'!C9</f>
        <v>0.31</v>
      </c>
      <c r="E10" s="331">
        <f>IF(E4&gt;B10,C10,IF(E4&lt;B9,0,E4-B9))</f>
        <v>0</v>
      </c>
      <c r="F10" s="331">
        <f t="shared" si="0"/>
        <v>0</v>
      </c>
      <c r="G10" s="331">
        <f>G9+F10</f>
        <v>0</v>
      </c>
      <c r="H10" s="331"/>
      <c r="I10" s="34"/>
    </row>
    <row r="11" spans="1:9" x14ac:dyDescent="0.2">
      <c r="A11" s="323"/>
      <c r="B11" s="341">
        <f>B10+C11</f>
        <v>41790</v>
      </c>
      <c r="C11" s="341">
        <f>'[1]חישובי מיסוי פנסיה פתוחים'!B10</f>
        <v>21810</v>
      </c>
      <c r="D11" s="342">
        <f>'[1]חישובי מיסוי פנסיה פתוחים'!C10</f>
        <v>0.34</v>
      </c>
      <c r="E11" s="331">
        <f>IF(E4&gt;B11,C11,IF(E4&lt;B10,0,E4-B10))</f>
        <v>0</v>
      </c>
      <c r="F11" s="331">
        <f t="shared" si="0"/>
        <v>0</v>
      </c>
      <c r="G11" s="331">
        <f>G10+F11</f>
        <v>0</v>
      </c>
      <c r="H11" s="331"/>
      <c r="I11" s="34"/>
    </row>
    <row r="12" spans="1:9" x14ac:dyDescent="0.2">
      <c r="A12" s="323"/>
      <c r="B12" s="341">
        <v>99999999</v>
      </c>
      <c r="C12" s="341">
        <f>IF(E4-B11&gt;=0,E4-B11,0)</f>
        <v>0</v>
      </c>
      <c r="D12" s="342">
        <f>'[1]חישובי מיסוי פנסיה פתוחים'!C11</f>
        <v>0.48</v>
      </c>
      <c r="E12" s="331">
        <f>IF(E4&gt;B12,C12,IF(E4&lt;B11,0,E4-B11))</f>
        <v>0</v>
      </c>
      <c r="F12" s="331">
        <f t="shared" si="0"/>
        <v>0</v>
      </c>
      <c r="G12" s="331">
        <f>G11+F12</f>
        <v>0</v>
      </c>
      <c r="H12" s="331"/>
      <c r="I12" s="34"/>
    </row>
    <row r="13" spans="1:9" ht="25.5" x14ac:dyDescent="0.2">
      <c r="A13" s="323"/>
      <c r="B13" s="331"/>
      <c r="C13" s="331"/>
      <c r="D13" s="331"/>
      <c r="E13" s="331"/>
      <c r="F13" s="331"/>
      <c r="G13" s="331"/>
      <c r="H13" s="331" t="s">
        <v>635</v>
      </c>
      <c r="I13" s="331">
        <f>IF(G12-H4&gt;=0,G12-H4,0)</f>
        <v>0</v>
      </c>
    </row>
    <row r="14" spans="1:9" x14ac:dyDescent="0.2">
      <c r="A14" s="323"/>
      <c r="B14" s="34"/>
      <c r="C14" s="34"/>
      <c r="D14" s="34"/>
      <c r="E14" s="34"/>
      <c r="F14" s="34"/>
      <c r="G14" s="34"/>
      <c r="H14" s="34" t="s">
        <v>586</v>
      </c>
      <c r="I14" s="331">
        <f>C4-I13</f>
        <v>0</v>
      </c>
    </row>
    <row r="16" spans="1:9" ht="33" x14ac:dyDescent="0.2">
      <c r="A16" s="323"/>
      <c r="B16" s="1143" t="s">
        <v>658</v>
      </c>
      <c r="C16" s="1144"/>
      <c r="D16" s="1144"/>
      <c r="E16" s="1145"/>
      <c r="F16" s="34"/>
      <c r="G16" s="34"/>
      <c r="H16" s="34"/>
      <c r="I16" s="34"/>
    </row>
    <row r="17" spans="1:9" x14ac:dyDescent="0.2">
      <c r="A17" s="323"/>
      <c r="B17" s="34"/>
      <c r="C17" s="34" t="s">
        <v>163</v>
      </c>
      <c r="D17" s="41">
        <v>68</v>
      </c>
      <c r="E17" s="1140" t="s">
        <v>433</v>
      </c>
      <c r="F17" s="1140"/>
      <c r="G17" s="41">
        <v>85</v>
      </c>
      <c r="H17" s="34" t="s">
        <v>231</v>
      </c>
      <c r="I17" s="416">
        <v>2.5</v>
      </c>
    </row>
    <row r="18" spans="1:9" x14ac:dyDescent="0.2">
      <c r="A18" s="323"/>
      <c r="B18" s="34"/>
      <c r="C18" s="34"/>
      <c r="D18" s="34"/>
      <c r="E18" s="34"/>
      <c r="F18" s="34"/>
      <c r="G18" s="34"/>
      <c r="H18" s="34"/>
      <c r="I18" s="34"/>
    </row>
    <row r="19" spans="1:9" ht="15.75" x14ac:dyDescent="0.2">
      <c r="A19" s="323"/>
      <c r="B19" s="34"/>
      <c r="C19" s="34" t="s">
        <v>245</v>
      </c>
      <c r="D19" s="1209">
        <f>PV(I17/100/12,(G17-D17)*12,I14,,1)*(-1)</f>
        <v>0</v>
      </c>
      <c r="E19" s="1209"/>
      <c r="F19" s="34"/>
      <c r="G19" s="34"/>
      <c r="H19" s="34"/>
      <c r="I19" s="34"/>
    </row>
    <row r="20" spans="1:9" x14ac:dyDescent="0.2">
      <c r="A20" s="323"/>
      <c r="B20" s="34"/>
      <c r="C20" s="34"/>
      <c r="D20" s="34"/>
      <c r="E20" s="34"/>
      <c r="F20" s="34"/>
      <c r="G20" s="34"/>
      <c r="H20" s="34"/>
      <c r="I20" s="34"/>
    </row>
    <row r="21" spans="1:9" ht="15.75" x14ac:dyDescent="0.2">
      <c r="A21" s="323"/>
      <c r="B21" s="1140" t="s">
        <v>660</v>
      </c>
      <c r="C21" s="1140"/>
      <c r="D21" s="1209">
        <f>PV(I17/100/12,(G17-D17)*12,D4,,1)*(-1)</f>
        <v>0</v>
      </c>
      <c r="E21" s="1209"/>
      <c r="F21" s="34"/>
      <c r="G21" s="34"/>
      <c r="H21" s="34"/>
      <c r="I21" s="34"/>
    </row>
    <row r="22" spans="1:9" x14ac:dyDescent="0.2">
      <c r="A22" s="323"/>
      <c r="B22" s="34"/>
      <c r="C22" s="34"/>
      <c r="D22" s="34"/>
      <c r="E22" s="34"/>
      <c r="F22" s="34"/>
      <c r="G22" s="34"/>
      <c r="H22" s="34"/>
      <c r="I22" s="34"/>
    </row>
    <row r="23" spans="1:9" ht="46.5" x14ac:dyDescent="0.2">
      <c r="A23" s="323"/>
      <c r="B23" s="331" t="s">
        <v>631</v>
      </c>
      <c r="C23" s="331" t="s">
        <v>632</v>
      </c>
      <c r="D23" s="331" t="s">
        <v>542</v>
      </c>
      <c r="E23" s="331" t="s">
        <v>632</v>
      </c>
      <c r="F23" s="424" t="s">
        <v>712</v>
      </c>
      <c r="G23" s="34"/>
      <c r="H23" s="34"/>
      <c r="I23" s="34"/>
    </row>
    <row r="24" spans="1:9" x14ac:dyDescent="0.2">
      <c r="A24" s="323"/>
      <c r="B24" s="103">
        <f>C24</f>
        <v>5270</v>
      </c>
      <c r="C24" s="103">
        <f>'[1]חישובי מיסוי פנסיה פתוחים'!B6</f>
        <v>5270</v>
      </c>
      <c r="D24" s="334">
        <f>'[1]חישובי מיסוי פנסיה פתוחים'!C6</f>
        <v>0.1</v>
      </c>
      <c r="E24" s="331">
        <f>IF(E4&gt;B24,C24,E21)</f>
        <v>0</v>
      </c>
      <c r="F24" s="425">
        <f>C24-E24</f>
        <v>5270</v>
      </c>
      <c r="G24" s="323"/>
      <c r="H24" s="323"/>
      <c r="I24" s="323"/>
    </row>
    <row r="25" spans="1:9" x14ac:dyDescent="0.2">
      <c r="A25" s="323"/>
      <c r="B25" s="103">
        <f>B24+C25</f>
        <v>9000</v>
      </c>
      <c r="C25" s="103">
        <f>'[1]חישובי מיסוי פנסיה פתוחים'!B7</f>
        <v>3730</v>
      </c>
      <c r="D25" s="334">
        <f>'[1]חישובי מיסוי פנסיה פתוחים'!C7</f>
        <v>0.14000000000000001</v>
      </c>
      <c r="E25" s="331">
        <f>IF(E4&gt;B25,C25,IF(E4&lt;B24,0,E4-B24))</f>
        <v>0</v>
      </c>
      <c r="F25" s="425">
        <f>C25-E25</f>
        <v>3730</v>
      </c>
      <c r="G25" s="323"/>
      <c r="H25" s="323"/>
      <c r="I25" s="323"/>
    </row>
    <row r="26" spans="1:9" x14ac:dyDescent="0.2">
      <c r="A26" s="323"/>
      <c r="B26" s="103">
        <f>B25+C26</f>
        <v>13990</v>
      </c>
      <c r="C26" s="103">
        <f>'[1]חישובי מיסוי פנסיה פתוחים'!B8</f>
        <v>4990</v>
      </c>
      <c r="D26" s="334">
        <f>'[1]חישובי מיסוי פנסיה פתוחים'!C8</f>
        <v>0.21</v>
      </c>
      <c r="E26" s="331">
        <f>IF(E4&gt;B26,C26,IF(E4&lt;B25,0,E4-B25))</f>
        <v>0</v>
      </c>
      <c r="F26" s="425">
        <f>C26-E26</f>
        <v>4990</v>
      </c>
      <c r="G26" s="323"/>
      <c r="H26" s="323"/>
      <c r="I26" s="323"/>
    </row>
    <row r="27" spans="1:9" x14ac:dyDescent="0.2">
      <c r="A27" s="323"/>
      <c r="B27" s="103">
        <f>B26+C27</f>
        <v>19980</v>
      </c>
      <c r="C27" s="103">
        <f>'[1]חישובי מיסוי פנסיה פתוחים'!B9</f>
        <v>5990</v>
      </c>
      <c r="D27" s="334">
        <f>'[1]חישובי מיסוי פנסיה פתוחים'!C9</f>
        <v>0.31</v>
      </c>
      <c r="E27" s="331">
        <f>IF(E4&gt;B27,C27,IF(E4&lt;B26,0,E4-B26))</f>
        <v>0</v>
      </c>
      <c r="F27" s="425">
        <f>C27-E27</f>
        <v>5990</v>
      </c>
      <c r="G27" s="323"/>
      <c r="H27" s="323"/>
      <c r="I27" s="323"/>
    </row>
    <row r="28" spans="1:9" x14ac:dyDescent="0.2">
      <c r="A28" s="323"/>
      <c r="B28" s="103">
        <f>B27+C28</f>
        <v>41790</v>
      </c>
      <c r="C28" s="103">
        <f>'[1]חישובי מיסוי פנסיה פתוחים'!B10</f>
        <v>21810</v>
      </c>
      <c r="D28" s="334">
        <f>'[1]חישובי מיסוי פנסיה פתוחים'!C10</f>
        <v>0.34</v>
      </c>
      <c r="E28" s="331">
        <f>IF(E4&gt;B28,C28,IF(E4&lt;B27,0,E4-B27))</f>
        <v>0</v>
      </c>
      <c r="F28" s="425">
        <f>C28-E28</f>
        <v>21810</v>
      </c>
      <c r="G28" s="323"/>
      <c r="H28" s="323"/>
      <c r="I28" s="323"/>
    </row>
    <row r="29" spans="1:9" x14ac:dyDescent="0.2">
      <c r="A29" s="323"/>
      <c r="B29" s="103">
        <v>99999999</v>
      </c>
      <c r="C29" s="103">
        <f>IF(E21-B28&gt;=0,E21-B28,0)</f>
        <v>0</v>
      </c>
      <c r="D29" s="334">
        <f>'[1]חישובי מיסוי פנסיה פתוחים'!C11</f>
        <v>0.48</v>
      </c>
      <c r="E29" s="331">
        <f>IF(E4&gt;B29,C29,IF(E4&lt;B28,0,E4-B28))</f>
        <v>0</v>
      </c>
      <c r="F29" s="425">
        <f>B29-E29</f>
        <v>99999999</v>
      </c>
      <c r="G29" s="323"/>
      <c r="H29" s="323"/>
      <c r="I29" s="323"/>
    </row>
    <row r="30" spans="1:9" x14ac:dyDescent="0.2">
      <c r="A30" s="323"/>
      <c r="B30" s="323"/>
      <c r="C30" s="323"/>
      <c r="D30" s="323"/>
      <c r="E30" s="323"/>
      <c r="F30" s="323"/>
      <c r="G30" s="323"/>
      <c r="H30" s="323"/>
      <c r="I30" s="323"/>
    </row>
    <row r="31" spans="1:9" x14ac:dyDescent="0.2">
      <c r="A31" s="323"/>
      <c r="B31" s="323"/>
      <c r="C31" s="323"/>
      <c r="D31" s="323"/>
      <c r="E31" s="323"/>
      <c r="F31" s="323"/>
      <c r="G31" s="323"/>
      <c r="H31" s="323"/>
      <c r="I31" s="323"/>
    </row>
  </sheetData>
  <sheetProtection password="83F6" sheet="1" objects="1" scenarios="1"/>
  <mergeCells count="5">
    <mergeCell ref="B16:E16"/>
    <mergeCell ref="E17:F17"/>
    <mergeCell ref="D19:E19"/>
    <mergeCell ref="B21:C21"/>
    <mergeCell ref="D21:E21"/>
  </mergeCells>
  <pageMargins left="0.75" right="0.75" top="1" bottom="1" header="0.5" footer="0.5"/>
  <pageSetup paperSize="9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211">
    <tabColor indexed="40"/>
  </sheetPr>
  <dimension ref="B3:S35"/>
  <sheetViews>
    <sheetView rightToLeft="1" workbookViewId="0">
      <selection activeCell="AL8" sqref="AL8"/>
    </sheetView>
  </sheetViews>
  <sheetFormatPr defaultRowHeight="12.75" x14ac:dyDescent="0.2"/>
  <cols>
    <col min="1" max="1" width="5.42578125" style="323" customWidth="1"/>
    <col min="2" max="2" width="27" style="323" customWidth="1"/>
    <col min="3" max="3" width="16.85546875" style="323" customWidth="1"/>
    <col min="4" max="4" width="14.140625" style="323" customWidth="1"/>
    <col min="5" max="5" width="20.5703125" style="323" customWidth="1"/>
    <col min="6" max="6" width="27.42578125" style="323" customWidth="1"/>
    <col min="7" max="7" width="13" style="323" customWidth="1"/>
    <col min="8" max="8" width="9.28515625" style="323" customWidth="1"/>
    <col min="9" max="9" width="19.85546875" style="323" customWidth="1"/>
    <col min="10" max="10" width="9.140625" style="323"/>
    <col min="11" max="11" width="5.85546875" style="323" customWidth="1"/>
    <col min="12" max="13" width="16.7109375" style="323" customWidth="1"/>
    <col min="14" max="14" width="11.28515625" style="323" customWidth="1"/>
    <col min="15" max="17" width="16.7109375" style="323" customWidth="1"/>
    <col min="18" max="18" width="10.28515625" style="323" customWidth="1"/>
    <col min="19" max="19" width="16.7109375" style="323" customWidth="1"/>
    <col min="20" max="16384" width="9.140625" style="323"/>
  </cols>
  <sheetData>
    <row r="3" spans="2:19" ht="25.5" x14ac:dyDescent="0.2">
      <c r="B3" s="34"/>
      <c r="C3" s="34" t="s">
        <v>636</v>
      </c>
      <c r="D3" s="330" t="s">
        <v>637</v>
      </c>
      <c r="E3" s="34" t="s">
        <v>638</v>
      </c>
      <c r="F3" s="34"/>
      <c r="G3" s="34" t="s">
        <v>430</v>
      </c>
      <c r="H3" s="41">
        <v>2.25</v>
      </c>
      <c r="I3" s="34"/>
      <c r="J3" s="34"/>
      <c r="K3" s="34"/>
      <c r="L3" s="34"/>
      <c r="M3" s="34" t="s">
        <v>639</v>
      </c>
      <c r="N3" s="330" t="s">
        <v>640</v>
      </c>
      <c r="O3" s="34" t="s">
        <v>641</v>
      </c>
      <c r="P3" s="34"/>
      <c r="Q3" s="34"/>
      <c r="R3" s="34"/>
      <c r="S3" s="34"/>
    </row>
    <row r="4" spans="2:19" x14ac:dyDescent="0.2">
      <c r="B4" s="331"/>
      <c r="C4" s="426">
        <v>5000</v>
      </c>
      <c r="D4" s="426">
        <v>0</v>
      </c>
      <c r="E4" s="427">
        <f>C4-D4</f>
        <v>5000</v>
      </c>
      <c r="F4" s="331"/>
      <c r="G4" s="331" t="s">
        <v>711</v>
      </c>
      <c r="H4" s="331">
        <f>H3*'[1]נתוני יסוד'!I1</f>
        <v>400.5</v>
      </c>
      <c r="I4" s="34"/>
      <c r="J4" s="34"/>
      <c r="K4" s="34"/>
      <c r="L4" s="331"/>
      <c r="M4" s="76">
        <f>C4*12</f>
        <v>60000</v>
      </c>
      <c r="N4" s="76">
        <f>D4*12</f>
        <v>0</v>
      </c>
      <c r="O4" s="338">
        <f>M4-N4</f>
        <v>60000</v>
      </c>
      <c r="P4" s="331"/>
      <c r="Q4" s="331"/>
      <c r="R4" s="331"/>
      <c r="S4" s="34"/>
    </row>
    <row r="5" spans="2:19" x14ac:dyDescent="0.2">
      <c r="B5" s="331"/>
      <c r="C5" s="331"/>
      <c r="D5" s="331"/>
      <c r="E5" s="331"/>
      <c r="F5" s="331"/>
      <c r="G5" s="331"/>
      <c r="H5" s="331"/>
      <c r="I5" s="34"/>
      <c r="J5" s="34"/>
      <c r="K5" s="34"/>
      <c r="L5" s="331"/>
      <c r="M5" s="331"/>
      <c r="N5" s="331"/>
      <c r="O5" s="331"/>
      <c r="P5" s="331"/>
      <c r="Q5" s="331"/>
      <c r="R5" s="331"/>
      <c r="S5" s="34"/>
    </row>
    <row r="6" spans="2:19" x14ac:dyDescent="0.2">
      <c r="B6" s="331" t="s">
        <v>631</v>
      </c>
      <c r="C6" s="331" t="s">
        <v>632</v>
      </c>
      <c r="D6" s="331" t="s">
        <v>542</v>
      </c>
      <c r="E6" s="331" t="s">
        <v>632</v>
      </c>
      <c r="F6" s="331" t="s">
        <v>633</v>
      </c>
      <c r="G6" s="331" t="s">
        <v>634</v>
      </c>
      <c r="H6" s="331"/>
      <c r="I6" s="34"/>
      <c r="J6" s="34"/>
      <c r="K6" s="34"/>
      <c r="L6" s="331" t="s">
        <v>631</v>
      </c>
      <c r="M6" s="331" t="s">
        <v>632</v>
      </c>
      <c r="N6" s="331" t="s">
        <v>542</v>
      </c>
      <c r="O6" s="331" t="s">
        <v>632</v>
      </c>
      <c r="P6" s="331" t="s">
        <v>633</v>
      </c>
      <c r="Q6" s="331" t="s">
        <v>634</v>
      </c>
      <c r="R6" s="331"/>
      <c r="S6" s="34"/>
    </row>
    <row r="7" spans="2:19" x14ac:dyDescent="0.2">
      <c r="B7" s="341">
        <f>C7</f>
        <v>5270</v>
      </c>
      <c r="C7" s="341">
        <f>'[1]חישובי מיסוי פנסיה פתוחים'!B6</f>
        <v>5270</v>
      </c>
      <c r="D7" s="342">
        <f>'[1]חישובי מיסוי פנסיה פתוחים'!C6</f>
        <v>0.1</v>
      </c>
      <c r="E7" s="331">
        <f>IF(E4&gt;B7,C7,E4)</f>
        <v>5000</v>
      </c>
      <c r="F7" s="331">
        <f t="shared" ref="F7:F12" si="0">E7*D7</f>
        <v>500</v>
      </c>
      <c r="G7" s="331">
        <f>F7</f>
        <v>500</v>
      </c>
      <c r="H7" s="331"/>
      <c r="I7" s="34"/>
      <c r="J7" s="34"/>
      <c r="K7" s="34"/>
      <c r="L7" s="341">
        <f>M7</f>
        <v>63240</v>
      </c>
      <c r="M7" s="341">
        <f>C7*12</f>
        <v>63240</v>
      </c>
      <c r="N7" s="342">
        <f t="shared" ref="N7:N12" si="1">D7</f>
        <v>0.1</v>
      </c>
      <c r="O7" s="331">
        <f>IF(O4&gt;L7,M7,O4)</f>
        <v>60000</v>
      </c>
      <c r="P7" s="331">
        <f t="shared" ref="P7:P12" si="2">O7*N7</f>
        <v>6000</v>
      </c>
      <c r="Q7" s="331">
        <f>P7</f>
        <v>6000</v>
      </c>
      <c r="R7" s="331"/>
      <c r="S7" s="34"/>
    </row>
    <row r="8" spans="2:19" x14ac:dyDescent="0.2">
      <c r="B8" s="341">
        <f>B7+C8</f>
        <v>9000</v>
      </c>
      <c r="C8" s="341">
        <f>'[1]חישובי מיסוי פנסיה פתוחים'!B7</f>
        <v>3730</v>
      </c>
      <c r="D8" s="342">
        <f>'[1]חישובי מיסוי פנסיה פתוחים'!C7</f>
        <v>0.14000000000000001</v>
      </c>
      <c r="E8" s="331">
        <f>IF(E4&gt;B8,C8,IF(E4&lt;B7,0,E4-B7))</f>
        <v>0</v>
      </c>
      <c r="F8" s="331">
        <f t="shared" si="0"/>
        <v>0</v>
      </c>
      <c r="G8" s="331">
        <f>G7+F8</f>
        <v>500</v>
      </c>
      <c r="H8" s="331"/>
      <c r="I8" s="34"/>
      <c r="J8" s="34"/>
      <c r="K8" s="34"/>
      <c r="L8" s="341">
        <f>L7+M8</f>
        <v>108000</v>
      </c>
      <c r="M8" s="341">
        <f>C8*12</f>
        <v>44760</v>
      </c>
      <c r="N8" s="342">
        <f t="shared" si="1"/>
        <v>0.14000000000000001</v>
      </c>
      <c r="O8" s="331">
        <f>IF(O4&gt;L8,M8,IF(O4&lt;L7,0,O4-L7))</f>
        <v>0</v>
      </c>
      <c r="P8" s="331">
        <f t="shared" si="2"/>
        <v>0</v>
      </c>
      <c r="Q8" s="331">
        <f>Q7+P8</f>
        <v>6000</v>
      </c>
      <c r="R8" s="331"/>
      <c r="S8" s="34"/>
    </row>
    <row r="9" spans="2:19" x14ac:dyDescent="0.2">
      <c r="B9" s="341">
        <f>B8+C9</f>
        <v>13990</v>
      </c>
      <c r="C9" s="341">
        <f>'[1]חישובי מיסוי פנסיה פתוחים'!B8</f>
        <v>4990</v>
      </c>
      <c r="D9" s="342">
        <f>'[1]חישובי מיסוי פנסיה פתוחים'!C8</f>
        <v>0.21</v>
      </c>
      <c r="E9" s="331">
        <f>IF(E4&gt;B9,C9,IF(E4&lt;B8,0,E4-B8))</f>
        <v>0</v>
      </c>
      <c r="F9" s="331">
        <f t="shared" si="0"/>
        <v>0</v>
      </c>
      <c r="G9" s="331">
        <f>G8+F9</f>
        <v>500</v>
      </c>
      <c r="H9" s="331"/>
      <c r="I9" s="34"/>
      <c r="J9" s="34"/>
      <c r="K9" s="34"/>
      <c r="L9" s="341">
        <f>L8+M9</f>
        <v>167880</v>
      </c>
      <c r="M9" s="341">
        <f>C9*12</f>
        <v>59880</v>
      </c>
      <c r="N9" s="342">
        <f t="shared" si="1"/>
        <v>0.21</v>
      </c>
      <c r="O9" s="331">
        <f>IF(O4&gt;L9,M9,IF(O4&lt;L8,0,O4-L8))</f>
        <v>0</v>
      </c>
      <c r="P9" s="331">
        <f t="shared" si="2"/>
        <v>0</v>
      </c>
      <c r="Q9" s="331">
        <f>Q8+P9</f>
        <v>6000</v>
      </c>
      <c r="R9" s="331"/>
      <c r="S9" s="34"/>
    </row>
    <row r="10" spans="2:19" x14ac:dyDescent="0.2">
      <c r="B10" s="341">
        <f>B9+C10</f>
        <v>19980</v>
      </c>
      <c r="C10" s="341">
        <f>'[1]חישובי מיסוי פנסיה פתוחים'!B9</f>
        <v>5990</v>
      </c>
      <c r="D10" s="342">
        <f>'[1]חישובי מיסוי פנסיה פתוחים'!C9</f>
        <v>0.31</v>
      </c>
      <c r="E10" s="331">
        <f>IF(E4&gt;B10,C10,IF(E4&lt;B9,0,E4-B9))</f>
        <v>0</v>
      </c>
      <c r="F10" s="331">
        <f t="shared" si="0"/>
        <v>0</v>
      </c>
      <c r="G10" s="331">
        <f>G9+F10</f>
        <v>500</v>
      </c>
      <c r="H10" s="331"/>
      <c r="I10" s="34"/>
      <c r="J10" s="34"/>
      <c r="K10" s="34"/>
      <c r="L10" s="341">
        <f>L9+M10</f>
        <v>239760</v>
      </c>
      <c r="M10" s="341">
        <f>C10*12</f>
        <v>71880</v>
      </c>
      <c r="N10" s="342">
        <f t="shared" si="1"/>
        <v>0.31</v>
      </c>
      <c r="O10" s="331">
        <f>IF(O4&gt;L10,M10,IF(O4&lt;L9,0,O4-L9))</f>
        <v>0</v>
      </c>
      <c r="P10" s="331">
        <f t="shared" si="2"/>
        <v>0</v>
      </c>
      <c r="Q10" s="331">
        <f>Q9+P10</f>
        <v>6000</v>
      </c>
      <c r="R10" s="331"/>
      <c r="S10" s="34"/>
    </row>
    <row r="11" spans="2:19" x14ac:dyDescent="0.2">
      <c r="B11" s="341">
        <f>B10+C11</f>
        <v>41790</v>
      </c>
      <c r="C11" s="341">
        <f>'[1]חישובי מיסוי פנסיה פתוחים'!B10</f>
        <v>21810</v>
      </c>
      <c r="D11" s="342">
        <f>'[1]חישובי מיסוי פנסיה פתוחים'!C10</f>
        <v>0.34</v>
      </c>
      <c r="E11" s="331">
        <f>IF(E4&gt;B11,C11,IF(E4&lt;B10,0,E4-B10))</f>
        <v>0</v>
      </c>
      <c r="F11" s="331">
        <f t="shared" si="0"/>
        <v>0</v>
      </c>
      <c r="G11" s="331">
        <f>G10+F11</f>
        <v>500</v>
      </c>
      <c r="H11" s="331"/>
      <c r="I11" s="34"/>
      <c r="J11" s="34"/>
      <c r="K11" s="34"/>
      <c r="L11" s="341">
        <f>L10+M11</f>
        <v>501480</v>
      </c>
      <c r="M11" s="341">
        <f>C11*12</f>
        <v>261720</v>
      </c>
      <c r="N11" s="342">
        <f t="shared" si="1"/>
        <v>0.34</v>
      </c>
      <c r="O11" s="331">
        <f>IF(O4&gt;L11,M11,IF(O4&lt;L10,0,O4-L10))</f>
        <v>0</v>
      </c>
      <c r="P11" s="331">
        <f t="shared" si="2"/>
        <v>0</v>
      </c>
      <c r="Q11" s="331">
        <f>Q10+P11</f>
        <v>6000</v>
      </c>
      <c r="R11" s="331"/>
      <c r="S11" s="34"/>
    </row>
    <row r="12" spans="2:19" x14ac:dyDescent="0.2">
      <c r="B12" s="341">
        <v>99999999</v>
      </c>
      <c r="C12" s="341">
        <f>IF(E4-B11&gt;=0,E4-B11,0)</f>
        <v>0</v>
      </c>
      <c r="D12" s="342">
        <f>'[1]חישובי מיסוי פנסיה פתוחים'!C11</f>
        <v>0.48</v>
      </c>
      <c r="E12" s="331">
        <f>IF(E4&gt;B12,C12,IF(E4&lt;B11,0,E4-B11))</f>
        <v>0</v>
      </c>
      <c r="F12" s="331">
        <f t="shared" si="0"/>
        <v>0</v>
      </c>
      <c r="G12" s="331">
        <f>G11+F12</f>
        <v>500</v>
      </c>
      <c r="H12" s="331"/>
      <c r="I12" s="34"/>
      <c r="J12" s="34"/>
      <c r="K12" s="34"/>
      <c r="L12" s="341">
        <v>99999999</v>
      </c>
      <c r="M12" s="341">
        <f>IF(O4-L11&gt;=0,O4-L11,0)</f>
        <v>0</v>
      </c>
      <c r="N12" s="342">
        <f t="shared" si="1"/>
        <v>0.48</v>
      </c>
      <c r="O12" s="331">
        <f>IF(O4&gt;L12,M12,IF(O4&lt;L11,0,O4-L11))</f>
        <v>0</v>
      </c>
      <c r="P12" s="331">
        <f t="shared" si="2"/>
        <v>0</v>
      </c>
      <c r="Q12" s="331">
        <f>Q11+P12</f>
        <v>6000</v>
      </c>
      <c r="R12" s="331"/>
      <c r="S12" s="34"/>
    </row>
    <row r="13" spans="2:19" ht="25.5" x14ac:dyDescent="0.2">
      <c r="B13" s="331"/>
      <c r="C13" s="331"/>
      <c r="D13" s="331"/>
      <c r="E13" s="331"/>
      <c r="F13" s="331"/>
      <c r="G13" s="331"/>
      <c r="H13" s="331" t="s">
        <v>635</v>
      </c>
      <c r="I13" s="331">
        <f>IF(G12-H4&gt;=0,G12-H4,0)</f>
        <v>99.5</v>
      </c>
      <c r="J13" s="34"/>
      <c r="K13" s="34"/>
      <c r="L13" s="331"/>
      <c r="M13" s="331"/>
      <c r="N13" s="331"/>
      <c r="O13" s="331"/>
      <c r="P13" s="331"/>
      <c r="Q13" s="331"/>
      <c r="R13" s="331" t="s">
        <v>635</v>
      </c>
      <c r="S13" s="331">
        <f>IF(Q12-'[1]נתוני יסוד'!L1&gt;=0,Q12-'[1]נתוני יסוד'!L1,0)</f>
        <v>1194</v>
      </c>
    </row>
    <row r="14" spans="2:19" x14ac:dyDescent="0.2">
      <c r="B14" s="34"/>
      <c r="C14" s="34"/>
      <c r="D14" s="34"/>
      <c r="E14" s="34"/>
      <c r="F14" s="34"/>
      <c r="G14" s="34"/>
      <c r="H14" s="34" t="s">
        <v>586</v>
      </c>
      <c r="I14" s="331">
        <f>C4-I13</f>
        <v>4900.5</v>
      </c>
      <c r="J14" s="34"/>
      <c r="K14" s="34"/>
      <c r="L14" s="34"/>
      <c r="M14" s="34"/>
      <c r="N14" s="34"/>
      <c r="O14" s="34"/>
      <c r="P14" s="34"/>
      <c r="Q14" s="34"/>
      <c r="R14" s="34" t="s">
        <v>586</v>
      </c>
      <c r="S14" s="331">
        <f>M4-S13</f>
        <v>58806</v>
      </c>
    </row>
    <row r="15" spans="2:19" x14ac:dyDescent="0.2"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</row>
    <row r="16" spans="2:19" ht="33" x14ac:dyDescent="0.2">
      <c r="B16" s="1143" t="s">
        <v>658</v>
      </c>
      <c r="C16" s="1144"/>
      <c r="D16" s="1144"/>
      <c r="E16" s="1145"/>
      <c r="F16" s="34"/>
      <c r="G16" s="34"/>
      <c r="H16" s="34"/>
      <c r="I16" s="34"/>
      <c r="J16" s="34"/>
      <c r="K16" s="34"/>
      <c r="L16" s="1146" t="s">
        <v>658</v>
      </c>
      <c r="M16" s="1146"/>
      <c r="N16" s="34"/>
      <c r="O16" s="34"/>
      <c r="P16" s="34"/>
      <c r="Q16" s="34"/>
      <c r="R16" s="34"/>
      <c r="S16" s="34"/>
    </row>
    <row r="17" spans="2:19" x14ac:dyDescent="0.2">
      <c r="B17" s="34"/>
      <c r="C17" s="34" t="s">
        <v>163</v>
      </c>
      <c r="D17" s="428">
        <v>68</v>
      </c>
      <c r="E17" s="1140" t="s">
        <v>433</v>
      </c>
      <c r="F17" s="1140"/>
      <c r="G17" s="428">
        <v>85</v>
      </c>
      <c r="H17" s="34" t="s">
        <v>231</v>
      </c>
      <c r="I17" s="429">
        <v>2.5</v>
      </c>
      <c r="J17" s="34"/>
      <c r="K17" s="34"/>
      <c r="L17" s="34"/>
      <c r="M17" s="34" t="s">
        <v>163</v>
      </c>
      <c r="N17" s="328">
        <f>D17</f>
        <v>68</v>
      </c>
      <c r="O17" s="1140" t="s">
        <v>433</v>
      </c>
      <c r="P17" s="1140"/>
      <c r="Q17" s="328">
        <f>G17</f>
        <v>85</v>
      </c>
      <c r="R17" s="34" t="s">
        <v>231</v>
      </c>
      <c r="S17" s="339">
        <f>I17</f>
        <v>2.5</v>
      </c>
    </row>
    <row r="18" spans="2:19" x14ac:dyDescent="0.2"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</row>
    <row r="19" spans="2:19" ht="15.75" x14ac:dyDescent="0.2">
      <c r="B19" s="34"/>
      <c r="C19" s="34" t="s">
        <v>245</v>
      </c>
      <c r="D19" s="1210">
        <f>PV(I17/100/12,(G17-D17)*12,I14,,1)*(-1)</f>
        <v>815431.83163428959</v>
      </c>
      <c r="E19" s="1210"/>
      <c r="F19" s="34"/>
      <c r="G19" s="34"/>
      <c r="H19" s="34"/>
      <c r="I19" s="34"/>
      <c r="J19" s="34"/>
      <c r="K19" s="34"/>
      <c r="L19" s="34"/>
      <c r="M19" s="34" t="s">
        <v>245</v>
      </c>
      <c r="N19" s="1210">
        <f>PV(S17/100,(Q17-N17),S14,,1)*(-1)</f>
        <v>826518.4864205498</v>
      </c>
      <c r="O19" s="1210"/>
      <c r="P19" s="34"/>
      <c r="Q19" s="34"/>
      <c r="R19" s="34"/>
      <c r="S19" s="34"/>
    </row>
    <row r="20" spans="2:19" x14ac:dyDescent="0.2"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</row>
    <row r="21" spans="2:19" ht="15.75" x14ac:dyDescent="0.2">
      <c r="B21" s="1140" t="s">
        <v>660</v>
      </c>
      <c r="C21" s="1140"/>
      <c r="D21" s="1210">
        <f>PV(I17/100/12,(G17-D17)*12,D4,,1)*(-1)</f>
        <v>0</v>
      </c>
      <c r="E21" s="1210"/>
      <c r="F21" s="34"/>
      <c r="G21" s="34"/>
      <c r="H21" s="34"/>
      <c r="I21" s="34"/>
      <c r="J21" s="34"/>
      <c r="K21" s="34"/>
      <c r="L21" s="1140" t="s">
        <v>660</v>
      </c>
      <c r="M21" s="1140"/>
      <c r="N21" s="1210">
        <f>PV(S17/100,(Q17-N17),N4,,1)*(-1)</f>
        <v>0</v>
      </c>
      <c r="O21" s="1210"/>
      <c r="P21" s="34"/>
      <c r="Q21" s="34"/>
      <c r="R21" s="34"/>
      <c r="S21" s="34"/>
    </row>
    <row r="22" spans="2:19" x14ac:dyDescent="0.2"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</row>
    <row r="23" spans="2:19" x14ac:dyDescent="0.2"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</row>
    <row r="28" spans="2:19" ht="13.5" thickBot="1" x14ac:dyDescent="0.25"/>
    <row r="29" spans="2:19" ht="21" thickBot="1" x14ac:dyDescent="0.25">
      <c r="B29" s="430" t="s">
        <v>631</v>
      </c>
      <c r="C29" s="430" t="s">
        <v>632</v>
      </c>
      <c r="D29" s="430" t="s">
        <v>542</v>
      </c>
      <c r="E29" s="430" t="s">
        <v>632</v>
      </c>
      <c r="F29" s="431" t="s">
        <v>712</v>
      </c>
    </row>
    <row r="30" spans="2:19" ht="21" thickBot="1" x14ac:dyDescent="0.25">
      <c r="B30" s="432">
        <f>C30</f>
        <v>5270</v>
      </c>
      <c r="C30" s="432">
        <f>'[1]חישובי מיסוי פנסיה פתוחים'!B6</f>
        <v>5270</v>
      </c>
      <c r="D30" s="433">
        <f>'[1]חישובי מיסוי פנסיה פתוחים'!C6</f>
        <v>0.1</v>
      </c>
      <c r="E30" s="430">
        <f>IF(E4&gt;B30,C30,E4)</f>
        <v>5000</v>
      </c>
      <c r="F30" s="434">
        <f>C30-E30</f>
        <v>270</v>
      </c>
    </row>
    <row r="31" spans="2:19" ht="21" thickBot="1" x14ac:dyDescent="0.25">
      <c r="B31" s="432">
        <f>B30+C31</f>
        <v>9000</v>
      </c>
      <c r="C31" s="432">
        <f>'[1]חישובי מיסוי פנסיה פתוחים'!B7</f>
        <v>3730</v>
      </c>
      <c r="D31" s="433">
        <f>'[1]חישובי מיסוי פנסיה פתוחים'!C7</f>
        <v>0.14000000000000001</v>
      </c>
      <c r="E31" s="430">
        <f>IF(E4&gt;B31,C31,IF(E4&lt;B30,0,E4-B30))</f>
        <v>0</v>
      </c>
      <c r="F31" s="434">
        <f>C31-E31</f>
        <v>3730</v>
      </c>
    </row>
    <row r="32" spans="2:19" ht="21" thickBot="1" x14ac:dyDescent="0.25">
      <c r="B32" s="432">
        <f>B31+C32</f>
        <v>13990</v>
      </c>
      <c r="C32" s="432">
        <f>'[1]חישובי מיסוי פנסיה פתוחים'!B8</f>
        <v>4990</v>
      </c>
      <c r="D32" s="433">
        <f>'[1]חישובי מיסוי פנסיה פתוחים'!C8</f>
        <v>0.21</v>
      </c>
      <c r="E32" s="430">
        <f>IF(E4&gt;B32,C32,IF(E4&lt;B31,0,E4-B31))</f>
        <v>0</v>
      </c>
      <c r="F32" s="434">
        <f>C32-E32</f>
        <v>4990</v>
      </c>
    </row>
    <row r="33" spans="2:6" ht="21" thickBot="1" x14ac:dyDescent="0.25">
      <c r="B33" s="432">
        <f>B32+C33</f>
        <v>19980</v>
      </c>
      <c r="C33" s="432">
        <f>'[1]חישובי מיסוי פנסיה פתוחים'!B9</f>
        <v>5990</v>
      </c>
      <c r="D33" s="433">
        <f>'[1]חישובי מיסוי פנסיה פתוחים'!C9</f>
        <v>0.31</v>
      </c>
      <c r="E33" s="430">
        <f>IF(E4&gt;B33,C33,IF(E4&lt;B32,0,E4-B32))</f>
        <v>0</v>
      </c>
      <c r="F33" s="434">
        <f>C33-E33</f>
        <v>5990</v>
      </c>
    </row>
    <row r="34" spans="2:6" ht="21" thickBot="1" x14ac:dyDescent="0.25">
      <c r="B34" s="432">
        <f>B33+C34</f>
        <v>41790</v>
      </c>
      <c r="C34" s="432">
        <f>'[1]חישובי מיסוי פנסיה פתוחים'!B10</f>
        <v>21810</v>
      </c>
      <c r="D34" s="433">
        <f>'[1]חישובי מיסוי פנסיה פתוחים'!C10</f>
        <v>0.34</v>
      </c>
      <c r="E34" s="430">
        <f>IF(E4&gt;B34,C34,IF(E4&lt;B33,0,E4-B33))</f>
        <v>0</v>
      </c>
      <c r="F34" s="434">
        <f>C34-E34</f>
        <v>21810</v>
      </c>
    </row>
    <row r="35" spans="2:6" ht="21" thickBot="1" x14ac:dyDescent="0.25">
      <c r="B35" s="432">
        <v>99999999</v>
      </c>
      <c r="C35" s="432">
        <f>IF(E4-B34&gt;=0,E4-B34,0)</f>
        <v>0</v>
      </c>
      <c r="D35" s="433">
        <f>'[1]חישובי מיסוי פנסיה פתוחים'!C11</f>
        <v>0.48</v>
      </c>
      <c r="E35" s="430">
        <f>IF(E4&gt;B35,C35,IF(E4&lt;B34,0,E4-B34))</f>
        <v>0</v>
      </c>
      <c r="F35" s="434">
        <f>B35-E35</f>
        <v>99999999</v>
      </c>
    </row>
  </sheetData>
  <sheetProtection password="83F6" sheet="1" objects="1" scenarios="1"/>
  <mergeCells count="10">
    <mergeCell ref="B21:C21"/>
    <mergeCell ref="D21:E21"/>
    <mergeCell ref="L21:M21"/>
    <mergeCell ref="N21:O21"/>
    <mergeCell ref="B16:E16"/>
    <mergeCell ref="L16:M16"/>
    <mergeCell ref="E17:F17"/>
    <mergeCell ref="O17:P17"/>
    <mergeCell ref="D19:E19"/>
    <mergeCell ref="N19:O19"/>
  </mergeCells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221">
    <tabColor indexed="55"/>
  </sheetPr>
  <dimension ref="A1:R49"/>
  <sheetViews>
    <sheetView rightToLeft="1" workbookViewId="0">
      <selection activeCell="AL8" sqref="AL8"/>
    </sheetView>
  </sheetViews>
  <sheetFormatPr defaultRowHeight="12.75" x14ac:dyDescent="0.2"/>
  <cols>
    <col min="1" max="2" width="9.140625" style="435"/>
    <col min="3" max="3" width="16.42578125" style="435" customWidth="1"/>
    <col min="4" max="4" width="7.140625" style="435" customWidth="1"/>
    <col min="5" max="5" width="14" style="435" customWidth="1"/>
    <col min="6" max="6" width="14.42578125" style="435" customWidth="1"/>
    <col min="7" max="7" width="14.42578125" style="435" bestFit="1" customWidth="1"/>
    <col min="8" max="8" width="12.85546875" style="435" customWidth="1"/>
    <col min="9" max="9" width="12.140625" style="435" customWidth="1"/>
    <col min="10" max="10" width="15.5703125" style="435" customWidth="1"/>
    <col min="11" max="11" width="9.28515625" style="435" bestFit="1" customWidth="1"/>
    <col min="12" max="12" width="14" style="435" customWidth="1"/>
    <col min="13" max="13" width="12" style="435" customWidth="1"/>
    <col min="14" max="14" width="12.7109375" style="435" customWidth="1"/>
    <col min="15" max="15" width="17" style="435" customWidth="1"/>
    <col min="16" max="16" width="12" style="435" customWidth="1"/>
    <col min="17" max="17" width="11" style="435" customWidth="1"/>
    <col min="18" max="18" width="12.7109375" style="435" customWidth="1"/>
    <col min="19" max="16384" width="9.140625" style="435"/>
  </cols>
  <sheetData>
    <row r="1" spans="1:18" ht="36" customHeight="1" x14ac:dyDescent="0.25">
      <c r="B1" s="1213" t="s">
        <v>713</v>
      </c>
      <c r="C1" s="1213"/>
      <c r="D1" s="1213"/>
      <c r="E1" s="1213"/>
      <c r="F1" s="1213"/>
      <c r="G1" s="1213"/>
      <c r="H1" s="436"/>
    </row>
    <row r="3" spans="1:18" ht="15.95" customHeight="1" x14ac:dyDescent="0.2">
      <c r="B3" s="435" t="s">
        <v>163</v>
      </c>
      <c r="C3" s="437">
        <v>125.59842915811087</v>
      </c>
      <c r="E3" s="435" t="s">
        <v>714</v>
      </c>
      <c r="G3" s="438">
        <v>48</v>
      </c>
      <c r="H3" s="438"/>
    </row>
    <row r="4" spans="1:18" ht="15.95" customHeight="1" x14ac:dyDescent="0.2">
      <c r="B4" s="435" t="s">
        <v>715</v>
      </c>
      <c r="C4" s="437">
        <v>90</v>
      </c>
    </row>
    <row r="5" spans="1:18" ht="15.95" customHeight="1" x14ac:dyDescent="0.2">
      <c r="B5" s="435" t="s">
        <v>231</v>
      </c>
      <c r="C5" s="439">
        <v>2.5000000000000001E-2</v>
      </c>
      <c r="E5" s="1212" t="s">
        <v>716</v>
      </c>
      <c r="F5" s="1212"/>
      <c r="G5" s="1212"/>
      <c r="H5" s="1212"/>
      <c r="I5" s="1212"/>
      <c r="N5" s="1212" t="s">
        <v>607</v>
      </c>
      <c r="O5" s="1212"/>
      <c r="P5" s="1212"/>
      <c r="Q5" s="1212"/>
      <c r="R5" s="1212"/>
    </row>
    <row r="6" spans="1:18" ht="15.95" customHeight="1" x14ac:dyDescent="0.2">
      <c r="A6" s="435" t="s">
        <v>717</v>
      </c>
      <c r="B6" s="435" t="s">
        <v>718</v>
      </c>
      <c r="C6" s="435" t="s">
        <v>288</v>
      </c>
      <c r="D6" s="435" t="s">
        <v>719</v>
      </c>
      <c r="E6" s="435" t="s">
        <v>16</v>
      </c>
      <c r="F6" s="1212" t="s">
        <v>22</v>
      </c>
      <c r="G6" s="1212"/>
      <c r="H6" s="1212" t="s">
        <v>23</v>
      </c>
      <c r="I6" s="1212"/>
      <c r="J6" s="435" t="s">
        <v>235</v>
      </c>
      <c r="K6" s="435" t="s">
        <v>720</v>
      </c>
      <c r="M6" s="1212" t="s">
        <v>270</v>
      </c>
      <c r="N6" s="435" t="s">
        <v>721</v>
      </c>
      <c r="O6" s="1212" t="s">
        <v>722</v>
      </c>
      <c r="P6" s="1212"/>
      <c r="Q6" s="1212" t="s">
        <v>723</v>
      </c>
      <c r="R6" s="1212"/>
    </row>
    <row r="7" spans="1:18" ht="15.95" customHeight="1" x14ac:dyDescent="0.2">
      <c r="F7" s="435" t="s">
        <v>724</v>
      </c>
      <c r="G7" s="435" t="s">
        <v>725</v>
      </c>
      <c r="H7" s="435" t="s">
        <v>724</v>
      </c>
      <c r="I7" s="435" t="s">
        <v>725</v>
      </c>
      <c r="M7" s="1212"/>
      <c r="O7" s="435" t="s">
        <v>726</v>
      </c>
      <c r="P7" s="435" t="s">
        <v>626</v>
      </c>
      <c r="Q7" s="435" t="s">
        <v>726</v>
      </c>
      <c r="R7" s="435" t="s">
        <v>626</v>
      </c>
    </row>
    <row r="8" spans="1:18" s="440" customFormat="1" ht="15.95" customHeight="1" x14ac:dyDescent="0.2">
      <c r="D8" s="441">
        <v>1</v>
      </c>
      <c r="E8" s="442"/>
      <c r="F8" s="443"/>
      <c r="G8" s="444"/>
      <c r="H8" s="445"/>
      <c r="I8" s="446"/>
      <c r="J8" s="447">
        <f>SUM(E8:I8)</f>
        <v>0</v>
      </c>
      <c r="K8" s="440">
        <v>144.19999999999999</v>
      </c>
      <c r="L8" s="447">
        <f>IF(J8&gt;0,J8/K8,0)</f>
        <v>0</v>
      </c>
      <c r="M8" s="440">
        <f>SUM(N8:R8)</f>
        <v>0</v>
      </c>
      <c r="N8" s="442">
        <f>E8/K8</f>
        <v>0</v>
      </c>
      <c r="O8" s="443">
        <f>F8/K8</f>
        <v>0</v>
      </c>
      <c r="P8" s="444">
        <f>H8/K8</f>
        <v>0</v>
      </c>
      <c r="Q8" s="445">
        <f>G8/K8</f>
        <v>0</v>
      </c>
      <c r="R8" s="446">
        <f>I8/K8</f>
        <v>0</v>
      </c>
    </row>
    <row r="9" spans="1:18" s="448" customFormat="1" ht="15.95" customHeight="1" x14ac:dyDescent="0.2">
      <c r="D9" s="449">
        <v>2</v>
      </c>
      <c r="E9" s="450"/>
      <c r="F9" s="451"/>
      <c r="G9" s="452"/>
      <c r="H9" s="453"/>
      <c r="I9" s="454"/>
      <c r="J9" s="455">
        <f t="shared" ref="J9:J39" si="0">SUM(E9:I9)</f>
        <v>0</v>
      </c>
      <c r="K9" s="448">
        <v>144.19999999999999</v>
      </c>
      <c r="L9" s="455">
        <f t="shared" ref="L9:L39" si="1">IF(J9&gt;0,J9/K9,0)</f>
        <v>0</v>
      </c>
      <c r="M9" s="448">
        <f t="shared" ref="M9:M39" si="2">SUM(N9:R9)</f>
        <v>0</v>
      </c>
      <c r="N9" s="450">
        <f t="shared" ref="N9:N39" si="3">E9/K9</f>
        <v>0</v>
      </c>
      <c r="O9" s="451">
        <f t="shared" ref="O9:O39" si="4">F9/K9</f>
        <v>0</v>
      </c>
      <c r="P9" s="452">
        <f t="shared" ref="P9:P39" si="5">H9/K9</f>
        <v>0</v>
      </c>
      <c r="Q9" s="453">
        <f t="shared" ref="Q9:Q39" si="6">G9/K9</f>
        <v>0</v>
      </c>
      <c r="R9" s="454">
        <f t="shared" ref="R9:R39" si="7">I9/K9</f>
        <v>0</v>
      </c>
    </row>
    <row r="10" spans="1:18" s="456" customFormat="1" ht="15.95" customHeight="1" x14ac:dyDescent="0.2">
      <c r="D10" s="457">
        <v>3</v>
      </c>
      <c r="E10" s="458"/>
      <c r="F10" s="459"/>
      <c r="G10" s="460"/>
      <c r="H10" s="461"/>
      <c r="I10" s="462"/>
      <c r="J10" s="463">
        <f t="shared" si="0"/>
        <v>0</v>
      </c>
      <c r="K10" s="456">
        <v>144.19999999999999</v>
      </c>
      <c r="L10" s="463">
        <f t="shared" si="1"/>
        <v>0</v>
      </c>
      <c r="M10" s="456">
        <f t="shared" si="2"/>
        <v>0</v>
      </c>
      <c r="N10" s="458">
        <f t="shared" si="3"/>
        <v>0</v>
      </c>
      <c r="O10" s="459">
        <f t="shared" si="4"/>
        <v>0</v>
      </c>
      <c r="P10" s="460">
        <f t="shared" si="5"/>
        <v>0</v>
      </c>
      <c r="Q10" s="461">
        <f t="shared" si="6"/>
        <v>0</v>
      </c>
      <c r="R10" s="462">
        <f t="shared" si="7"/>
        <v>0</v>
      </c>
    </row>
    <row r="11" spans="1:18" ht="15.95" customHeight="1" thickBot="1" x14ac:dyDescent="0.25">
      <c r="A11" s="464"/>
      <c r="B11" s="464"/>
      <c r="C11" s="464"/>
      <c r="D11" s="465">
        <v>4</v>
      </c>
      <c r="E11" s="466"/>
      <c r="F11" s="467"/>
      <c r="G11" s="468"/>
      <c r="H11" s="469"/>
      <c r="I11" s="470"/>
      <c r="J11" s="471">
        <f t="shared" si="0"/>
        <v>0</v>
      </c>
      <c r="K11" s="464">
        <v>153.6</v>
      </c>
      <c r="L11" s="471">
        <f t="shared" si="1"/>
        <v>0</v>
      </c>
      <c r="M11" s="464">
        <f t="shared" si="2"/>
        <v>0</v>
      </c>
      <c r="N11" s="466">
        <f t="shared" si="3"/>
        <v>0</v>
      </c>
      <c r="O11" s="467">
        <f t="shared" si="4"/>
        <v>0</v>
      </c>
      <c r="P11" s="468">
        <f t="shared" si="5"/>
        <v>0</v>
      </c>
      <c r="Q11" s="469">
        <f t="shared" si="6"/>
        <v>0</v>
      </c>
      <c r="R11" s="470">
        <f t="shared" si="7"/>
        <v>0</v>
      </c>
    </row>
    <row r="12" spans="1:18" s="472" customFormat="1" ht="15.95" customHeight="1" x14ac:dyDescent="0.2">
      <c r="D12" s="473">
        <v>5</v>
      </c>
      <c r="E12" s="474"/>
      <c r="F12" s="475"/>
      <c r="G12" s="476"/>
      <c r="H12" s="477"/>
      <c r="I12" s="478"/>
      <c r="J12" s="479">
        <f t="shared" si="0"/>
        <v>0</v>
      </c>
      <c r="K12" s="472">
        <v>144.19999999999999</v>
      </c>
      <c r="L12" s="479">
        <f t="shared" si="1"/>
        <v>0</v>
      </c>
      <c r="M12" s="472">
        <f t="shared" si="2"/>
        <v>0</v>
      </c>
      <c r="N12" s="474">
        <f t="shared" si="3"/>
        <v>0</v>
      </c>
      <c r="O12" s="475">
        <f t="shared" si="4"/>
        <v>0</v>
      </c>
      <c r="P12" s="476">
        <f t="shared" si="5"/>
        <v>0</v>
      </c>
      <c r="Q12" s="477">
        <f t="shared" si="6"/>
        <v>0</v>
      </c>
      <c r="R12" s="478">
        <f t="shared" si="7"/>
        <v>0</v>
      </c>
    </row>
    <row r="13" spans="1:18" s="480" customFormat="1" ht="15.95" customHeight="1" x14ac:dyDescent="0.2">
      <c r="D13" s="481">
        <v>6</v>
      </c>
      <c r="E13" s="482"/>
      <c r="F13" s="483"/>
      <c r="G13" s="484"/>
      <c r="H13" s="485"/>
      <c r="I13" s="486"/>
      <c r="J13" s="487">
        <f t="shared" si="0"/>
        <v>0</v>
      </c>
      <c r="K13" s="480">
        <v>144.19999999999999</v>
      </c>
      <c r="L13" s="487">
        <f t="shared" si="1"/>
        <v>0</v>
      </c>
      <c r="M13" s="480">
        <f t="shared" si="2"/>
        <v>0</v>
      </c>
      <c r="N13" s="482">
        <f t="shared" si="3"/>
        <v>0</v>
      </c>
      <c r="O13" s="483">
        <f t="shared" si="4"/>
        <v>0</v>
      </c>
      <c r="P13" s="484">
        <f t="shared" si="5"/>
        <v>0</v>
      </c>
      <c r="Q13" s="485">
        <f t="shared" si="6"/>
        <v>0</v>
      </c>
      <c r="R13" s="486">
        <f t="shared" si="7"/>
        <v>0</v>
      </c>
    </row>
    <row r="14" spans="1:18" s="488" customFormat="1" ht="15.95" customHeight="1" x14ac:dyDescent="0.2">
      <c r="D14" s="489">
        <v>7</v>
      </c>
      <c r="E14" s="490"/>
      <c r="F14" s="491"/>
      <c r="G14" s="492"/>
      <c r="H14" s="493"/>
      <c r="I14" s="494"/>
      <c r="J14" s="495">
        <f t="shared" si="0"/>
        <v>0</v>
      </c>
      <c r="K14" s="488">
        <v>166.66</v>
      </c>
      <c r="L14" s="495">
        <f t="shared" si="1"/>
        <v>0</v>
      </c>
      <c r="M14" s="488">
        <f t="shared" si="2"/>
        <v>0</v>
      </c>
      <c r="N14" s="490">
        <f t="shared" si="3"/>
        <v>0</v>
      </c>
      <c r="O14" s="491">
        <f t="shared" si="4"/>
        <v>0</v>
      </c>
      <c r="P14" s="492">
        <f t="shared" si="5"/>
        <v>0</v>
      </c>
      <c r="Q14" s="493">
        <f t="shared" si="6"/>
        <v>0</v>
      </c>
      <c r="R14" s="494">
        <f t="shared" si="7"/>
        <v>0</v>
      </c>
    </row>
    <row r="15" spans="1:18" s="496" customFormat="1" ht="15.95" customHeight="1" x14ac:dyDescent="0.2">
      <c r="D15" s="497">
        <v>8</v>
      </c>
      <c r="E15" s="498"/>
      <c r="F15" s="499"/>
      <c r="G15" s="500"/>
      <c r="H15" s="501"/>
      <c r="I15" s="502"/>
      <c r="J15" s="503">
        <f t="shared" si="0"/>
        <v>0</v>
      </c>
      <c r="K15" s="496">
        <v>144.19999999999999</v>
      </c>
      <c r="L15" s="503">
        <f t="shared" si="1"/>
        <v>0</v>
      </c>
      <c r="M15" s="496">
        <f t="shared" si="2"/>
        <v>0</v>
      </c>
      <c r="N15" s="498">
        <f t="shared" si="3"/>
        <v>0</v>
      </c>
      <c r="O15" s="499">
        <f t="shared" si="4"/>
        <v>0</v>
      </c>
      <c r="P15" s="500">
        <f t="shared" si="5"/>
        <v>0</v>
      </c>
      <c r="Q15" s="501">
        <f t="shared" si="6"/>
        <v>0</v>
      </c>
      <c r="R15" s="502">
        <f t="shared" si="7"/>
        <v>0</v>
      </c>
    </row>
    <row r="16" spans="1:18" s="504" customFormat="1" ht="15.95" customHeight="1" x14ac:dyDescent="0.2">
      <c r="D16" s="505">
        <v>9</v>
      </c>
      <c r="E16" s="506"/>
      <c r="F16" s="507"/>
      <c r="G16" s="508"/>
      <c r="H16" s="509"/>
      <c r="I16" s="510"/>
      <c r="J16" s="511">
        <f t="shared" si="0"/>
        <v>0</v>
      </c>
      <c r="K16" s="504">
        <v>144.19999999999999</v>
      </c>
      <c r="L16" s="511">
        <f t="shared" si="1"/>
        <v>0</v>
      </c>
      <c r="M16" s="504">
        <f t="shared" si="2"/>
        <v>0</v>
      </c>
      <c r="N16" s="506">
        <f t="shared" si="3"/>
        <v>0</v>
      </c>
      <c r="O16" s="507">
        <f t="shared" si="4"/>
        <v>0</v>
      </c>
      <c r="P16" s="508">
        <f t="shared" si="5"/>
        <v>0</v>
      </c>
      <c r="Q16" s="509">
        <f t="shared" si="6"/>
        <v>0</v>
      </c>
      <c r="R16" s="510">
        <f t="shared" si="7"/>
        <v>0</v>
      </c>
    </row>
    <row r="17" spans="1:18" ht="15.95" customHeight="1" x14ac:dyDescent="0.2">
      <c r="A17" s="464"/>
      <c r="B17" s="464"/>
      <c r="C17" s="464"/>
      <c r="D17" s="465">
        <v>10</v>
      </c>
      <c r="E17" s="466"/>
      <c r="F17" s="467"/>
      <c r="G17" s="468"/>
      <c r="H17" s="469"/>
      <c r="I17" s="470"/>
      <c r="J17" s="471">
        <f t="shared" si="0"/>
        <v>0</v>
      </c>
      <c r="K17" s="464">
        <v>144.19999999999999</v>
      </c>
      <c r="L17" s="471">
        <f t="shared" si="1"/>
        <v>0</v>
      </c>
      <c r="M17" s="464">
        <f t="shared" si="2"/>
        <v>0</v>
      </c>
      <c r="N17" s="466">
        <f t="shared" si="3"/>
        <v>0</v>
      </c>
      <c r="O17" s="467">
        <f t="shared" si="4"/>
        <v>0</v>
      </c>
      <c r="P17" s="468">
        <f t="shared" si="5"/>
        <v>0</v>
      </c>
      <c r="Q17" s="469">
        <f t="shared" si="6"/>
        <v>0</v>
      </c>
      <c r="R17" s="470">
        <f t="shared" si="7"/>
        <v>0</v>
      </c>
    </row>
    <row r="18" spans="1:18" s="512" customFormat="1" ht="15.95" customHeight="1" x14ac:dyDescent="0.2">
      <c r="D18" s="513">
        <v>11</v>
      </c>
      <c r="E18" s="514"/>
      <c r="F18" s="515"/>
      <c r="G18" s="516"/>
      <c r="H18" s="517"/>
      <c r="I18" s="518"/>
      <c r="J18" s="519">
        <f t="shared" si="0"/>
        <v>0</v>
      </c>
      <c r="K18" s="512">
        <v>144.19999999999999</v>
      </c>
      <c r="L18" s="519">
        <f t="shared" si="1"/>
        <v>0</v>
      </c>
      <c r="M18" s="512">
        <f t="shared" si="2"/>
        <v>0</v>
      </c>
      <c r="N18" s="514">
        <f t="shared" si="3"/>
        <v>0</v>
      </c>
      <c r="O18" s="515">
        <f t="shared" si="4"/>
        <v>0</v>
      </c>
      <c r="P18" s="516">
        <f t="shared" si="5"/>
        <v>0</v>
      </c>
      <c r="Q18" s="517">
        <f t="shared" si="6"/>
        <v>0</v>
      </c>
      <c r="R18" s="518">
        <f t="shared" si="7"/>
        <v>0</v>
      </c>
    </row>
    <row r="19" spans="1:18" s="520" customFormat="1" ht="15.95" customHeight="1" x14ac:dyDescent="0.2">
      <c r="D19" s="521">
        <v>12</v>
      </c>
      <c r="E19" s="522"/>
      <c r="F19" s="523"/>
      <c r="G19" s="524"/>
      <c r="H19" s="525"/>
      <c r="I19" s="526"/>
      <c r="J19" s="527">
        <f t="shared" si="0"/>
        <v>0</v>
      </c>
      <c r="K19" s="520">
        <v>144.19999999999999</v>
      </c>
      <c r="L19" s="527">
        <f t="shared" si="1"/>
        <v>0</v>
      </c>
      <c r="M19" s="520">
        <f t="shared" si="2"/>
        <v>0</v>
      </c>
      <c r="N19" s="522">
        <f t="shared" si="3"/>
        <v>0</v>
      </c>
      <c r="O19" s="523">
        <f t="shared" si="4"/>
        <v>0</v>
      </c>
      <c r="P19" s="524">
        <f t="shared" si="5"/>
        <v>0</v>
      </c>
      <c r="Q19" s="525">
        <f t="shared" si="6"/>
        <v>0</v>
      </c>
      <c r="R19" s="526">
        <f t="shared" si="7"/>
        <v>0</v>
      </c>
    </row>
    <row r="20" spans="1:18" s="488" customFormat="1" ht="15.95" customHeight="1" x14ac:dyDescent="0.2">
      <c r="D20" s="489">
        <v>13</v>
      </c>
      <c r="E20" s="490"/>
      <c r="F20" s="491"/>
      <c r="G20" s="492"/>
      <c r="H20" s="493"/>
      <c r="I20" s="494"/>
      <c r="J20" s="495">
        <f t="shared" si="0"/>
        <v>0</v>
      </c>
      <c r="K20" s="488">
        <v>144.19999999999999</v>
      </c>
      <c r="L20" s="495">
        <f t="shared" si="1"/>
        <v>0</v>
      </c>
      <c r="M20" s="488">
        <f t="shared" si="2"/>
        <v>0</v>
      </c>
      <c r="N20" s="490">
        <f t="shared" si="3"/>
        <v>0</v>
      </c>
      <c r="O20" s="491">
        <f t="shared" si="4"/>
        <v>0</v>
      </c>
      <c r="P20" s="492">
        <f t="shared" si="5"/>
        <v>0</v>
      </c>
      <c r="Q20" s="493">
        <f t="shared" si="6"/>
        <v>0</v>
      </c>
      <c r="R20" s="494">
        <f t="shared" si="7"/>
        <v>0</v>
      </c>
    </row>
    <row r="21" spans="1:18" ht="15.95" customHeight="1" x14ac:dyDescent="0.2">
      <c r="A21" s="464"/>
      <c r="B21" s="464"/>
      <c r="C21" s="464"/>
      <c r="D21" s="465">
        <v>14</v>
      </c>
      <c r="E21" s="466"/>
      <c r="F21" s="467"/>
      <c r="G21" s="468"/>
      <c r="H21" s="469"/>
      <c r="I21" s="470"/>
      <c r="J21" s="471">
        <f t="shared" si="0"/>
        <v>0</v>
      </c>
      <c r="K21" s="464">
        <v>144.19999999999999</v>
      </c>
      <c r="L21" s="471">
        <f t="shared" si="1"/>
        <v>0</v>
      </c>
      <c r="M21" s="464">
        <f t="shared" si="2"/>
        <v>0</v>
      </c>
      <c r="N21" s="466">
        <f t="shared" si="3"/>
        <v>0</v>
      </c>
      <c r="O21" s="467">
        <f t="shared" si="4"/>
        <v>0</v>
      </c>
      <c r="P21" s="468">
        <f t="shared" si="5"/>
        <v>0</v>
      </c>
      <c r="Q21" s="469">
        <f t="shared" si="6"/>
        <v>0</v>
      </c>
      <c r="R21" s="470">
        <f t="shared" si="7"/>
        <v>0</v>
      </c>
    </row>
    <row r="22" spans="1:18" s="512" customFormat="1" ht="15.95" customHeight="1" x14ac:dyDescent="0.2">
      <c r="D22" s="513">
        <v>15</v>
      </c>
      <c r="E22" s="514"/>
      <c r="F22" s="515"/>
      <c r="G22" s="516"/>
      <c r="H22" s="517"/>
      <c r="I22" s="518"/>
      <c r="J22" s="519">
        <f t="shared" si="0"/>
        <v>0</v>
      </c>
      <c r="K22" s="512">
        <v>144.19999999999999</v>
      </c>
      <c r="L22" s="519">
        <f t="shared" si="1"/>
        <v>0</v>
      </c>
      <c r="M22" s="512">
        <f t="shared" si="2"/>
        <v>0</v>
      </c>
      <c r="N22" s="514">
        <f t="shared" si="3"/>
        <v>0</v>
      </c>
      <c r="O22" s="515">
        <f t="shared" si="4"/>
        <v>0</v>
      </c>
      <c r="P22" s="516">
        <f t="shared" si="5"/>
        <v>0</v>
      </c>
      <c r="Q22" s="517">
        <f t="shared" si="6"/>
        <v>0</v>
      </c>
      <c r="R22" s="518">
        <f t="shared" si="7"/>
        <v>0</v>
      </c>
    </row>
    <row r="23" spans="1:18" s="528" customFormat="1" ht="15.95" customHeight="1" x14ac:dyDescent="0.2">
      <c r="D23" s="529">
        <v>16</v>
      </c>
      <c r="E23" s="530"/>
      <c r="F23" s="531"/>
      <c r="G23" s="532"/>
      <c r="H23" s="533"/>
      <c r="I23" s="534"/>
      <c r="J23" s="535">
        <f t="shared" si="0"/>
        <v>0</v>
      </c>
      <c r="K23" s="528">
        <v>144.19999999999999</v>
      </c>
      <c r="L23" s="535">
        <f t="shared" si="1"/>
        <v>0</v>
      </c>
      <c r="M23" s="528">
        <f t="shared" si="2"/>
        <v>0</v>
      </c>
      <c r="N23" s="530">
        <f t="shared" si="3"/>
        <v>0</v>
      </c>
      <c r="O23" s="531">
        <f t="shared" si="4"/>
        <v>0</v>
      </c>
      <c r="P23" s="532">
        <f t="shared" si="5"/>
        <v>0</v>
      </c>
      <c r="Q23" s="533">
        <f t="shared" si="6"/>
        <v>0</v>
      </c>
      <c r="R23" s="534">
        <f t="shared" si="7"/>
        <v>0</v>
      </c>
    </row>
    <row r="24" spans="1:18" s="536" customFormat="1" ht="15.95" customHeight="1" x14ac:dyDescent="0.2">
      <c r="D24" s="537">
        <v>17</v>
      </c>
      <c r="E24" s="538"/>
      <c r="F24" s="539"/>
      <c r="G24" s="540"/>
      <c r="H24" s="541"/>
      <c r="I24" s="542"/>
      <c r="J24" s="543">
        <f t="shared" si="0"/>
        <v>0</v>
      </c>
      <c r="K24" s="536">
        <v>144.19999999999999</v>
      </c>
      <c r="L24" s="543">
        <f t="shared" si="1"/>
        <v>0</v>
      </c>
      <c r="M24" s="536">
        <f t="shared" si="2"/>
        <v>0</v>
      </c>
      <c r="N24" s="538">
        <f t="shared" si="3"/>
        <v>0</v>
      </c>
      <c r="O24" s="539">
        <f t="shared" si="4"/>
        <v>0</v>
      </c>
      <c r="P24" s="540">
        <f t="shared" si="5"/>
        <v>0</v>
      </c>
      <c r="Q24" s="541">
        <f t="shared" si="6"/>
        <v>0</v>
      </c>
      <c r="R24" s="542">
        <f t="shared" si="7"/>
        <v>0</v>
      </c>
    </row>
    <row r="25" spans="1:18" ht="15.95" customHeight="1" x14ac:dyDescent="0.2">
      <c r="A25" s="544"/>
      <c r="B25" s="544"/>
      <c r="C25" s="544"/>
      <c r="D25" s="545">
        <v>18</v>
      </c>
      <c r="E25" s="546"/>
      <c r="F25" s="547"/>
      <c r="G25" s="548"/>
      <c r="H25" s="549"/>
      <c r="I25" s="550"/>
      <c r="J25" s="551">
        <f t="shared" si="0"/>
        <v>0</v>
      </c>
      <c r="K25" s="544">
        <v>144.19999999999999</v>
      </c>
      <c r="L25" s="551">
        <f t="shared" si="1"/>
        <v>0</v>
      </c>
      <c r="M25" s="544">
        <f t="shared" si="2"/>
        <v>0</v>
      </c>
      <c r="N25" s="546">
        <f t="shared" si="3"/>
        <v>0</v>
      </c>
      <c r="O25" s="547">
        <f t="shared" si="4"/>
        <v>0</v>
      </c>
      <c r="P25" s="548">
        <f t="shared" si="5"/>
        <v>0</v>
      </c>
      <c r="Q25" s="549">
        <f t="shared" si="6"/>
        <v>0</v>
      </c>
      <c r="R25" s="550">
        <f t="shared" si="7"/>
        <v>0</v>
      </c>
    </row>
    <row r="26" spans="1:18" ht="15.95" customHeight="1" x14ac:dyDescent="0.2">
      <c r="A26" s="552"/>
      <c r="B26" s="552"/>
      <c r="C26" s="552"/>
      <c r="D26" s="553">
        <v>19</v>
      </c>
      <c r="E26" s="554"/>
      <c r="F26" s="555"/>
      <c r="G26" s="556"/>
      <c r="H26" s="557"/>
      <c r="I26" s="558"/>
      <c r="J26" s="559">
        <f t="shared" si="0"/>
        <v>0</v>
      </c>
      <c r="K26" s="552">
        <v>144.19999999999999</v>
      </c>
      <c r="L26" s="559">
        <f t="shared" si="1"/>
        <v>0</v>
      </c>
      <c r="M26" s="552">
        <f t="shared" si="2"/>
        <v>0</v>
      </c>
      <c r="N26" s="554">
        <f t="shared" si="3"/>
        <v>0</v>
      </c>
      <c r="O26" s="555">
        <f t="shared" si="4"/>
        <v>0</v>
      </c>
      <c r="P26" s="556">
        <f t="shared" si="5"/>
        <v>0</v>
      </c>
      <c r="Q26" s="557">
        <f t="shared" si="6"/>
        <v>0</v>
      </c>
      <c r="R26" s="558">
        <f t="shared" si="7"/>
        <v>0</v>
      </c>
    </row>
    <row r="27" spans="1:18" ht="15.95" customHeight="1" x14ac:dyDescent="0.2">
      <c r="A27" s="552"/>
      <c r="B27" s="552"/>
      <c r="C27" s="552"/>
      <c r="D27" s="553">
        <v>20</v>
      </c>
      <c r="E27" s="554"/>
      <c r="F27" s="555"/>
      <c r="G27" s="556"/>
      <c r="H27" s="557"/>
      <c r="I27" s="558"/>
      <c r="J27" s="559">
        <f t="shared" si="0"/>
        <v>0</v>
      </c>
      <c r="K27" s="552">
        <v>144.19999999999999</v>
      </c>
      <c r="L27" s="559">
        <f t="shared" si="1"/>
        <v>0</v>
      </c>
      <c r="M27" s="552">
        <f t="shared" si="2"/>
        <v>0</v>
      </c>
      <c r="N27" s="554">
        <f t="shared" si="3"/>
        <v>0</v>
      </c>
      <c r="O27" s="555">
        <f t="shared" si="4"/>
        <v>0</v>
      </c>
      <c r="P27" s="556">
        <f t="shared" si="5"/>
        <v>0</v>
      </c>
      <c r="Q27" s="557">
        <f t="shared" si="6"/>
        <v>0</v>
      </c>
      <c r="R27" s="558">
        <f t="shared" si="7"/>
        <v>0</v>
      </c>
    </row>
    <row r="28" spans="1:18" ht="15.95" customHeight="1" x14ac:dyDescent="0.2">
      <c r="A28" s="552"/>
      <c r="B28" s="552"/>
      <c r="C28" s="552"/>
      <c r="D28" s="553">
        <v>21</v>
      </c>
      <c r="E28" s="554"/>
      <c r="F28" s="555"/>
      <c r="G28" s="556"/>
      <c r="H28" s="557"/>
      <c r="I28" s="558"/>
      <c r="J28" s="559">
        <f t="shared" si="0"/>
        <v>0</v>
      </c>
      <c r="K28" s="552">
        <v>144.19999999999999</v>
      </c>
      <c r="L28" s="559">
        <f t="shared" si="1"/>
        <v>0</v>
      </c>
      <c r="M28" s="552">
        <f t="shared" si="2"/>
        <v>0</v>
      </c>
      <c r="N28" s="554">
        <f t="shared" si="3"/>
        <v>0</v>
      </c>
      <c r="O28" s="555">
        <f t="shared" si="4"/>
        <v>0</v>
      </c>
      <c r="P28" s="556">
        <f t="shared" si="5"/>
        <v>0</v>
      </c>
      <c r="Q28" s="557">
        <f t="shared" si="6"/>
        <v>0</v>
      </c>
      <c r="R28" s="558">
        <f t="shared" si="7"/>
        <v>0</v>
      </c>
    </row>
    <row r="29" spans="1:18" ht="15.95" customHeight="1" x14ac:dyDescent="0.2">
      <c r="A29" s="552"/>
      <c r="B29" s="552"/>
      <c r="C29" s="552"/>
      <c r="D29" s="553">
        <v>22</v>
      </c>
      <c r="E29" s="554"/>
      <c r="F29" s="555"/>
      <c r="G29" s="556"/>
      <c r="H29" s="557"/>
      <c r="I29" s="558"/>
      <c r="J29" s="559">
        <f t="shared" si="0"/>
        <v>0</v>
      </c>
      <c r="K29" s="552">
        <v>144.19999999999999</v>
      </c>
      <c r="L29" s="559">
        <f t="shared" si="1"/>
        <v>0</v>
      </c>
      <c r="M29" s="552">
        <f t="shared" si="2"/>
        <v>0</v>
      </c>
      <c r="N29" s="554">
        <f t="shared" si="3"/>
        <v>0</v>
      </c>
      <c r="O29" s="555">
        <f t="shared" si="4"/>
        <v>0</v>
      </c>
      <c r="P29" s="556">
        <f t="shared" si="5"/>
        <v>0</v>
      </c>
      <c r="Q29" s="557">
        <f t="shared" si="6"/>
        <v>0</v>
      </c>
      <c r="R29" s="558">
        <f t="shared" si="7"/>
        <v>0</v>
      </c>
    </row>
    <row r="30" spans="1:18" ht="15.95" customHeight="1" x14ac:dyDescent="0.2">
      <c r="A30" s="552"/>
      <c r="B30" s="552"/>
      <c r="C30" s="552"/>
      <c r="D30" s="553">
        <v>23</v>
      </c>
      <c r="E30" s="554"/>
      <c r="F30" s="555"/>
      <c r="G30" s="556"/>
      <c r="H30" s="557"/>
      <c r="I30" s="558"/>
      <c r="J30" s="559">
        <f t="shared" si="0"/>
        <v>0</v>
      </c>
      <c r="K30" s="552">
        <v>144.19999999999999</v>
      </c>
      <c r="L30" s="559">
        <f t="shared" si="1"/>
        <v>0</v>
      </c>
      <c r="M30" s="552">
        <f t="shared" si="2"/>
        <v>0</v>
      </c>
      <c r="N30" s="554">
        <f t="shared" si="3"/>
        <v>0</v>
      </c>
      <c r="O30" s="555">
        <f t="shared" si="4"/>
        <v>0</v>
      </c>
      <c r="P30" s="556">
        <f t="shared" si="5"/>
        <v>0</v>
      </c>
      <c r="Q30" s="557">
        <f t="shared" si="6"/>
        <v>0</v>
      </c>
      <c r="R30" s="558">
        <f t="shared" si="7"/>
        <v>0</v>
      </c>
    </row>
    <row r="31" spans="1:18" ht="15.95" customHeight="1" x14ac:dyDescent="0.2">
      <c r="A31" s="552"/>
      <c r="B31" s="552"/>
      <c r="C31" s="552"/>
      <c r="D31" s="553">
        <v>24</v>
      </c>
      <c r="E31" s="554"/>
      <c r="F31" s="555"/>
      <c r="G31" s="556"/>
      <c r="H31" s="557"/>
      <c r="I31" s="558"/>
      <c r="J31" s="559">
        <f t="shared" si="0"/>
        <v>0</v>
      </c>
      <c r="K31" s="552">
        <v>144.19999999999999</v>
      </c>
      <c r="L31" s="559">
        <f t="shared" si="1"/>
        <v>0</v>
      </c>
      <c r="M31" s="552">
        <f t="shared" si="2"/>
        <v>0</v>
      </c>
      <c r="N31" s="554">
        <f t="shared" si="3"/>
        <v>0</v>
      </c>
      <c r="O31" s="555">
        <f t="shared" si="4"/>
        <v>0</v>
      </c>
      <c r="P31" s="556">
        <f t="shared" si="5"/>
        <v>0</v>
      </c>
      <c r="Q31" s="557">
        <f t="shared" si="6"/>
        <v>0</v>
      </c>
      <c r="R31" s="558">
        <f t="shared" si="7"/>
        <v>0</v>
      </c>
    </row>
    <row r="32" spans="1:18" ht="15.95" customHeight="1" x14ac:dyDescent="0.2">
      <c r="A32" s="552"/>
      <c r="B32" s="552"/>
      <c r="C32" s="552"/>
      <c r="D32" s="553">
        <v>25</v>
      </c>
      <c r="E32" s="554"/>
      <c r="F32" s="555"/>
      <c r="G32" s="556"/>
      <c r="H32" s="557"/>
      <c r="I32" s="558"/>
      <c r="J32" s="559">
        <f t="shared" si="0"/>
        <v>0</v>
      </c>
      <c r="K32" s="552">
        <v>144.19999999999999</v>
      </c>
      <c r="L32" s="559">
        <f t="shared" si="1"/>
        <v>0</v>
      </c>
      <c r="M32" s="552">
        <f t="shared" si="2"/>
        <v>0</v>
      </c>
      <c r="N32" s="554">
        <f t="shared" si="3"/>
        <v>0</v>
      </c>
      <c r="O32" s="555">
        <f t="shared" si="4"/>
        <v>0</v>
      </c>
      <c r="P32" s="556">
        <f t="shared" si="5"/>
        <v>0</v>
      </c>
      <c r="Q32" s="557">
        <f t="shared" si="6"/>
        <v>0</v>
      </c>
      <c r="R32" s="558">
        <f t="shared" si="7"/>
        <v>0</v>
      </c>
    </row>
    <row r="33" spans="1:18" ht="15.95" customHeight="1" x14ac:dyDescent="0.2">
      <c r="A33" s="552"/>
      <c r="B33" s="552"/>
      <c r="C33" s="552"/>
      <c r="D33" s="553">
        <v>26</v>
      </c>
      <c r="E33" s="554"/>
      <c r="F33" s="555"/>
      <c r="G33" s="556"/>
      <c r="H33" s="557"/>
      <c r="I33" s="558"/>
      <c r="J33" s="559">
        <f t="shared" si="0"/>
        <v>0</v>
      </c>
      <c r="K33" s="552">
        <v>144.19999999999999</v>
      </c>
      <c r="L33" s="559">
        <f t="shared" si="1"/>
        <v>0</v>
      </c>
      <c r="M33" s="552">
        <f t="shared" si="2"/>
        <v>0</v>
      </c>
      <c r="N33" s="554">
        <f t="shared" si="3"/>
        <v>0</v>
      </c>
      <c r="O33" s="555">
        <f t="shared" si="4"/>
        <v>0</v>
      </c>
      <c r="P33" s="556">
        <f t="shared" si="5"/>
        <v>0</v>
      </c>
      <c r="Q33" s="557">
        <f t="shared" si="6"/>
        <v>0</v>
      </c>
      <c r="R33" s="558">
        <f t="shared" si="7"/>
        <v>0</v>
      </c>
    </row>
    <row r="34" spans="1:18" ht="15.95" customHeight="1" x14ac:dyDescent="0.2">
      <c r="A34" s="552"/>
      <c r="B34" s="552"/>
      <c r="C34" s="552"/>
      <c r="D34" s="553">
        <v>27</v>
      </c>
      <c r="E34" s="554"/>
      <c r="F34" s="555"/>
      <c r="G34" s="556"/>
      <c r="H34" s="557"/>
      <c r="I34" s="558"/>
      <c r="J34" s="559">
        <f t="shared" si="0"/>
        <v>0</v>
      </c>
      <c r="K34" s="552">
        <v>144.19999999999999</v>
      </c>
      <c r="L34" s="559">
        <f t="shared" si="1"/>
        <v>0</v>
      </c>
      <c r="M34" s="552">
        <f t="shared" si="2"/>
        <v>0</v>
      </c>
      <c r="N34" s="554">
        <f t="shared" si="3"/>
        <v>0</v>
      </c>
      <c r="O34" s="555">
        <f t="shared" si="4"/>
        <v>0</v>
      </c>
      <c r="P34" s="556">
        <f t="shared" si="5"/>
        <v>0</v>
      </c>
      <c r="Q34" s="557">
        <f t="shared" si="6"/>
        <v>0</v>
      </c>
      <c r="R34" s="558">
        <f t="shared" si="7"/>
        <v>0</v>
      </c>
    </row>
    <row r="35" spans="1:18" ht="15.95" customHeight="1" x14ac:dyDescent="0.2">
      <c r="A35" s="552"/>
      <c r="B35" s="552"/>
      <c r="C35" s="552"/>
      <c r="D35" s="553">
        <v>28</v>
      </c>
      <c r="E35" s="554"/>
      <c r="F35" s="555"/>
      <c r="G35" s="556"/>
      <c r="H35" s="557"/>
      <c r="I35" s="558"/>
      <c r="J35" s="559">
        <f t="shared" si="0"/>
        <v>0</v>
      </c>
      <c r="K35" s="552">
        <v>144.19999999999999</v>
      </c>
      <c r="L35" s="559">
        <f t="shared" si="1"/>
        <v>0</v>
      </c>
      <c r="M35" s="552">
        <f t="shared" si="2"/>
        <v>0</v>
      </c>
      <c r="N35" s="554">
        <f t="shared" si="3"/>
        <v>0</v>
      </c>
      <c r="O35" s="555">
        <f t="shared" si="4"/>
        <v>0</v>
      </c>
      <c r="P35" s="556">
        <f t="shared" si="5"/>
        <v>0</v>
      </c>
      <c r="Q35" s="557">
        <f t="shared" si="6"/>
        <v>0</v>
      </c>
      <c r="R35" s="558">
        <f t="shared" si="7"/>
        <v>0</v>
      </c>
    </row>
    <row r="36" spans="1:18" ht="15.95" customHeight="1" x14ac:dyDescent="0.2">
      <c r="A36" s="552"/>
      <c r="B36" s="552"/>
      <c r="C36" s="552"/>
      <c r="D36" s="553">
        <v>29</v>
      </c>
      <c r="E36" s="554"/>
      <c r="F36" s="555"/>
      <c r="G36" s="556"/>
      <c r="H36" s="557"/>
      <c r="I36" s="558"/>
      <c r="J36" s="559">
        <f t="shared" si="0"/>
        <v>0</v>
      </c>
      <c r="K36" s="552">
        <v>144.19999999999999</v>
      </c>
      <c r="L36" s="559">
        <f t="shared" si="1"/>
        <v>0</v>
      </c>
      <c r="M36" s="552">
        <f t="shared" si="2"/>
        <v>0</v>
      </c>
      <c r="N36" s="554">
        <f t="shared" si="3"/>
        <v>0</v>
      </c>
      <c r="O36" s="555">
        <f t="shared" si="4"/>
        <v>0</v>
      </c>
      <c r="P36" s="556">
        <f t="shared" si="5"/>
        <v>0</v>
      </c>
      <c r="Q36" s="557">
        <f t="shared" si="6"/>
        <v>0</v>
      </c>
      <c r="R36" s="558">
        <f t="shared" si="7"/>
        <v>0</v>
      </c>
    </row>
    <row r="37" spans="1:18" ht="15.95" customHeight="1" x14ac:dyDescent="0.2">
      <c r="A37" s="552"/>
      <c r="B37" s="552"/>
      <c r="C37" s="552"/>
      <c r="D37" s="553">
        <v>30</v>
      </c>
      <c r="E37" s="554"/>
      <c r="F37" s="555"/>
      <c r="G37" s="556"/>
      <c r="H37" s="557"/>
      <c r="I37" s="558"/>
      <c r="J37" s="559">
        <f t="shared" si="0"/>
        <v>0</v>
      </c>
      <c r="K37" s="552">
        <v>144.19999999999999</v>
      </c>
      <c r="L37" s="559">
        <f t="shared" si="1"/>
        <v>0</v>
      </c>
      <c r="M37" s="552">
        <f t="shared" si="2"/>
        <v>0</v>
      </c>
      <c r="N37" s="554">
        <f t="shared" si="3"/>
        <v>0</v>
      </c>
      <c r="O37" s="555">
        <f t="shared" si="4"/>
        <v>0</v>
      </c>
      <c r="P37" s="556">
        <f t="shared" si="5"/>
        <v>0</v>
      </c>
      <c r="Q37" s="557">
        <f t="shared" si="6"/>
        <v>0</v>
      </c>
      <c r="R37" s="558">
        <f t="shared" si="7"/>
        <v>0</v>
      </c>
    </row>
    <row r="38" spans="1:18" ht="15.95" customHeight="1" x14ac:dyDescent="0.2">
      <c r="A38" s="552"/>
      <c r="B38" s="552"/>
      <c r="C38" s="552"/>
      <c r="D38" s="553">
        <v>31</v>
      </c>
      <c r="E38" s="554"/>
      <c r="F38" s="555"/>
      <c r="G38" s="556"/>
      <c r="H38" s="557"/>
      <c r="I38" s="558"/>
      <c r="J38" s="559">
        <f t="shared" si="0"/>
        <v>0</v>
      </c>
      <c r="K38" s="552">
        <v>144.19999999999999</v>
      </c>
      <c r="L38" s="559">
        <f t="shared" si="1"/>
        <v>0</v>
      </c>
      <c r="M38" s="552">
        <f t="shared" si="2"/>
        <v>0</v>
      </c>
      <c r="N38" s="554">
        <f t="shared" si="3"/>
        <v>0</v>
      </c>
      <c r="O38" s="555">
        <f t="shared" si="4"/>
        <v>0</v>
      </c>
      <c r="P38" s="556">
        <f t="shared" si="5"/>
        <v>0</v>
      </c>
      <c r="Q38" s="557">
        <f t="shared" si="6"/>
        <v>0</v>
      </c>
      <c r="R38" s="558">
        <f t="shared" si="7"/>
        <v>0</v>
      </c>
    </row>
    <row r="39" spans="1:18" ht="15.95" customHeight="1" x14ac:dyDescent="0.2">
      <c r="A39" s="552"/>
      <c r="B39" s="552"/>
      <c r="C39" s="552"/>
      <c r="D39" s="553">
        <v>32</v>
      </c>
      <c r="E39" s="554"/>
      <c r="F39" s="555"/>
      <c r="G39" s="556"/>
      <c r="H39" s="557"/>
      <c r="I39" s="558"/>
      <c r="J39" s="559">
        <f t="shared" si="0"/>
        <v>0</v>
      </c>
      <c r="K39" s="552">
        <v>144.19999999999999</v>
      </c>
      <c r="L39" s="559">
        <f t="shared" si="1"/>
        <v>0</v>
      </c>
      <c r="M39" s="552">
        <f t="shared" si="2"/>
        <v>0</v>
      </c>
      <c r="N39" s="554">
        <f t="shared" si="3"/>
        <v>0</v>
      </c>
      <c r="O39" s="555">
        <f t="shared" si="4"/>
        <v>0</v>
      </c>
      <c r="P39" s="556">
        <f t="shared" si="5"/>
        <v>0</v>
      </c>
      <c r="Q39" s="557">
        <f t="shared" si="6"/>
        <v>0</v>
      </c>
      <c r="R39" s="558">
        <f t="shared" si="7"/>
        <v>0</v>
      </c>
    </row>
    <row r="40" spans="1:18" ht="15.95" customHeight="1" x14ac:dyDescent="0.2">
      <c r="A40" s="552"/>
      <c r="B40" s="552"/>
      <c r="C40" s="552"/>
      <c r="D40" s="552"/>
      <c r="E40" s="554">
        <f>SUM(E8:E39)</f>
        <v>0</v>
      </c>
      <c r="F40" s="555">
        <f>SUM(F8:F39)</f>
        <v>0</v>
      </c>
      <c r="G40" s="556">
        <f>SUM(G8:G39)</f>
        <v>0</v>
      </c>
      <c r="H40" s="557">
        <f>SUM(H8:H39)</f>
        <v>0</v>
      </c>
      <c r="I40" s="558">
        <f>SUM(I8:I39)</f>
        <v>0</v>
      </c>
      <c r="J40" s="559">
        <f>SUM(E40:I40)</f>
        <v>0</v>
      </c>
      <c r="K40" s="552"/>
      <c r="L40" s="559">
        <f>SUM(L8:L39)</f>
        <v>0</v>
      </c>
      <c r="M40" s="552">
        <f>SUM(N40:R40)</f>
        <v>0</v>
      </c>
      <c r="N40" s="554">
        <f>SUM(N8:N39)</f>
        <v>0</v>
      </c>
      <c r="O40" s="555">
        <f>SUM(O8:O39)</f>
        <v>0</v>
      </c>
      <c r="P40" s="556">
        <f>SUM(P8:P39)</f>
        <v>0</v>
      </c>
      <c r="Q40" s="557">
        <f>SUM(Q8:Q39)</f>
        <v>0</v>
      </c>
      <c r="R40" s="558">
        <f>SUM(R8:R39)</f>
        <v>0</v>
      </c>
    </row>
    <row r="41" spans="1:18" ht="15.95" customHeight="1" x14ac:dyDescent="0.2"/>
    <row r="42" spans="1:18" ht="15.95" customHeight="1" x14ac:dyDescent="0.2">
      <c r="I42" s="435" t="s">
        <v>270</v>
      </c>
      <c r="J42" s="435">
        <f>E40+F45+I45</f>
        <v>0</v>
      </c>
    </row>
    <row r="43" spans="1:18" ht="15.95" customHeight="1" x14ac:dyDescent="0.2">
      <c r="L43" s="1211" t="s">
        <v>727</v>
      </c>
      <c r="M43" s="1211"/>
      <c r="N43" s="1211"/>
    </row>
    <row r="44" spans="1:18" ht="15.95" customHeight="1" x14ac:dyDescent="0.2"/>
    <row r="45" spans="1:18" ht="15.95" customHeight="1" x14ac:dyDescent="0.2">
      <c r="A45" s="1212" t="s">
        <v>728</v>
      </c>
      <c r="B45" s="1212"/>
      <c r="C45" s="435">
        <f>SUM(F40:I40)</f>
        <v>0</v>
      </c>
      <c r="E45" s="435" t="s">
        <v>729</v>
      </c>
      <c r="F45" s="435">
        <f>F40+H40</f>
        <v>0</v>
      </c>
      <c r="H45" s="435" t="s">
        <v>725</v>
      </c>
      <c r="I45" s="435">
        <f>G40+I40</f>
        <v>0</v>
      </c>
      <c r="L45" s="435" t="s">
        <v>16</v>
      </c>
      <c r="M45" s="435">
        <f>N40</f>
        <v>0</v>
      </c>
    </row>
    <row r="46" spans="1:18" ht="15.95" customHeight="1" x14ac:dyDescent="0.2">
      <c r="E46" s="435" t="s">
        <v>726</v>
      </c>
    </row>
    <row r="47" spans="1:18" ht="15.95" customHeight="1" x14ac:dyDescent="0.2">
      <c r="A47" s="1212"/>
      <c r="B47" s="1212"/>
      <c r="F47" s="435" t="s">
        <v>730</v>
      </c>
      <c r="G47" s="435">
        <f>F40+G40</f>
        <v>0</v>
      </c>
      <c r="L47" s="435" t="s">
        <v>22</v>
      </c>
      <c r="M47" s="435">
        <f>O40+Q40</f>
        <v>0</v>
      </c>
      <c r="O47" s="435" t="s">
        <v>731</v>
      </c>
      <c r="P47" s="435">
        <f>O40+P40</f>
        <v>0</v>
      </c>
    </row>
    <row r="48" spans="1:18" ht="15.95" customHeight="1" x14ac:dyDescent="0.2">
      <c r="F48" s="435" t="s">
        <v>732</v>
      </c>
      <c r="G48" s="435">
        <f>H40+I40</f>
        <v>0</v>
      </c>
      <c r="L48" s="435" t="s">
        <v>23</v>
      </c>
      <c r="M48" s="435">
        <f>P40+R40</f>
        <v>0</v>
      </c>
      <c r="O48" s="435" t="s">
        <v>725</v>
      </c>
      <c r="P48" s="435">
        <f>Q40+R40</f>
        <v>0</v>
      </c>
    </row>
    <row r="49" spans="6:16" ht="15.95" customHeight="1" x14ac:dyDescent="0.2">
      <c r="F49" s="435" t="s">
        <v>270</v>
      </c>
      <c r="G49" s="435">
        <f>SUM(G47:G48)</f>
        <v>0</v>
      </c>
      <c r="L49" s="435" t="s">
        <v>733</v>
      </c>
      <c r="M49" s="435">
        <f>SUM(M47:M48)</f>
        <v>0</v>
      </c>
      <c r="O49" s="435" t="s">
        <v>734</v>
      </c>
      <c r="P49" s="435">
        <f>SUM(P47:P48)</f>
        <v>0</v>
      </c>
    </row>
  </sheetData>
  <mergeCells count="11">
    <mergeCell ref="L43:N43"/>
    <mergeCell ref="A45:B45"/>
    <mergeCell ref="A47:B47"/>
    <mergeCell ref="B1:G1"/>
    <mergeCell ref="E5:I5"/>
    <mergeCell ref="N5:R5"/>
    <mergeCell ref="F6:G6"/>
    <mergeCell ref="H6:I6"/>
    <mergeCell ref="M6:M7"/>
    <mergeCell ref="O6:P6"/>
    <mergeCell ref="Q6:R6"/>
  </mergeCells>
  <pageMargins left="0.75" right="0.75" top="1" bottom="1" header="0.5" footer="0.5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231">
    <tabColor indexed="55"/>
  </sheetPr>
  <dimension ref="A1:S52"/>
  <sheetViews>
    <sheetView rightToLeft="1" workbookViewId="0">
      <selection activeCell="AL8" sqref="AL8"/>
    </sheetView>
  </sheetViews>
  <sheetFormatPr defaultRowHeight="12.75" x14ac:dyDescent="0.2"/>
  <cols>
    <col min="1" max="1" width="13.7109375" style="322" customWidth="1"/>
    <col min="2" max="2" width="14.85546875" style="322" customWidth="1"/>
    <col min="3" max="16384" width="9.140625" style="322"/>
  </cols>
  <sheetData>
    <row r="1" spans="1:19" ht="39" customHeight="1" x14ac:dyDescent="0.2">
      <c r="B1" s="1214" t="s">
        <v>735</v>
      </c>
      <c r="C1" s="1214"/>
      <c r="D1" s="1214"/>
    </row>
    <row r="2" spans="1:19" ht="15" customHeight="1" x14ac:dyDescent="0.2"/>
    <row r="3" spans="1:19" ht="15" customHeight="1" x14ac:dyDescent="0.2">
      <c r="A3" s="560" t="s">
        <v>361</v>
      </c>
      <c r="B3" s="561">
        <v>0</v>
      </c>
      <c r="C3" s="561"/>
      <c r="D3" s="561" t="s">
        <v>736</v>
      </c>
      <c r="E3" s="1215">
        <v>0</v>
      </c>
      <c r="F3" s="1215"/>
      <c r="G3" s="1215"/>
    </row>
    <row r="4" spans="1:19" ht="15" customHeight="1" x14ac:dyDescent="0.2">
      <c r="A4" s="560" t="s">
        <v>163</v>
      </c>
      <c r="B4" s="561">
        <v>125.59842915811087</v>
      </c>
      <c r="C4" s="1215" t="s">
        <v>737</v>
      </c>
      <c r="D4" s="1215"/>
      <c r="E4" s="562">
        <v>65</v>
      </c>
      <c r="F4" s="561"/>
      <c r="G4" s="561"/>
    </row>
    <row r="5" spans="1:19" ht="15" customHeight="1" x14ac:dyDescent="0.2">
      <c r="A5" s="563"/>
      <c r="E5" s="322" t="s">
        <v>738</v>
      </c>
      <c r="F5" s="564">
        <v>0</v>
      </c>
    </row>
    <row r="6" spans="1:19" x14ac:dyDescent="0.2">
      <c r="H6" s="565"/>
    </row>
    <row r="7" spans="1:19" x14ac:dyDescent="0.2">
      <c r="H7" s="322" t="s">
        <v>720</v>
      </c>
      <c r="I7" s="566" t="e">
        <f>INDEX(D11:S26,E4-59,B4-59)</f>
        <v>#REF!</v>
      </c>
    </row>
    <row r="9" spans="1:19" x14ac:dyDescent="0.2">
      <c r="D9" s="322" t="s">
        <v>739</v>
      </c>
    </row>
    <row r="10" spans="1:19" x14ac:dyDescent="0.2">
      <c r="D10" s="322">
        <v>60</v>
      </c>
      <c r="E10" s="322">
        <v>61</v>
      </c>
      <c r="F10" s="322">
        <v>62</v>
      </c>
      <c r="G10" s="322">
        <v>63</v>
      </c>
      <c r="H10" s="322">
        <v>64</v>
      </c>
      <c r="I10" s="322">
        <v>65</v>
      </c>
      <c r="J10" s="322">
        <v>66</v>
      </c>
      <c r="K10" s="322">
        <v>67</v>
      </c>
      <c r="L10" s="322">
        <v>68</v>
      </c>
      <c r="M10" s="322">
        <v>69</v>
      </c>
      <c r="N10" s="322">
        <v>70</v>
      </c>
      <c r="O10" s="322">
        <v>71</v>
      </c>
      <c r="P10" s="322">
        <v>72</v>
      </c>
      <c r="Q10" s="322">
        <v>73</v>
      </c>
      <c r="R10" s="322">
        <v>74</v>
      </c>
      <c r="S10" s="322">
        <v>75</v>
      </c>
    </row>
    <row r="11" spans="1:19" x14ac:dyDescent="0.2">
      <c r="B11" s="327" t="s">
        <v>740</v>
      </c>
      <c r="C11" s="322">
        <v>60</v>
      </c>
      <c r="D11" s="322">
        <v>1.1000000000000001</v>
      </c>
      <c r="E11" s="322">
        <v>2.1</v>
      </c>
      <c r="F11" s="322">
        <v>3.1</v>
      </c>
      <c r="G11" s="322">
        <v>4.0999999999999996</v>
      </c>
      <c r="H11" s="322">
        <v>5.01</v>
      </c>
      <c r="I11" s="322">
        <v>6.01</v>
      </c>
      <c r="J11" s="322">
        <v>7.01</v>
      </c>
      <c r="K11" s="322">
        <v>8.01</v>
      </c>
      <c r="L11" s="322">
        <v>9.01</v>
      </c>
      <c r="M11" s="322">
        <v>10.01</v>
      </c>
      <c r="N11" s="322">
        <v>11.01</v>
      </c>
      <c r="O11" s="322">
        <v>12.01</v>
      </c>
      <c r="P11" s="322">
        <v>13.01</v>
      </c>
      <c r="Q11" s="322">
        <v>14.01</v>
      </c>
      <c r="R11" s="322">
        <v>15.01</v>
      </c>
      <c r="S11" s="322">
        <v>16.010000000000002</v>
      </c>
    </row>
    <row r="12" spans="1:19" x14ac:dyDescent="0.2">
      <c r="C12" s="322">
        <v>61</v>
      </c>
      <c r="D12" s="322">
        <v>1.2</v>
      </c>
      <c r="E12" s="322">
        <v>2.2000000000000002</v>
      </c>
      <c r="F12" s="322">
        <v>3.2</v>
      </c>
      <c r="G12" s="322">
        <v>4.2</v>
      </c>
      <c r="H12" s="322">
        <v>5.0199999999999996</v>
      </c>
      <c r="I12" s="322">
        <v>6.02</v>
      </c>
      <c r="J12" s="322">
        <v>7.02</v>
      </c>
      <c r="K12" s="322">
        <v>8.02</v>
      </c>
      <c r="L12" s="322">
        <v>9.02</v>
      </c>
      <c r="M12" s="322">
        <v>10.02</v>
      </c>
      <c r="N12" s="322">
        <v>11.02</v>
      </c>
      <c r="O12" s="322">
        <v>12.02</v>
      </c>
      <c r="P12" s="322">
        <v>13.02</v>
      </c>
      <c r="Q12" s="322">
        <v>14.02</v>
      </c>
      <c r="R12" s="322">
        <v>15.02</v>
      </c>
      <c r="S12" s="322">
        <v>16.02</v>
      </c>
    </row>
    <row r="13" spans="1:19" x14ac:dyDescent="0.2">
      <c r="C13" s="322">
        <v>62</v>
      </c>
      <c r="D13" s="322">
        <v>1.3</v>
      </c>
      <c r="E13" s="322">
        <v>2.2999999999999998</v>
      </c>
      <c r="F13" s="322">
        <v>3.3</v>
      </c>
      <c r="G13" s="322">
        <v>4.3</v>
      </c>
      <c r="H13" s="322">
        <v>5.03</v>
      </c>
      <c r="I13" s="322">
        <v>6.03</v>
      </c>
      <c r="J13" s="322">
        <v>7.03</v>
      </c>
      <c r="K13" s="322">
        <v>8.0299999999999994</v>
      </c>
      <c r="L13" s="322">
        <v>9.0299999999999994</v>
      </c>
      <c r="M13" s="322">
        <v>10.029999999999999</v>
      </c>
      <c r="N13" s="322">
        <v>11.03</v>
      </c>
      <c r="O13" s="322">
        <v>12.03</v>
      </c>
      <c r="P13" s="322">
        <v>13.03</v>
      </c>
      <c r="Q13" s="322">
        <v>14.03</v>
      </c>
      <c r="R13" s="322">
        <v>15.03</v>
      </c>
      <c r="S13" s="322">
        <v>16.03</v>
      </c>
    </row>
    <row r="14" spans="1:19" x14ac:dyDescent="0.2">
      <c r="C14" s="322">
        <v>63</v>
      </c>
      <c r="D14" s="322">
        <v>1.4</v>
      </c>
      <c r="E14" s="322">
        <v>2.4</v>
      </c>
      <c r="F14" s="322">
        <v>3.4</v>
      </c>
      <c r="G14" s="322">
        <v>4.4000000000000004</v>
      </c>
      <c r="H14" s="322">
        <v>5.04</v>
      </c>
      <c r="I14" s="322">
        <v>6.04</v>
      </c>
      <c r="J14" s="322">
        <v>7.04</v>
      </c>
      <c r="K14" s="322">
        <v>8.0399999999999991</v>
      </c>
      <c r="L14" s="322">
        <v>9.0399999999999991</v>
      </c>
      <c r="M14" s="322">
        <v>10.039999999999999</v>
      </c>
      <c r="N14" s="322">
        <v>11.04</v>
      </c>
      <c r="O14" s="322">
        <v>12.04</v>
      </c>
      <c r="P14" s="322">
        <v>13.04</v>
      </c>
      <c r="Q14" s="322">
        <v>14.04</v>
      </c>
      <c r="R14" s="322">
        <v>15.04</v>
      </c>
      <c r="S14" s="322">
        <v>16.04</v>
      </c>
    </row>
    <row r="15" spans="1:19" x14ac:dyDescent="0.2">
      <c r="C15" s="322">
        <v>64</v>
      </c>
      <c r="D15" s="322">
        <v>1.5</v>
      </c>
      <c r="E15" s="322">
        <v>2.5</v>
      </c>
      <c r="F15" s="322">
        <v>3.5</v>
      </c>
      <c r="G15" s="322">
        <v>4.5</v>
      </c>
      <c r="H15" s="322">
        <v>5.05</v>
      </c>
      <c r="I15" s="322">
        <v>6.05</v>
      </c>
      <c r="J15" s="322">
        <v>7.05</v>
      </c>
      <c r="K15" s="322">
        <v>8.0500000000000007</v>
      </c>
      <c r="L15" s="322">
        <v>9.0500000000000007</v>
      </c>
      <c r="M15" s="322">
        <v>10.050000000000001</v>
      </c>
      <c r="N15" s="322">
        <v>11.05</v>
      </c>
      <c r="O15" s="322">
        <v>12.05</v>
      </c>
      <c r="P15" s="322">
        <v>13.05</v>
      </c>
      <c r="Q15" s="322">
        <v>14.05</v>
      </c>
      <c r="R15" s="322">
        <v>15.05</v>
      </c>
      <c r="S15" s="322">
        <v>16.05</v>
      </c>
    </row>
    <row r="16" spans="1:19" x14ac:dyDescent="0.2">
      <c r="C16" s="322">
        <v>65</v>
      </c>
      <c r="D16" s="322">
        <v>1.6</v>
      </c>
      <c r="E16" s="322">
        <v>2.6</v>
      </c>
      <c r="F16" s="322">
        <v>3.6</v>
      </c>
      <c r="G16" s="322">
        <v>4.5999999999999996</v>
      </c>
      <c r="H16" s="322">
        <v>5.0599999999999996</v>
      </c>
      <c r="I16" s="322">
        <v>6.06</v>
      </c>
      <c r="J16" s="322">
        <v>7.06</v>
      </c>
      <c r="K16" s="322">
        <v>8.06</v>
      </c>
      <c r="L16" s="322">
        <v>9.06</v>
      </c>
      <c r="M16" s="322">
        <v>10.06</v>
      </c>
      <c r="N16" s="322">
        <v>11.06</v>
      </c>
      <c r="O16" s="322">
        <v>12.06</v>
      </c>
      <c r="P16" s="322">
        <v>13.06</v>
      </c>
      <c r="Q16" s="322">
        <v>14.06</v>
      </c>
      <c r="R16" s="322">
        <v>15.06</v>
      </c>
      <c r="S16" s="322">
        <v>16.059999999999999</v>
      </c>
    </row>
    <row r="17" spans="3:19" x14ac:dyDescent="0.2">
      <c r="C17" s="322">
        <v>66</v>
      </c>
      <c r="D17" s="322">
        <v>1.7</v>
      </c>
      <c r="E17" s="322">
        <v>2.7</v>
      </c>
      <c r="F17" s="322">
        <v>3.7</v>
      </c>
      <c r="G17" s="322">
        <v>4.7</v>
      </c>
      <c r="H17" s="322">
        <v>5.07</v>
      </c>
      <c r="I17" s="322">
        <v>6.07</v>
      </c>
      <c r="J17" s="322">
        <v>7.07</v>
      </c>
      <c r="K17" s="322">
        <v>8.07</v>
      </c>
      <c r="L17" s="322">
        <v>9.07</v>
      </c>
      <c r="M17" s="322">
        <v>10.07</v>
      </c>
      <c r="N17" s="322">
        <v>11.07</v>
      </c>
      <c r="O17" s="322">
        <v>12.07</v>
      </c>
      <c r="P17" s="322">
        <v>13.07</v>
      </c>
      <c r="Q17" s="322">
        <v>14.07</v>
      </c>
      <c r="R17" s="322">
        <v>15.07</v>
      </c>
      <c r="S17" s="322">
        <v>16.07</v>
      </c>
    </row>
    <row r="18" spans="3:19" x14ac:dyDescent="0.2">
      <c r="C18" s="322">
        <v>67</v>
      </c>
      <c r="D18" s="322">
        <v>1.8</v>
      </c>
      <c r="E18" s="322">
        <v>2.8</v>
      </c>
      <c r="F18" s="322">
        <v>3.8</v>
      </c>
      <c r="G18" s="322">
        <v>4.8</v>
      </c>
      <c r="H18" s="322">
        <v>5.08</v>
      </c>
      <c r="I18" s="322">
        <v>6.08</v>
      </c>
      <c r="J18" s="322">
        <v>7.08</v>
      </c>
      <c r="K18" s="322">
        <v>8.08</v>
      </c>
      <c r="L18" s="322">
        <v>9.08</v>
      </c>
      <c r="M18" s="322">
        <v>10.08</v>
      </c>
      <c r="N18" s="322">
        <v>11.08</v>
      </c>
      <c r="O18" s="322">
        <v>12.08</v>
      </c>
      <c r="P18" s="322">
        <v>13.08</v>
      </c>
      <c r="Q18" s="322">
        <v>14.08</v>
      </c>
      <c r="R18" s="322">
        <v>15.08</v>
      </c>
      <c r="S18" s="322">
        <v>16.079999999999998</v>
      </c>
    </row>
    <row r="19" spans="3:19" x14ac:dyDescent="0.2">
      <c r="C19" s="322">
        <v>68</v>
      </c>
      <c r="D19" s="322">
        <v>1.9</v>
      </c>
      <c r="E19" s="322">
        <v>2.9</v>
      </c>
      <c r="F19" s="322">
        <v>3.9</v>
      </c>
      <c r="G19" s="322">
        <v>4.9000000000000004</v>
      </c>
      <c r="H19" s="322">
        <v>5.09</v>
      </c>
      <c r="I19" s="322">
        <v>6.09</v>
      </c>
      <c r="J19" s="322">
        <v>7.09</v>
      </c>
      <c r="K19" s="322">
        <v>8.09</v>
      </c>
      <c r="L19" s="322">
        <v>9.09</v>
      </c>
      <c r="M19" s="322">
        <v>10.09</v>
      </c>
      <c r="N19" s="322">
        <v>11.09</v>
      </c>
      <c r="O19" s="322">
        <v>12.09</v>
      </c>
      <c r="P19" s="322">
        <v>13.09</v>
      </c>
      <c r="Q19" s="322">
        <v>14.09</v>
      </c>
      <c r="R19" s="322">
        <v>15.09</v>
      </c>
      <c r="S19" s="322">
        <v>16.09</v>
      </c>
    </row>
    <row r="20" spans="3:19" x14ac:dyDescent="0.2">
      <c r="C20" s="322">
        <v>69</v>
      </c>
      <c r="D20" s="322">
        <v>2</v>
      </c>
      <c r="E20" s="322">
        <v>3</v>
      </c>
      <c r="F20" s="322">
        <v>4</v>
      </c>
      <c r="G20" s="322">
        <v>5</v>
      </c>
      <c r="H20" s="322">
        <v>5.0999999999999996</v>
      </c>
      <c r="I20" s="322">
        <v>6.1</v>
      </c>
      <c r="J20" s="322">
        <v>7.1</v>
      </c>
      <c r="K20" s="322">
        <v>8.1</v>
      </c>
      <c r="L20" s="322">
        <v>9.1</v>
      </c>
      <c r="M20" s="322">
        <v>10.1</v>
      </c>
      <c r="N20" s="322">
        <v>11.1</v>
      </c>
      <c r="O20" s="322">
        <v>12.1</v>
      </c>
      <c r="P20" s="322">
        <v>13.1</v>
      </c>
      <c r="Q20" s="322">
        <v>14.1</v>
      </c>
      <c r="R20" s="322">
        <v>15.1</v>
      </c>
      <c r="S20" s="322">
        <v>16.100000000000001</v>
      </c>
    </row>
    <row r="21" spans="3:19" x14ac:dyDescent="0.2">
      <c r="C21" s="322">
        <v>70</v>
      </c>
      <c r="D21" s="322">
        <v>2.1</v>
      </c>
      <c r="E21" s="322">
        <v>3.1</v>
      </c>
      <c r="F21" s="322">
        <v>4.0999999999999996</v>
      </c>
      <c r="G21" s="322">
        <v>5.1000000000000103</v>
      </c>
      <c r="H21" s="322">
        <v>5.1100000000000003</v>
      </c>
      <c r="I21" s="322">
        <v>6.11</v>
      </c>
      <c r="J21" s="322">
        <v>7.11</v>
      </c>
      <c r="K21" s="322">
        <v>8.11</v>
      </c>
      <c r="L21" s="322">
        <v>9.11</v>
      </c>
      <c r="M21" s="322">
        <v>10.11</v>
      </c>
      <c r="N21" s="322">
        <v>11.11</v>
      </c>
      <c r="O21" s="322">
        <v>12.11</v>
      </c>
      <c r="P21" s="322">
        <v>13.11</v>
      </c>
      <c r="Q21" s="322">
        <v>14.11</v>
      </c>
      <c r="R21" s="322">
        <v>15.11</v>
      </c>
      <c r="S21" s="322">
        <v>16.11</v>
      </c>
    </row>
    <row r="22" spans="3:19" x14ac:dyDescent="0.2">
      <c r="C22" s="322">
        <v>71</v>
      </c>
      <c r="D22" s="322">
        <v>2.2000000000000002</v>
      </c>
      <c r="E22" s="322">
        <v>3.2</v>
      </c>
      <c r="F22" s="322">
        <v>4.2</v>
      </c>
      <c r="G22" s="322">
        <v>5.2000000000000099</v>
      </c>
      <c r="H22" s="322">
        <v>5.12</v>
      </c>
      <c r="I22" s="322">
        <v>6.12</v>
      </c>
      <c r="J22" s="322">
        <v>7.12</v>
      </c>
      <c r="K22" s="322">
        <v>8.1199999999999992</v>
      </c>
      <c r="L22" s="322">
        <v>9.1199999999999992</v>
      </c>
      <c r="M22" s="322">
        <v>10.119999999999999</v>
      </c>
      <c r="N22" s="322">
        <v>11.12</v>
      </c>
      <c r="O22" s="322">
        <v>12.12</v>
      </c>
      <c r="P22" s="322">
        <v>13.12</v>
      </c>
      <c r="Q22" s="322">
        <v>14.12</v>
      </c>
      <c r="R22" s="322">
        <v>15.12</v>
      </c>
      <c r="S22" s="322">
        <v>16.12</v>
      </c>
    </row>
    <row r="23" spans="3:19" x14ac:dyDescent="0.2">
      <c r="C23" s="322">
        <v>72</v>
      </c>
      <c r="D23" s="322">
        <v>2.2999999999999998</v>
      </c>
      <c r="E23" s="322">
        <v>3.3</v>
      </c>
      <c r="F23" s="322">
        <v>4.3</v>
      </c>
      <c r="G23" s="322">
        <v>5.3000000000000096</v>
      </c>
      <c r="H23" s="322">
        <v>5.13</v>
      </c>
      <c r="I23" s="322">
        <v>6.13</v>
      </c>
      <c r="J23" s="322">
        <v>7.13</v>
      </c>
      <c r="K23" s="322">
        <v>8.1300000000000008</v>
      </c>
      <c r="L23" s="322">
        <v>9.1300000000000008</v>
      </c>
      <c r="M23" s="322">
        <v>10.130000000000001</v>
      </c>
      <c r="N23" s="322">
        <v>11.13</v>
      </c>
      <c r="O23" s="322">
        <v>12.13</v>
      </c>
      <c r="P23" s="322">
        <v>13.13</v>
      </c>
      <c r="Q23" s="322">
        <v>14.13</v>
      </c>
      <c r="R23" s="322">
        <v>15.13</v>
      </c>
      <c r="S23" s="322">
        <v>16.13</v>
      </c>
    </row>
    <row r="24" spans="3:19" x14ac:dyDescent="0.2">
      <c r="C24" s="322">
        <v>73</v>
      </c>
      <c r="D24" s="322">
        <v>2.4</v>
      </c>
      <c r="E24" s="322">
        <v>3.4</v>
      </c>
      <c r="F24" s="322">
        <v>4.4000000000000004</v>
      </c>
      <c r="G24" s="322">
        <v>5.4000000000000101</v>
      </c>
      <c r="H24" s="322">
        <v>5.14</v>
      </c>
      <c r="I24" s="322">
        <v>6.14</v>
      </c>
      <c r="J24" s="322">
        <v>7.14</v>
      </c>
      <c r="K24" s="322">
        <v>8.14</v>
      </c>
      <c r="L24" s="322">
        <v>9.14</v>
      </c>
      <c r="M24" s="322">
        <v>10.14</v>
      </c>
      <c r="N24" s="322">
        <v>11.14</v>
      </c>
      <c r="O24" s="322">
        <v>12.14</v>
      </c>
      <c r="P24" s="322">
        <v>13.14</v>
      </c>
      <c r="Q24" s="322">
        <v>14.14</v>
      </c>
      <c r="R24" s="322">
        <v>15.14</v>
      </c>
      <c r="S24" s="322">
        <v>16.14</v>
      </c>
    </row>
    <row r="25" spans="3:19" x14ac:dyDescent="0.2">
      <c r="C25" s="322">
        <v>74</v>
      </c>
      <c r="D25" s="322">
        <v>2.5</v>
      </c>
      <c r="E25" s="322">
        <v>3.5</v>
      </c>
      <c r="F25" s="322">
        <v>4.5</v>
      </c>
      <c r="G25" s="322">
        <v>5.5000000000000098</v>
      </c>
      <c r="H25" s="322">
        <v>5.15</v>
      </c>
      <c r="I25" s="322">
        <v>6.15</v>
      </c>
      <c r="J25" s="322">
        <v>7.15</v>
      </c>
      <c r="K25" s="322">
        <v>8.15</v>
      </c>
      <c r="L25" s="322">
        <v>9.15</v>
      </c>
      <c r="M25" s="322">
        <v>10.15</v>
      </c>
      <c r="N25" s="322">
        <v>11.15</v>
      </c>
      <c r="O25" s="322">
        <v>12.15</v>
      </c>
      <c r="P25" s="322">
        <v>13.15</v>
      </c>
      <c r="Q25" s="322">
        <v>14.15</v>
      </c>
      <c r="R25" s="322">
        <v>15.15</v>
      </c>
      <c r="S25" s="322">
        <v>16.149999999999999</v>
      </c>
    </row>
    <row r="26" spans="3:19" x14ac:dyDescent="0.2">
      <c r="C26" s="322">
        <v>75</v>
      </c>
      <c r="D26" s="322">
        <v>2.6</v>
      </c>
      <c r="E26" s="322">
        <v>3.6</v>
      </c>
      <c r="F26" s="322">
        <v>4.5999999999999996</v>
      </c>
      <c r="G26" s="322">
        <v>5.6000000000000103</v>
      </c>
      <c r="H26" s="322">
        <v>5.16</v>
      </c>
      <c r="I26" s="322">
        <v>6.16</v>
      </c>
      <c r="J26" s="322">
        <v>7.16</v>
      </c>
      <c r="K26" s="322">
        <v>8.16</v>
      </c>
      <c r="L26" s="322">
        <v>9.16</v>
      </c>
      <c r="M26" s="322">
        <v>10.16</v>
      </c>
      <c r="N26" s="322">
        <v>11.16</v>
      </c>
      <c r="O26" s="322">
        <v>12.16</v>
      </c>
      <c r="P26" s="322">
        <v>13.16</v>
      </c>
      <c r="Q26" s="322">
        <v>14.16</v>
      </c>
      <c r="R26" s="322">
        <v>15.16</v>
      </c>
      <c r="S26" s="322">
        <v>16.16</v>
      </c>
    </row>
    <row r="32" spans="3:19" ht="25.5" x14ac:dyDescent="0.2">
      <c r="I32" s="567"/>
      <c r="J32" s="568" t="s">
        <v>741</v>
      </c>
      <c r="K32" s="567">
        <v>68</v>
      </c>
      <c r="L32" s="567"/>
      <c r="M32" s="568" t="s">
        <v>742</v>
      </c>
      <c r="N32" s="567">
        <v>65</v>
      </c>
    </row>
    <row r="33" spans="2:19" x14ac:dyDescent="0.2">
      <c r="G33" s="322" t="s">
        <v>720</v>
      </c>
      <c r="H33" s="567">
        <f>INDEX(D37:S52,K32-59,N32-59+G30165)</f>
        <v>4420</v>
      </c>
    </row>
    <row r="35" spans="2:19" x14ac:dyDescent="0.2">
      <c r="E35" s="1216" t="s">
        <v>740</v>
      </c>
      <c r="F35" s="1216"/>
    </row>
    <row r="36" spans="2:19" x14ac:dyDescent="0.2">
      <c r="D36" s="322">
        <v>60</v>
      </c>
      <c r="E36" s="322">
        <v>61</v>
      </c>
      <c r="F36" s="322">
        <v>62</v>
      </c>
      <c r="G36" s="322">
        <v>63</v>
      </c>
      <c r="H36" s="322">
        <v>64</v>
      </c>
      <c r="I36" s="322">
        <v>65</v>
      </c>
      <c r="J36" s="322">
        <v>66</v>
      </c>
      <c r="K36" s="322">
        <v>67</v>
      </c>
      <c r="L36" s="322">
        <v>68</v>
      </c>
      <c r="M36" s="322">
        <v>69</v>
      </c>
      <c r="N36" s="322">
        <v>70</v>
      </c>
      <c r="O36" s="322">
        <v>71</v>
      </c>
      <c r="P36" s="322">
        <v>72</v>
      </c>
      <c r="Q36" s="322">
        <v>73</v>
      </c>
      <c r="R36" s="322">
        <v>74</v>
      </c>
      <c r="S36" s="322">
        <v>75</v>
      </c>
    </row>
    <row r="37" spans="2:19" x14ac:dyDescent="0.2">
      <c r="C37" s="322">
        <v>60</v>
      </c>
      <c r="D37" s="322">
        <f t="shared" ref="D37:D52" si="0">$D$36*C37</f>
        <v>3600</v>
      </c>
      <c r="E37" s="322">
        <f>E36*$C$37</f>
        <v>3660</v>
      </c>
      <c r="F37" s="322">
        <f t="shared" ref="F37:S37" si="1">F36*$C$37</f>
        <v>3720</v>
      </c>
      <c r="G37" s="322">
        <f t="shared" si="1"/>
        <v>3780</v>
      </c>
      <c r="H37" s="322">
        <f t="shared" si="1"/>
        <v>3840</v>
      </c>
      <c r="I37" s="322">
        <f t="shared" si="1"/>
        <v>3900</v>
      </c>
      <c r="J37" s="322">
        <f t="shared" si="1"/>
        <v>3960</v>
      </c>
      <c r="K37" s="322">
        <f t="shared" si="1"/>
        <v>4020</v>
      </c>
      <c r="L37" s="322">
        <f t="shared" si="1"/>
        <v>4080</v>
      </c>
      <c r="M37" s="322">
        <f t="shared" si="1"/>
        <v>4140</v>
      </c>
      <c r="N37" s="322">
        <f t="shared" si="1"/>
        <v>4200</v>
      </c>
      <c r="O37" s="322">
        <f t="shared" si="1"/>
        <v>4260</v>
      </c>
      <c r="P37" s="322">
        <f t="shared" si="1"/>
        <v>4320</v>
      </c>
      <c r="Q37" s="322">
        <f t="shared" si="1"/>
        <v>4380</v>
      </c>
      <c r="R37" s="322">
        <f t="shared" si="1"/>
        <v>4440</v>
      </c>
      <c r="S37" s="322">
        <f t="shared" si="1"/>
        <v>4500</v>
      </c>
    </row>
    <row r="38" spans="2:19" x14ac:dyDescent="0.2">
      <c r="B38" s="322" t="s">
        <v>739</v>
      </c>
      <c r="C38" s="322">
        <v>61</v>
      </c>
      <c r="D38" s="322">
        <f t="shared" si="0"/>
        <v>3660</v>
      </c>
      <c r="E38" s="322">
        <f t="shared" ref="E38:S52" si="2">E$36*$C38</f>
        <v>3721</v>
      </c>
      <c r="F38" s="322">
        <f t="shared" si="2"/>
        <v>3782</v>
      </c>
      <c r="G38" s="322">
        <f t="shared" si="2"/>
        <v>3843</v>
      </c>
      <c r="H38" s="322">
        <f t="shared" si="2"/>
        <v>3904</v>
      </c>
      <c r="I38" s="322">
        <f t="shared" si="2"/>
        <v>3965</v>
      </c>
      <c r="J38" s="322">
        <f t="shared" si="2"/>
        <v>4026</v>
      </c>
      <c r="K38" s="322">
        <f t="shared" si="2"/>
        <v>4087</v>
      </c>
      <c r="L38" s="322">
        <f t="shared" si="2"/>
        <v>4148</v>
      </c>
      <c r="M38" s="322">
        <f t="shared" si="2"/>
        <v>4209</v>
      </c>
      <c r="N38" s="322">
        <f t="shared" si="2"/>
        <v>4270</v>
      </c>
      <c r="O38" s="322">
        <f t="shared" si="2"/>
        <v>4331</v>
      </c>
      <c r="P38" s="322">
        <f t="shared" si="2"/>
        <v>4392</v>
      </c>
      <c r="Q38" s="322">
        <f t="shared" si="2"/>
        <v>4453</v>
      </c>
      <c r="R38" s="322">
        <f t="shared" si="2"/>
        <v>4514</v>
      </c>
      <c r="S38" s="322">
        <f t="shared" si="2"/>
        <v>4575</v>
      </c>
    </row>
    <row r="39" spans="2:19" x14ac:dyDescent="0.2">
      <c r="C39" s="322">
        <v>62</v>
      </c>
      <c r="D39" s="322">
        <f t="shared" si="0"/>
        <v>3720</v>
      </c>
      <c r="E39" s="322">
        <f t="shared" si="2"/>
        <v>3782</v>
      </c>
      <c r="F39" s="322">
        <f t="shared" si="2"/>
        <v>3844</v>
      </c>
      <c r="G39" s="322">
        <f t="shared" si="2"/>
        <v>3906</v>
      </c>
      <c r="H39" s="322">
        <f t="shared" si="2"/>
        <v>3968</v>
      </c>
      <c r="I39" s="322">
        <f t="shared" si="2"/>
        <v>4030</v>
      </c>
      <c r="J39" s="322">
        <f t="shared" si="2"/>
        <v>4092</v>
      </c>
      <c r="K39" s="322">
        <f t="shared" si="2"/>
        <v>4154</v>
      </c>
      <c r="L39" s="322">
        <f t="shared" si="2"/>
        <v>4216</v>
      </c>
      <c r="M39" s="322">
        <f t="shared" si="2"/>
        <v>4278</v>
      </c>
      <c r="N39" s="322">
        <f t="shared" si="2"/>
        <v>4340</v>
      </c>
      <c r="O39" s="322">
        <f t="shared" si="2"/>
        <v>4402</v>
      </c>
      <c r="P39" s="322">
        <f t="shared" si="2"/>
        <v>4464</v>
      </c>
      <c r="Q39" s="322">
        <f t="shared" si="2"/>
        <v>4526</v>
      </c>
      <c r="R39" s="322">
        <f t="shared" si="2"/>
        <v>4588</v>
      </c>
      <c r="S39" s="322">
        <f t="shared" si="2"/>
        <v>4650</v>
      </c>
    </row>
    <row r="40" spans="2:19" x14ac:dyDescent="0.2">
      <c r="C40" s="322">
        <v>63</v>
      </c>
      <c r="D40" s="322">
        <f t="shared" si="0"/>
        <v>3780</v>
      </c>
      <c r="E40" s="322">
        <f t="shared" si="2"/>
        <v>3843</v>
      </c>
      <c r="F40" s="322">
        <f t="shared" si="2"/>
        <v>3906</v>
      </c>
      <c r="G40" s="322">
        <f t="shared" si="2"/>
        <v>3969</v>
      </c>
      <c r="H40" s="322">
        <f t="shared" si="2"/>
        <v>4032</v>
      </c>
      <c r="I40" s="322">
        <f t="shared" si="2"/>
        <v>4095</v>
      </c>
      <c r="J40" s="322">
        <f t="shared" si="2"/>
        <v>4158</v>
      </c>
      <c r="K40" s="322">
        <f t="shared" si="2"/>
        <v>4221</v>
      </c>
      <c r="L40" s="322">
        <f t="shared" si="2"/>
        <v>4284</v>
      </c>
      <c r="M40" s="322">
        <f t="shared" si="2"/>
        <v>4347</v>
      </c>
      <c r="N40" s="322">
        <f t="shared" si="2"/>
        <v>4410</v>
      </c>
      <c r="O40" s="322">
        <f t="shared" si="2"/>
        <v>4473</v>
      </c>
      <c r="P40" s="322">
        <f t="shared" si="2"/>
        <v>4536</v>
      </c>
      <c r="Q40" s="322">
        <f t="shared" si="2"/>
        <v>4599</v>
      </c>
      <c r="R40" s="322">
        <f t="shared" si="2"/>
        <v>4662</v>
      </c>
      <c r="S40" s="322">
        <f t="shared" si="2"/>
        <v>4725</v>
      </c>
    </row>
    <row r="41" spans="2:19" x14ac:dyDescent="0.2">
      <c r="C41" s="322">
        <v>64</v>
      </c>
      <c r="D41" s="322">
        <f t="shared" si="0"/>
        <v>3840</v>
      </c>
      <c r="E41" s="322">
        <f t="shared" si="2"/>
        <v>3904</v>
      </c>
      <c r="F41" s="322">
        <f t="shared" si="2"/>
        <v>3968</v>
      </c>
      <c r="G41" s="322">
        <f t="shared" si="2"/>
        <v>4032</v>
      </c>
      <c r="H41" s="322">
        <f t="shared" si="2"/>
        <v>4096</v>
      </c>
      <c r="I41" s="322">
        <f t="shared" si="2"/>
        <v>4160</v>
      </c>
      <c r="J41" s="322">
        <f t="shared" si="2"/>
        <v>4224</v>
      </c>
      <c r="K41" s="322">
        <f t="shared" si="2"/>
        <v>4288</v>
      </c>
      <c r="L41" s="322">
        <f t="shared" si="2"/>
        <v>4352</v>
      </c>
      <c r="M41" s="322">
        <f t="shared" si="2"/>
        <v>4416</v>
      </c>
      <c r="N41" s="322">
        <f t="shared" si="2"/>
        <v>4480</v>
      </c>
      <c r="O41" s="322">
        <f t="shared" si="2"/>
        <v>4544</v>
      </c>
      <c r="P41" s="322">
        <f t="shared" si="2"/>
        <v>4608</v>
      </c>
      <c r="Q41" s="322">
        <f t="shared" si="2"/>
        <v>4672</v>
      </c>
      <c r="R41" s="322">
        <f t="shared" si="2"/>
        <v>4736</v>
      </c>
      <c r="S41" s="322">
        <f t="shared" si="2"/>
        <v>4800</v>
      </c>
    </row>
    <row r="42" spans="2:19" x14ac:dyDescent="0.2">
      <c r="C42" s="322">
        <v>65</v>
      </c>
      <c r="D42" s="322">
        <f t="shared" si="0"/>
        <v>3900</v>
      </c>
      <c r="E42" s="322">
        <f t="shared" si="2"/>
        <v>3965</v>
      </c>
      <c r="F42" s="322">
        <f t="shared" si="2"/>
        <v>4030</v>
      </c>
      <c r="G42" s="322">
        <f t="shared" si="2"/>
        <v>4095</v>
      </c>
      <c r="H42" s="322">
        <f t="shared" si="2"/>
        <v>4160</v>
      </c>
      <c r="I42" s="322">
        <f t="shared" si="2"/>
        <v>4225</v>
      </c>
      <c r="J42" s="322">
        <f t="shared" si="2"/>
        <v>4290</v>
      </c>
      <c r="K42" s="322">
        <f t="shared" si="2"/>
        <v>4355</v>
      </c>
      <c r="L42" s="322">
        <f t="shared" si="2"/>
        <v>4420</v>
      </c>
      <c r="M42" s="322">
        <f t="shared" si="2"/>
        <v>4485</v>
      </c>
      <c r="N42" s="322">
        <f t="shared" si="2"/>
        <v>4550</v>
      </c>
      <c r="O42" s="322">
        <f t="shared" si="2"/>
        <v>4615</v>
      </c>
      <c r="P42" s="322">
        <f t="shared" si="2"/>
        <v>4680</v>
      </c>
      <c r="Q42" s="322">
        <f t="shared" si="2"/>
        <v>4745</v>
      </c>
      <c r="R42" s="322">
        <f t="shared" si="2"/>
        <v>4810</v>
      </c>
      <c r="S42" s="322">
        <f t="shared" si="2"/>
        <v>4875</v>
      </c>
    </row>
    <row r="43" spans="2:19" x14ac:dyDescent="0.2">
      <c r="C43" s="322">
        <v>66</v>
      </c>
      <c r="D43" s="322">
        <f t="shared" si="0"/>
        <v>3960</v>
      </c>
      <c r="E43" s="322">
        <f t="shared" si="2"/>
        <v>4026</v>
      </c>
      <c r="F43" s="322">
        <f t="shared" si="2"/>
        <v>4092</v>
      </c>
      <c r="G43" s="322">
        <f t="shared" si="2"/>
        <v>4158</v>
      </c>
      <c r="H43" s="322">
        <f t="shared" si="2"/>
        <v>4224</v>
      </c>
      <c r="I43" s="322">
        <f t="shared" si="2"/>
        <v>4290</v>
      </c>
      <c r="J43" s="322">
        <f>J$36*$C43</f>
        <v>4356</v>
      </c>
      <c r="K43" s="322">
        <f>K$36*$C43</f>
        <v>4422</v>
      </c>
      <c r="L43" s="322">
        <f>L$36*$C43</f>
        <v>4488</v>
      </c>
      <c r="M43" s="322">
        <f t="shared" si="2"/>
        <v>4554</v>
      </c>
      <c r="N43" s="322">
        <f>N$36*$C43</f>
        <v>4620</v>
      </c>
      <c r="O43" s="322">
        <f>O$36*$C43</f>
        <v>4686</v>
      </c>
      <c r="P43" s="322">
        <f t="shared" si="2"/>
        <v>4752</v>
      </c>
      <c r="Q43" s="322">
        <f>Q$36*$C43</f>
        <v>4818</v>
      </c>
      <c r="R43" s="322">
        <f>R$36*$C43</f>
        <v>4884</v>
      </c>
      <c r="S43" s="322">
        <f t="shared" si="2"/>
        <v>4950</v>
      </c>
    </row>
    <row r="44" spans="2:19" x14ac:dyDescent="0.2">
      <c r="C44" s="322">
        <v>67</v>
      </c>
      <c r="D44" s="322">
        <f t="shared" si="0"/>
        <v>4020</v>
      </c>
      <c r="E44" s="322">
        <f t="shared" si="2"/>
        <v>4087</v>
      </c>
      <c r="F44" s="322">
        <f t="shared" si="2"/>
        <v>4154</v>
      </c>
      <c r="G44" s="322">
        <f t="shared" si="2"/>
        <v>4221</v>
      </c>
      <c r="H44" s="322">
        <f t="shared" si="2"/>
        <v>4288</v>
      </c>
      <c r="I44" s="322">
        <f t="shared" si="2"/>
        <v>4355</v>
      </c>
      <c r="J44" s="322">
        <f t="shared" si="2"/>
        <v>4422</v>
      </c>
      <c r="K44" s="322">
        <f>K$36*$C44</f>
        <v>4489</v>
      </c>
      <c r="L44" s="322">
        <f t="shared" si="2"/>
        <v>4556</v>
      </c>
      <c r="M44" s="322">
        <f t="shared" si="2"/>
        <v>4623</v>
      </c>
      <c r="N44" s="322">
        <f>N$36*$C44</f>
        <v>4690</v>
      </c>
      <c r="O44" s="322">
        <f t="shared" si="2"/>
        <v>4757</v>
      </c>
      <c r="P44" s="322">
        <f t="shared" si="2"/>
        <v>4824</v>
      </c>
      <c r="Q44" s="322">
        <f>Q$36*$C44</f>
        <v>4891</v>
      </c>
      <c r="R44" s="322">
        <f t="shared" si="2"/>
        <v>4958</v>
      </c>
      <c r="S44" s="322">
        <f t="shared" si="2"/>
        <v>5025</v>
      </c>
    </row>
    <row r="45" spans="2:19" x14ac:dyDescent="0.2">
      <c r="C45" s="322">
        <v>68</v>
      </c>
      <c r="D45" s="322">
        <f t="shared" si="0"/>
        <v>4080</v>
      </c>
      <c r="E45" s="322">
        <f t="shared" si="2"/>
        <v>4148</v>
      </c>
      <c r="F45" s="322">
        <f t="shared" si="2"/>
        <v>4216</v>
      </c>
      <c r="G45" s="322">
        <f t="shared" si="2"/>
        <v>4284</v>
      </c>
      <c r="H45" s="322">
        <f t="shared" si="2"/>
        <v>4352</v>
      </c>
      <c r="I45" s="322">
        <f t="shared" si="2"/>
        <v>4420</v>
      </c>
      <c r="J45" s="322">
        <f t="shared" si="2"/>
        <v>4488</v>
      </c>
      <c r="K45" s="322">
        <f t="shared" si="2"/>
        <v>4556</v>
      </c>
      <c r="L45" s="322">
        <f>L$36*$C45</f>
        <v>4624</v>
      </c>
      <c r="M45" s="322">
        <f t="shared" si="2"/>
        <v>4692</v>
      </c>
      <c r="N45" s="322">
        <f t="shared" si="2"/>
        <v>4760</v>
      </c>
      <c r="O45" s="322">
        <f>O$36*$C45</f>
        <v>4828</v>
      </c>
      <c r="P45" s="322">
        <f t="shared" si="2"/>
        <v>4896</v>
      </c>
      <c r="Q45" s="322">
        <f t="shared" si="2"/>
        <v>4964</v>
      </c>
      <c r="R45" s="322">
        <f>R$36*$C45</f>
        <v>5032</v>
      </c>
      <c r="S45" s="322">
        <f t="shared" si="2"/>
        <v>5100</v>
      </c>
    </row>
    <row r="46" spans="2:19" x14ac:dyDescent="0.2">
      <c r="C46" s="322">
        <v>69</v>
      </c>
      <c r="D46" s="322">
        <f t="shared" si="0"/>
        <v>4140</v>
      </c>
      <c r="E46" s="322">
        <f t="shared" si="2"/>
        <v>4209</v>
      </c>
      <c r="F46" s="322">
        <f t="shared" si="2"/>
        <v>4278</v>
      </c>
      <c r="G46" s="322">
        <f t="shared" si="2"/>
        <v>4347</v>
      </c>
      <c r="H46" s="322">
        <f t="shared" si="2"/>
        <v>4416</v>
      </c>
      <c r="I46" s="322">
        <f t="shared" si="2"/>
        <v>4485</v>
      </c>
      <c r="J46" s="322">
        <f t="shared" si="2"/>
        <v>4554</v>
      </c>
      <c r="K46" s="322">
        <f>K$36*$C46</f>
        <v>4623</v>
      </c>
      <c r="L46" s="322">
        <f t="shared" si="2"/>
        <v>4692</v>
      </c>
      <c r="M46" s="322">
        <f t="shared" si="2"/>
        <v>4761</v>
      </c>
      <c r="N46" s="322">
        <f t="shared" si="2"/>
        <v>4830</v>
      </c>
      <c r="O46" s="322">
        <f>O$36*$C46</f>
        <v>4899</v>
      </c>
      <c r="P46" s="322">
        <f t="shared" si="2"/>
        <v>4968</v>
      </c>
      <c r="Q46" s="322">
        <f t="shared" si="2"/>
        <v>5037</v>
      </c>
      <c r="R46" s="322">
        <f t="shared" si="2"/>
        <v>5106</v>
      </c>
      <c r="S46" s="322">
        <f>S$36*$C46</f>
        <v>5175</v>
      </c>
    </row>
    <row r="47" spans="2:19" x14ac:dyDescent="0.2">
      <c r="C47" s="322">
        <v>70</v>
      </c>
      <c r="D47" s="322">
        <f t="shared" si="0"/>
        <v>4200</v>
      </c>
      <c r="E47" s="322">
        <f t="shared" si="2"/>
        <v>4270</v>
      </c>
      <c r="F47" s="322">
        <f t="shared" si="2"/>
        <v>4340</v>
      </c>
      <c r="G47" s="322">
        <f t="shared" si="2"/>
        <v>4410</v>
      </c>
      <c r="H47" s="322">
        <f t="shared" si="2"/>
        <v>4480</v>
      </c>
      <c r="I47" s="322">
        <f t="shared" si="2"/>
        <v>4550</v>
      </c>
      <c r="J47" s="322">
        <f t="shared" si="2"/>
        <v>4620</v>
      </c>
      <c r="K47" s="322">
        <f>K$36*$C47</f>
        <v>4690</v>
      </c>
      <c r="L47" s="322">
        <f>L$36*$C47</f>
        <v>4760</v>
      </c>
      <c r="M47" s="322">
        <f t="shared" si="2"/>
        <v>4830</v>
      </c>
      <c r="N47" s="322">
        <f t="shared" si="2"/>
        <v>4900</v>
      </c>
      <c r="O47" s="322">
        <f>O$36*$C47</f>
        <v>4970</v>
      </c>
      <c r="P47" s="322">
        <f>P$36*$C47</f>
        <v>5040</v>
      </c>
      <c r="Q47" s="322">
        <f t="shared" si="2"/>
        <v>5110</v>
      </c>
      <c r="R47" s="322">
        <f t="shared" si="2"/>
        <v>5180</v>
      </c>
      <c r="S47" s="322">
        <f>S$36*$C47</f>
        <v>5250</v>
      </c>
    </row>
    <row r="48" spans="2:19" x14ac:dyDescent="0.2">
      <c r="C48" s="322">
        <v>71</v>
      </c>
      <c r="D48" s="322">
        <f t="shared" si="0"/>
        <v>4260</v>
      </c>
      <c r="E48" s="322">
        <f t="shared" si="2"/>
        <v>4331</v>
      </c>
      <c r="F48" s="322">
        <f t="shared" si="2"/>
        <v>4402</v>
      </c>
      <c r="G48" s="322">
        <f t="shared" si="2"/>
        <v>4473</v>
      </c>
      <c r="H48" s="322">
        <f t="shared" si="2"/>
        <v>4544</v>
      </c>
      <c r="I48" s="322">
        <f t="shared" si="2"/>
        <v>4615</v>
      </c>
      <c r="J48" s="322">
        <f t="shared" si="2"/>
        <v>4686</v>
      </c>
      <c r="K48" s="322">
        <f t="shared" si="2"/>
        <v>4757</v>
      </c>
      <c r="L48" s="322">
        <f t="shared" si="2"/>
        <v>4828</v>
      </c>
      <c r="M48" s="322">
        <f t="shared" si="2"/>
        <v>4899</v>
      </c>
      <c r="N48" s="322">
        <f t="shared" si="2"/>
        <v>4970</v>
      </c>
      <c r="O48" s="322">
        <f t="shared" si="2"/>
        <v>5041</v>
      </c>
      <c r="P48" s="322">
        <f t="shared" si="2"/>
        <v>5112</v>
      </c>
      <c r="Q48" s="322">
        <f t="shared" si="2"/>
        <v>5183</v>
      </c>
      <c r="R48" s="322">
        <f t="shared" si="2"/>
        <v>5254</v>
      </c>
      <c r="S48" s="322">
        <f t="shared" si="2"/>
        <v>5325</v>
      </c>
    </row>
    <row r="49" spans="3:19" x14ac:dyDescent="0.2">
      <c r="C49" s="322">
        <v>72</v>
      </c>
      <c r="D49" s="322">
        <f t="shared" si="0"/>
        <v>4320</v>
      </c>
      <c r="E49" s="322">
        <f t="shared" si="2"/>
        <v>4392</v>
      </c>
      <c r="F49" s="322">
        <f t="shared" si="2"/>
        <v>4464</v>
      </c>
      <c r="G49" s="322">
        <f t="shared" si="2"/>
        <v>4536</v>
      </c>
      <c r="H49" s="322">
        <f t="shared" si="2"/>
        <v>4608</v>
      </c>
      <c r="I49" s="322">
        <f t="shared" si="2"/>
        <v>4680</v>
      </c>
      <c r="J49" s="322">
        <f t="shared" si="2"/>
        <v>4752</v>
      </c>
      <c r="K49" s="322">
        <f>K$36*$C49</f>
        <v>4824</v>
      </c>
      <c r="L49" s="322">
        <f>L$36*$C49</f>
        <v>4896</v>
      </c>
      <c r="M49" s="322">
        <f t="shared" si="2"/>
        <v>4968</v>
      </c>
      <c r="N49" s="322">
        <f t="shared" si="2"/>
        <v>5040</v>
      </c>
      <c r="O49" s="322">
        <f>O$36*$C49</f>
        <v>5112</v>
      </c>
      <c r="P49" s="322">
        <f>P$36*$C49</f>
        <v>5184</v>
      </c>
      <c r="Q49" s="322">
        <f t="shared" si="2"/>
        <v>5256</v>
      </c>
      <c r="R49" s="322">
        <f t="shared" si="2"/>
        <v>5328</v>
      </c>
      <c r="S49" s="322">
        <f>S$36*$C49</f>
        <v>5400</v>
      </c>
    </row>
    <row r="50" spans="3:19" x14ac:dyDescent="0.2">
      <c r="C50" s="322">
        <v>73</v>
      </c>
      <c r="D50" s="322">
        <f t="shared" si="0"/>
        <v>4380</v>
      </c>
      <c r="E50" s="322">
        <f t="shared" si="2"/>
        <v>4453</v>
      </c>
      <c r="F50" s="322">
        <f t="shared" si="2"/>
        <v>4526</v>
      </c>
      <c r="G50" s="322">
        <f t="shared" si="2"/>
        <v>4599</v>
      </c>
      <c r="H50" s="322">
        <f t="shared" si="2"/>
        <v>4672</v>
      </c>
      <c r="I50" s="322">
        <f t="shared" si="2"/>
        <v>4745</v>
      </c>
      <c r="J50" s="322">
        <f t="shared" si="2"/>
        <v>4818</v>
      </c>
      <c r="K50" s="322">
        <f>K$36*$C50</f>
        <v>4891</v>
      </c>
      <c r="L50" s="322">
        <f t="shared" si="2"/>
        <v>4964</v>
      </c>
      <c r="M50" s="322">
        <f t="shared" si="2"/>
        <v>5037</v>
      </c>
      <c r="N50" s="322">
        <f t="shared" si="2"/>
        <v>5110</v>
      </c>
      <c r="O50" s="322">
        <f>O$36*$C50</f>
        <v>5183</v>
      </c>
      <c r="P50" s="322">
        <f t="shared" si="2"/>
        <v>5256</v>
      </c>
      <c r="Q50" s="322">
        <f t="shared" si="2"/>
        <v>5329</v>
      </c>
      <c r="R50" s="322">
        <f t="shared" si="2"/>
        <v>5402</v>
      </c>
      <c r="S50" s="322">
        <f>S$36*$C50</f>
        <v>5475</v>
      </c>
    </row>
    <row r="51" spans="3:19" x14ac:dyDescent="0.2">
      <c r="C51" s="322">
        <v>74</v>
      </c>
      <c r="D51" s="322">
        <f t="shared" si="0"/>
        <v>4440</v>
      </c>
      <c r="E51" s="322">
        <f t="shared" si="2"/>
        <v>4514</v>
      </c>
      <c r="F51" s="322">
        <f t="shared" si="2"/>
        <v>4588</v>
      </c>
      <c r="G51" s="322">
        <f t="shared" si="2"/>
        <v>4662</v>
      </c>
      <c r="H51" s="322">
        <f t="shared" si="2"/>
        <v>4736</v>
      </c>
      <c r="I51" s="322">
        <f t="shared" si="2"/>
        <v>4810</v>
      </c>
      <c r="J51" s="322">
        <f t="shared" si="2"/>
        <v>4884</v>
      </c>
      <c r="K51" s="322">
        <f t="shared" si="2"/>
        <v>4958</v>
      </c>
      <c r="L51" s="322">
        <f>L$36*$C51</f>
        <v>5032</v>
      </c>
      <c r="M51" s="322">
        <f t="shared" si="2"/>
        <v>5106</v>
      </c>
      <c r="N51" s="322">
        <f t="shared" si="2"/>
        <v>5180</v>
      </c>
      <c r="O51" s="322">
        <f t="shared" si="2"/>
        <v>5254</v>
      </c>
      <c r="P51" s="322">
        <f>P$36*$C51</f>
        <v>5328</v>
      </c>
      <c r="Q51" s="322">
        <f t="shared" si="2"/>
        <v>5402</v>
      </c>
      <c r="R51" s="322">
        <f t="shared" si="2"/>
        <v>5476</v>
      </c>
      <c r="S51" s="322">
        <f t="shared" si="2"/>
        <v>5550</v>
      </c>
    </row>
    <row r="52" spans="3:19" x14ac:dyDescent="0.2">
      <c r="C52" s="322">
        <v>75</v>
      </c>
      <c r="D52" s="322">
        <f t="shared" si="0"/>
        <v>4500</v>
      </c>
      <c r="E52" s="322">
        <f t="shared" si="2"/>
        <v>4575</v>
      </c>
      <c r="F52" s="322">
        <f t="shared" si="2"/>
        <v>4650</v>
      </c>
      <c r="G52" s="322">
        <f t="shared" si="2"/>
        <v>4725</v>
      </c>
      <c r="H52" s="322">
        <f t="shared" si="2"/>
        <v>4800</v>
      </c>
      <c r="I52" s="322">
        <f t="shared" si="2"/>
        <v>4875</v>
      </c>
      <c r="J52" s="322">
        <f t="shared" si="2"/>
        <v>4950</v>
      </c>
      <c r="K52" s="322">
        <f>K$36*$C52</f>
        <v>5025</v>
      </c>
      <c r="L52" s="322">
        <f t="shared" si="2"/>
        <v>5100</v>
      </c>
      <c r="M52" s="322">
        <f t="shared" si="2"/>
        <v>5175</v>
      </c>
      <c r="N52" s="322">
        <f t="shared" si="2"/>
        <v>5250</v>
      </c>
      <c r="O52" s="322">
        <f>O$36*$C52</f>
        <v>5325</v>
      </c>
      <c r="P52" s="322">
        <f t="shared" si="2"/>
        <v>5400</v>
      </c>
      <c r="Q52" s="322">
        <f t="shared" si="2"/>
        <v>5475</v>
      </c>
      <c r="R52" s="322">
        <f t="shared" si="2"/>
        <v>5550</v>
      </c>
      <c r="S52" s="322">
        <f>S$36*$C52</f>
        <v>5625</v>
      </c>
    </row>
  </sheetData>
  <mergeCells count="4">
    <mergeCell ref="B1:D1"/>
    <mergeCell ref="E3:G3"/>
    <mergeCell ref="C4:D4"/>
    <mergeCell ref="E35:F35"/>
  </mergeCells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241">
    <tabColor indexed="55"/>
  </sheetPr>
  <dimension ref="B1:T44"/>
  <sheetViews>
    <sheetView rightToLeft="1" workbookViewId="0">
      <selection activeCell="D27" sqref="D27"/>
    </sheetView>
  </sheetViews>
  <sheetFormatPr defaultRowHeight="12.75" x14ac:dyDescent="0.2"/>
  <cols>
    <col min="1" max="1" width="9.140625" style="565"/>
    <col min="2" max="3" width="13.42578125" style="565" customWidth="1"/>
    <col min="4" max="12" width="13.85546875" style="565" customWidth="1"/>
    <col min="13" max="13" width="15.42578125" style="565" customWidth="1"/>
    <col min="14" max="17" width="9.140625" style="565"/>
    <col min="18" max="18" width="11.7109375" style="565" customWidth="1"/>
    <col min="19" max="19" width="14" style="565" customWidth="1"/>
    <col min="20" max="16384" width="9.140625" style="565"/>
  </cols>
  <sheetData>
    <row r="1" spans="2:12" x14ac:dyDescent="0.2">
      <c r="E1" s="569"/>
      <c r="F1" s="570"/>
      <c r="G1" s="571"/>
    </row>
    <row r="4" spans="2:12" ht="25.5" customHeight="1" x14ac:dyDescent="0.2">
      <c r="F4" s="572">
        <v>0</v>
      </c>
      <c r="G4" s="571">
        <v>31503</v>
      </c>
      <c r="H4" s="571">
        <v>33664</v>
      </c>
      <c r="I4" s="571">
        <v>34335</v>
      </c>
      <c r="J4" s="571">
        <v>34486</v>
      </c>
      <c r="K4" s="571">
        <v>36557</v>
      </c>
      <c r="L4" s="571">
        <v>36708</v>
      </c>
    </row>
    <row r="5" spans="2:12" ht="25.5" customHeight="1" thickBot="1" x14ac:dyDescent="0.25">
      <c r="B5" s="565" t="s">
        <v>743</v>
      </c>
      <c r="C5" s="565" t="s">
        <v>744</v>
      </c>
      <c r="D5" s="573" t="s">
        <v>745</v>
      </c>
      <c r="E5" s="573" t="s">
        <v>746</v>
      </c>
      <c r="F5" s="574">
        <v>31502</v>
      </c>
      <c r="G5" s="574">
        <v>33663</v>
      </c>
      <c r="H5" s="574">
        <v>34334</v>
      </c>
      <c r="I5" s="574">
        <v>34485</v>
      </c>
      <c r="J5" s="574">
        <v>36556</v>
      </c>
      <c r="K5" s="574">
        <v>36707</v>
      </c>
      <c r="L5" s="575">
        <v>45874.826249999998</v>
      </c>
    </row>
    <row r="6" spans="2:12" ht="13.5" thickBot="1" x14ac:dyDescent="0.25">
      <c r="B6" s="565" t="s">
        <v>747</v>
      </c>
      <c r="C6" s="565">
        <v>1</v>
      </c>
      <c r="D6" s="576">
        <v>6753.35</v>
      </c>
      <c r="E6" s="570">
        <f>D6</f>
        <v>6753.35</v>
      </c>
      <c r="F6" s="570">
        <f>D6</f>
        <v>6753.35</v>
      </c>
      <c r="G6" s="570">
        <f>D6</f>
        <v>6753.35</v>
      </c>
      <c r="H6" s="570">
        <f>D6</f>
        <v>6753.35</v>
      </c>
      <c r="I6" s="570">
        <f>D6</f>
        <v>6753.35</v>
      </c>
      <c r="J6" s="570">
        <f>D6</f>
        <v>6753.35</v>
      </c>
      <c r="K6" s="570">
        <f>D6</f>
        <v>6753.35</v>
      </c>
      <c r="L6" s="570">
        <f>D6</f>
        <v>6753.35</v>
      </c>
    </row>
    <row r="7" spans="2:12" ht="13.5" thickBot="1" x14ac:dyDescent="0.25">
      <c r="B7" s="565" t="s">
        <v>748</v>
      </c>
      <c r="C7" s="565">
        <v>14</v>
      </c>
      <c r="D7" s="577">
        <v>496.45</v>
      </c>
      <c r="E7" s="570">
        <f>D7</f>
        <v>496.45</v>
      </c>
      <c r="F7" s="570">
        <f t="shared" ref="F7:L8" si="0">E7</f>
        <v>496.45</v>
      </c>
      <c r="G7" s="570">
        <f t="shared" si="0"/>
        <v>496.45</v>
      </c>
      <c r="H7" s="570">
        <f t="shared" si="0"/>
        <v>496.45</v>
      </c>
      <c r="I7" s="570">
        <f t="shared" si="0"/>
        <v>496.45</v>
      </c>
      <c r="J7" s="570">
        <f t="shared" si="0"/>
        <v>496.45</v>
      </c>
      <c r="K7" s="570">
        <f t="shared" si="0"/>
        <v>496.45</v>
      </c>
      <c r="L7" s="570">
        <f t="shared" si="0"/>
        <v>496.45</v>
      </c>
    </row>
    <row r="8" spans="2:12" ht="13.5" thickBot="1" x14ac:dyDescent="0.25">
      <c r="B8" s="565" t="s">
        <v>749</v>
      </c>
      <c r="C8" s="565">
        <v>24</v>
      </c>
      <c r="D8" s="577">
        <v>154.53</v>
      </c>
      <c r="E8" s="570">
        <f>D8</f>
        <v>154.53</v>
      </c>
      <c r="F8" s="570">
        <f t="shared" si="0"/>
        <v>154.53</v>
      </c>
      <c r="G8" s="570">
        <f t="shared" si="0"/>
        <v>154.53</v>
      </c>
      <c r="H8" s="570">
        <f t="shared" si="0"/>
        <v>154.53</v>
      </c>
      <c r="I8" s="570">
        <f t="shared" si="0"/>
        <v>154.53</v>
      </c>
      <c r="J8" s="570">
        <f t="shared" si="0"/>
        <v>154.53</v>
      </c>
      <c r="K8" s="570">
        <f t="shared" si="0"/>
        <v>154.53</v>
      </c>
      <c r="L8" s="570">
        <f t="shared" si="0"/>
        <v>154.53</v>
      </c>
    </row>
    <row r="9" spans="2:12" ht="13.5" thickBot="1" x14ac:dyDescent="0.25">
      <c r="B9" s="565" t="s">
        <v>750</v>
      </c>
      <c r="C9" s="565">
        <v>25</v>
      </c>
      <c r="D9" s="577">
        <v>3077.34</v>
      </c>
      <c r="E9" s="578">
        <v>2553.79</v>
      </c>
      <c r="F9" s="570">
        <f>D9</f>
        <v>3077.34</v>
      </c>
      <c r="G9" s="570">
        <f>F9</f>
        <v>3077.34</v>
      </c>
      <c r="H9" s="570">
        <v>0</v>
      </c>
      <c r="I9" s="570">
        <v>0</v>
      </c>
      <c r="J9" s="570">
        <v>0</v>
      </c>
      <c r="K9" s="570">
        <v>0</v>
      </c>
      <c r="L9" s="570">
        <v>0</v>
      </c>
    </row>
    <row r="10" spans="2:12" ht="13.5" thickBot="1" x14ac:dyDescent="0.25">
      <c r="B10" s="565" t="s">
        <v>751</v>
      </c>
      <c r="C10" s="565">
        <v>29</v>
      </c>
      <c r="D10" s="577">
        <v>4220.8500000000004</v>
      </c>
      <c r="E10" s="570">
        <f>D10</f>
        <v>4220.8500000000004</v>
      </c>
      <c r="F10" s="570">
        <f t="shared" ref="F10:L10" si="1">E10</f>
        <v>4220.8500000000004</v>
      </c>
      <c r="G10" s="570">
        <f t="shared" si="1"/>
        <v>4220.8500000000004</v>
      </c>
      <c r="H10" s="570">
        <f t="shared" si="1"/>
        <v>4220.8500000000004</v>
      </c>
      <c r="I10" s="570">
        <f t="shared" si="1"/>
        <v>4220.8500000000004</v>
      </c>
      <c r="J10" s="570">
        <f t="shared" si="1"/>
        <v>4220.8500000000004</v>
      </c>
      <c r="K10" s="570">
        <f t="shared" si="1"/>
        <v>4220.8500000000004</v>
      </c>
      <c r="L10" s="570">
        <f t="shared" si="1"/>
        <v>4220.8500000000004</v>
      </c>
    </row>
    <row r="11" spans="2:12" ht="13.5" thickBot="1" x14ac:dyDescent="0.25">
      <c r="B11" s="565" t="s">
        <v>752</v>
      </c>
      <c r="C11" s="565">
        <v>50</v>
      </c>
      <c r="D11" s="577">
        <v>240.26</v>
      </c>
      <c r="E11" s="570">
        <f>D11</f>
        <v>240.26</v>
      </c>
      <c r="F11" s="570">
        <f>E11</f>
        <v>240.26</v>
      </c>
      <c r="G11" s="570">
        <f>F11</f>
        <v>240.26</v>
      </c>
      <c r="H11" s="570">
        <f>G11</f>
        <v>240.26</v>
      </c>
      <c r="I11" s="570">
        <v>0</v>
      </c>
      <c r="J11" s="570">
        <v>0</v>
      </c>
      <c r="K11" s="570">
        <v>0</v>
      </c>
      <c r="L11" s="570">
        <v>0</v>
      </c>
    </row>
    <row r="12" spans="2:12" ht="13.5" thickBot="1" x14ac:dyDescent="0.25">
      <c r="B12" s="565" t="s">
        <v>753</v>
      </c>
      <c r="C12" s="565">
        <v>56</v>
      </c>
      <c r="D12" s="577">
        <v>4293.5</v>
      </c>
      <c r="E12" s="570">
        <f>D12</f>
        <v>4293.5</v>
      </c>
      <c r="F12" s="570">
        <f>E12</f>
        <v>4293.5</v>
      </c>
      <c r="G12" s="570">
        <v>0</v>
      </c>
      <c r="H12" s="570">
        <v>0</v>
      </c>
      <c r="I12" s="570">
        <v>0</v>
      </c>
      <c r="J12" s="570">
        <v>0</v>
      </c>
      <c r="K12" s="570">
        <v>0</v>
      </c>
      <c r="L12" s="570">
        <v>0</v>
      </c>
    </row>
    <row r="13" spans="2:12" ht="13.5" thickBot="1" x14ac:dyDescent="0.25">
      <c r="B13" s="565" t="s">
        <v>754</v>
      </c>
      <c r="C13" s="565">
        <v>57</v>
      </c>
      <c r="D13" s="577">
        <v>858.7</v>
      </c>
      <c r="E13" s="570">
        <v>0</v>
      </c>
      <c r="F13" s="570">
        <f>D13</f>
        <v>858.7</v>
      </c>
      <c r="G13" s="570">
        <v>0</v>
      </c>
      <c r="H13" s="570">
        <v>0</v>
      </c>
      <c r="I13" s="570">
        <v>0</v>
      </c>
      <c r="J13" s="570">
        <v>0</v>
      </c>
      <c r="K13" s="570">
        <v>0</v>
      </c>
      <c r="L13" s="570">
        <v>0</v>
      </c>
    </row>
    <row r="14" spans="2:12" ht="13.5" thickBot="1" x14ac:dyDescent="0.25">
      <c r="B14" s="565" t="s">
        <v>755</v>
      </c>
      <c r="C14" s="565">
        <v>61</v>
      </c>
      <c r="D14" s="577">
        <v>2373.09</v>
      </c>
      <c r="E14" s="570">
        <v>0</v>
      </c>
      <c r="F14" s="570">
        <f>D14</f>
        <v>2373.09</v>
      </c>
      <c r="G14" s="570">
        <f>D14</f>
        <v>2373.09</v>
      </c>
      <c r="H14" s="570">
        <f>F14</f>
        <v>2373.09</v>
      </c>
      <c r="I14" s="570">
        <f>G14</f>
        <v>2373.09</v>
      </c>
      <c r="J14" s="570">
        <f>H14</f>
        <v>2373.09</v>
      </c>
      <c r="K14" s="570">
        <v>0</v>
      </c>
      <c r="L14" s="570">
        <v>0</v>
      </c>
    </row>
    <row r="15" spans="2:12" ht="13.5" thickBot="1" x14ac:dyDescent="0.25">
      <c r="B15" s="41"/>
      <c r="C15" s="41"/>
      <c r="D15" s="579"/>
      <c r="E15" s="578"/>
      <c r="F15" s="578"/>
      <c r="G15" s="578"/>
      <c r="H15" s="578"/>
      <c r="I15" s="578"/>
      <c r="J15" s="578"/>
      <c r="K15" s="578"/>
      <c r="L15" s="578"/>
    </row>
    <row r="16" spans="2:12" ht="13.5" thickBot="1" x14ac:dyDescent="0.25">
      <c r="B16" s="41"/>
      <c r="C16" s="41"/>
      <c r="D16" s="579"/>
      <c r="E16" s="578"/>
      <c r="F16" s="578"/>
      <c r="G16" s="578"/>
      <c r="H16" s="578"/>
      <c r="I16" s="578"/>
      <c r="J16" s="578"/>
      <c r="K16" s="578"/>
      <c r="L16" s="578"/>
    </row>
    <row r="17" spans="2:19" ht="13.5" thickBot="1" x14ac:dyDescent="0.25">
      <c r="B17" s="41"/>
      <c r="C17" s="41"/>
      <c r="D17" s="579"/>
      <c r="E17" s="578"/>
      <c r="F17" s="578"/>
      <c r="G17" s="578"/>
      <c r="H17" s="578"/>
      <c r="I17" s="578"/>
      <c r="J17" s="578"/>
      <c r="K17" s="578"/>
      <c r="L17" s="578"/>
    </row>
    <row r="18" spans="2:19" ht="13.5" thickBot="1" x14ac:dyDescent="0.25">
      <c r="B18" s="41"/>
      <c r="C18" s="41"/>
      <c r="D18" s="579"/>
      <c r="E18" s="578"/>
      <c r="F18" s="578"/>
      <c r="G18" s="578"/>
      <c r="H18" s="578"/>
      <c r="I18" s="578"/>
      <c r="J18" s="578"/>
      <c r="K18" s="578"/>
      <c r="L18" s="578"/>
    </row>
    <row r="19" spans="2:19" ht="13.5" thickBot="1" x14ac:dyDescent="0.25">
      <c r="B19" s="41"/>
      <c r="C19" s="41"/>
      <c r="D19" s="579"/>
      <c r="E19" s="578"/>
      <c r="F19" s="578"/>
      <c r="G19" s="578"/>
      <c r="H19" s="578"/>
      <c r="I19" s="578"/>
      <c r="J19" s="578"/>
      <c r="K19" s="578"/>
      <c r="L19" s="578"/>
    </row>
    <row r="20" spans="2:19" ht="13.5" thickBot="1" x14ac:dyDescent="0.25">
      <c r="B20" s="565" t="s">
        <v>756</v>
      </c>
      <c r="C20" s="565">
        <v>68</v>
      </c>
      <c r="D20" s="577">
        <v>7999.07</v>
      </c>
      <c r="E20" s="570">
        <f>D20</f>
        <v>7999.07</v>
      </c>
      <c r="F20" s="570">
        <f>E20</f>
        <v>7999.07</v>
      </c>
      <c r="G20" s="570">
        <f>F20</f>
        <v>7999.07</v>
      </c>
      <c r="H20" s="570">
        <f>G20</f>
        <v>7999.07</v>
      </c>
      <c r="I20" s="570">
        <f>H20</f>
        <v>7999.07</v>
      </c>
      <c r="J20" s="570">
        <f>D20*0.536546123</f>
        <v>4291.86999610561</v>
      </c>
      <c r="K20" s="570">
        <f>E20*0.536546123</f>
        <v>4291.86999610561</v>
      </c>
      <c r="L20" s="570">
        <f>F20*0.536546123</f>
        <v>4291.86999610561</v>
      </c>
    </row>
    <row r="21" spans="2:19" ht="13.5" thickBot="1" x14ac:dyDescent="0.25">
      <c r="B21" s="565" t="s">
        <v>757</v>
      </c>
      <c r="C21" s="565">
        <v>80</v>
      </c>
      <c r="D21" s="577">
        <v>2035.6</v>
      </c>
      <c r="E21" s="570">
        <f>D21</f>
        <v>2035.6</v>
      </c>
      <c r="F21" s="570">
        <v>0</v>
      </c>
      <c r="G21" s="570">
        <v>0</v>
      </c>
      <c r="H21" s="570">
        <v>0</v>
      </c>
      <c r="I21" s="570">
        <v>0</v>
      </c>
      <c r="J21" s="570">
        <v>0</v>
      </c>
      <c r="K21" s="570">
        <v>0</v>
      </c>
      <c r="L21" s="570">
        <v>0</v>
      </c>
    </row>
    <row r="22" spans="2:19" ht="13.5" thickBot="1" x14ac:dyDescent="0.25">
      <c r="B22" s="565" t="s">
        <v>758</v>
      </c>
      <c r="C22" s="565">
        <v>227</v>
      </c>
      <c r="D22" s="577">
        <v>1000</v>
      </c>
      <c r="E22" s="570">
        <f>D22</f>
        <v>1000</v>
      </c>
      <c r="F22" s="570">
        <f t="shared" ref="F22:K22" si="2">E22</f>
        <v>1000</v>
      </c>
      <c r="G22" s="570">
        <f t="shared" si="2"/>
        <v>1000</v>
      </c>
      <c r="H22" s="570">
        <f t="shared" si="2"/>
        <v>1000</v>
      </c>
      <c r="I22" s="570">
        <f t="shared" si="2"/>
        <v>1000</v>
      </c>
      <c r="J22" s="570">
        <f t="shared" si="2"/>
        <v>1000</v>
      </c>
      <c r="K22" s="570">
        <f t="shared" si="2"/>
        <v>1000</v>
      </c>
      <c r="L22" s="570">
        <v>0</v>
      </c>
    </row>
    <row r="23" spans="2:19" ht="13.5" thickBot="1" x14ac:dyDescent="0.25">
      <c r="B23" s="41"/>
      <c r="C23" s="580"/>
      <c r="D23" s="577"/>
      <c r="E23" s="578"/>
      <c r="F23" s="578"/>
      <c r="G23" s="578"/>
      <c r="H23" s="578"/>
      <c r="I23" s="578"/>
      <c r="J23" s="578"/>
      <c r="K23" s="578"/>
      <c r="L23" s="578"/>
    </row>
    <row r="24" spans="2:19" ht="13.5" thickBot="1" x14ac:dyDescent="0.25">
      <c r="B24" s="41"/>
      <c r="C24" s="580"/>
      <c r="D24" s="577"/>
      <c r="E24" s="578"/>
      <c r="F24" s="578"/>
      <c r="G24" s="578"/>
      <c r="H24" s="578"/>
      <c r="I24" s="578"/>
      <c r="J24" s="578"/>
      <c r="K24" s="578"/>
      <c r="L24" s="578"/>
    </row>
    <row r="25" spans="2:19" ht="13.5" thickBot="1" x14ac:dyDescent="0.25">
      <c r="B25" s="581"/>
      <c r="C25" s="582"/>
      <c r="D25" s="583"/>
      <c r="E25" s="578"/>
      <c r="F25" s="578"/>
      <c r="G25" s="578"/>
      <c r="H25" s="578"/>
      <c r="I25" s="578"/>
      <c r="J25" s="578"/>
      <c r="K25" s="578"/>
      <c r="L25" s="578"/>
    </row>
    <row r="26" spans="2:19" x14ac:dyDescent="0.2">
      <c r="B26" s="565" t="s">
        <v>759</v>
      </c>
      <c r="D26" s="584">
        <f t="shared" ref="D26:L26" si="3">SUM(D6:D25)</f>
        <v>33502.74</v>
      </c>
      <c r="E26" s="584">
        <f t="shared" si="3"/>
        <v>29747.399999999998</v>
      </c>
      <c r="F26" s="584">
        <f t="shared" si="3"/>
        <v>31467.14</v>
      </c>
      <c r="G26" s="584">
        <f t="shared" si="3"/>
        <v>26314.940000000002</v>
      </c>
      <c r="H26" s="584">
        <f t="shared" si="3"/>
        <v>23237.599999999999</v>
      </c>
      <c r="I26" s="584">
        <f t="shared" si="3"/>
        <v>22997.34</v>
      </c>
      <c r="J26" s="584">
        <f t="shared" si="3"/>
        <v>19290.139996105609</v>
      </c>
      <c r="K26" s="584">
        <f t="shared" si="3"/>
        <v>16917.049996105612</v>
      </c>
      <c r="L26" s="584">
        <f t="shared" si="3"/>
        <v>15917.04999610561</v>
      </c>
    </row>
    <row r="28" spans="2:19" x14ac:dyDescent="0.2">
      <c r="B28" s="565" t="s">
        <v>760</v>
      </c>
      <c r="C28" s="565">
        <v>135</v>
      </c>
      <c r="D28" s="41">
        <v>587.5</v>
      </c>
      <c r="E28" s="585">
        <v>587.5</v>
      </c>
      <c r="F28" s="585">
        <v>587.5</v>
      </c>
      <c r="G28" s="585">
        <v>587.5</v>
      </c>
      <c r="H28" s="585">
        <v>587.5</v>
      </c>
      <c r="I28" s="585">
        <v>587.5</v>
      </c>
      <c r="J28" s="585">
        <v>587.5</v>
      </c>
      <c r="K28" s="585">
        <v>587.5</v>
      </c>
      <c r="L28" s="585">
        <v>587.5</v>
      </c>
      <c r="R28" s="565" t="s">
        <v>761</v>
      </c>
      <c r="S28" s="570">
        <f>(S30-F4)/30.4375</f>
        <v>1201.0184804928131</v>
      </c>
    </row>
    <row r="29" spans="2:19" ht="13.5" thickBot="1" x14ac:dyDescent="0.25"/>
    <row r="30" spans="2:19" x14ac:dyDescent="0.2">
      <c r="B30" s="586" t="s">
        <v>235</v>
      </c>
      <c r="C30" s="586"/>
      <c r="D30" s="587">
        <f t="shared" ref="D30:L30" si="4">SUM(D26:D29)</f>
        <v>34090.239999999998</v>
      </c>
      <c r="E30" s="587">
        <f t="shared" si="4"/>
        <v>30334.899999999998</v>
      </c>
      <c r="F30" s="587">
        <f t="shared" si="4"/>
        <v>32054.639999999999</v>
      </c>
      <c r="G30" s="587">
        <f t="shared" si="4"/>
        <v>26902.440000000002</v>
      </c>
      <c r="H30" s="587">
        <f t="shared" si="4"/>
        <v>23825.1</v>
      </c>
      <c r="I30" s="587">
        <f t="shared" si="4"/>
        <v>23584.84</v>
      </c>
      <c r="J30" s="587">
        <f t="shared" si="4"/>
        <v>19877.639996105609</v>
      </c>
      <c r="K30" s="587">
        <f t="shared" si="4"/>
        <v>17504.549996105612</v>
      </c>
      <c r="L30" s="587">
        <f t="shared" si="4"/>
        <v>16504.549996105612</v>
      </c>
      <c r="R30" s="565" t="s">
        <v>762</v>
      </c>
      <c r="S30" s="35">
        <v>36556</v>
      </c>
    </row>
    <row r="31" spans="2:19" x14ac:dyDescent="0.2">
      <c r="M31" s="565" t="s">
        <v>763</v>
      </c>
      <c r="R31" s="565">
        <v>2.5</v>
      </c>
      <c r="S31" s="570">
        <f>S28*2.5</f>
        <v>3002.5462012320327</v>
      </c>
    </row>
    <row r="32" spans="2:19" ht="25.5" x14ac:dyDescent="0.2">
      <c r="B32" s="565" t="s">
        <v>764</v>
      </c>
      <c r="F32" s="588">
        <f>(F5-F4)</f>
        <v>31502</v>
      </c>
      <c r="G32" s="588">
        <f t="shared" ref="G32:L32" si="5">(G5-G4)</f>
        <v>2160</v>
      </c>
      <c r="H32" s="588">
        <f t="shared" si="5"/>
        <v>670</v>
      </c>
      <c r="I32" s="588">
        <f t="shared" si="5"/>
        <v>150</v>
      </c>
      <c r="J32" s="588">
        <f t="shared" si="5"/>
        <v>2070</v>
      </c>
      <c r="K32" s="588">
        <f t="shared" si="5"/>
        <v>150</v>
      </c>
      <c r="L32" s="588">
        <f t="shared" si="5"/>
        <v>9166.8262499999983</v>
      </c>
      <c r="M32" s="589">
        <f>SUM(F32:L32)/365.25</f>
        <v>125.58200205338808</v>
      </c>
      <c r="R32" s="565" t="s">
        <v>765</v>
      </c>
    </row>
    <row r="33" spans="2:20" ht="25.5" x14ac:dyDescent="0.2">
      <c r="B33" s="565" t="s">
        <v>766</v>
      </c>
      <c r="F33" s="590">
        <v>531</v>
      </c>
      <c r="G33" s="590">
        <v>413</v>
      </c>
      <c r="H33" s="590"/>
      <c r="I33" s="590"/>
      <c r="J33" s="590">
        <v>31</v>
      </c>
      <c r="K33" s="590">
        <v>150</v>
      </c>
      <c r="L33" s="590">
        <v>540</v>
      </c>
      <c r="M33" s="589">
        <f>SUM(F33:L33)/365.25</f>
        <v>4.5585215605749489</v>
      </c>
      <c r="R33" s="570">
        <f>S31</f>
        <v>3002.5462012320327</v>
      </c>
      <c r="S33" s="565" t="s">
        <v>767</v>
      </c>
      <c r="T33" s="565" t="s">
        <v>768</v>
      </c>
    </row>
    <row r="34" spans="2:20" ht="25.5" customHeight="1" x14ac:dyDescent="0.2">
      <c r="B34" s="565" t="s">
        <v>769</v>
      </c>
      <c r="F34" s="588">
        <f>F32-F33</f>
        <v>30971</v>
      </c>
      <c r="G34" s="588">
        <f t="shared" ref="G34:L34" si="6">G32-G33</f>
        <v>1747</v>
      </c>
      <c r="H34" s="588">
        <f t="shared" si="6"/>
        <v>670</v>
      </c>
      <c r="I34" s="588">
        <f t="shared" si="6"/>
        <v>150</v>
      </c>
      <c r="J34" s="588">
        <f t="shared" si="6"/>
        <v>2039</v>
      </c>
      <c r="K34" s="588">
        <f t="shared" si="6"/>
        <v>0</v>
      </c>
      <c r="L34" s="588">
        <f t="shared" si="6"/>
        <v>8626.8262499999983</v>
      </c>
      <c r="M34" s="589">
        <f>SUM(F34:L34)/365.25</f>
        <v>121.02348049281314</v>
      </c>
      <c r="R34" s="570">
        <f>SUM(F33:L33)/30.4375*2.5</f>
        <v>136.75564681724848</v>
      </c>
      <c r="S34" s="565" t="s">
        <v>770</v>
      </c>
      <c r="T34" s="565" t="s">
        <v>768</v>
      </c>
    </row>
    <row r="35" spans="2:20" ht="25.5" customHeight="1" x14ac:dyDescent="0.2">
      <c r="B35" s="565" t="s">
        <v>771</v>
      </c>
      <c r="F35" s="591">
        <f>F34/365.25</f>
        <v>84.793976728268305</v>
      </c>
      <c r="G35" s="591">
        <f t="shared" ref="G35:L35" si="7">G34/365.25</f>
        <v>4.7830253251197812</v>
      </c>
      <c r="H35" s="591">
        <f t="shared" si="7"/>
        <v>1.8343600273785079</v>
      </c>
      <c r="I35" s="591">
        <f t="shared" si="7"/>
        <v>0.41067761806981518</v>
      </c>
      <c r="J35" s="591">
        <f t="shared" si="7"/>
        <v>5.5824777549623548</v>
      </c>
      <c r="K35" s="591">
        <f t="shared" si="7"/>
        <v>0</v>
      </c>
      <c r="L35" s="591">
        <f t="shared" si="7"/>
        <v>23.618963039014368</v>
      </c>
      <c r="M35" s="589">
        <f>SUM(F35:L35)</f>
        <v>121.02348049281312</v>
      </c>
      <c r="R35" s="570">
        <f>R33-R34</f>
        <v>2865.7905544147843</v>
      </c>
      <c r="S35" s="565" t="s">
        <v>772</v>
      </c>
      <c r="T35" s="565" t="s">
        <v>768</v>
      </c>
    </row>
    <row r="36" spans="2:20" x14ac:dyDescent="0.2">
      <c r="B36" s="565" t="s">
        <v>773</v>
      </c>
      <c r="F36" s="565">
        <v>0.28000000000000003</v>
      </c>
      <c r="G36" s="565">
        <v>0.28000000000000003</v>
      </c>
      <c r="H36" s="565">
        <v>0.28000000000000003</v>
      </c>
      <c r="I36" s="565">
        <v>0.28000000000000003</v>
      </c>
      <c r="J36" s="565">
        <v>0.28000000000000003</v>
      </c>
      <c r="K36" s="565">
        <v>0.28000000000000003</v>
      </c>
      <c r="L36" s="565">
        <v>0.28000000000000003</v>
      </c>
      <c r="R36" s="416"/>
      <c r="S36" s="565" t="s">
        <v>449</v>
      </c>
    </row>
    <row r="37" spans="2:20" x14ac:dyDescent="0.2">
      <c r="R37" s="570">
        <f>R35-R36</f>
        <v>2865.7905544147843</v>
      </c>
      <c r="S37" s="565" t="s">
        <v>774</v>
      </c>
    </row>
    <row r="38" spans="2:20" x14ac:dyDescent="0.2">
      <c r="B38" s="565" t="s">
        <v>269</v>
      </c>
      <c r="F38" s="570">
        <f>F30*F35*F36</f>
        <v>761051.31149404531</v>
      </c>
      <c r="G38" s="570">
        <f t="shared" ref="G38:L38" si="8">G30*G35*G36</f>
        <v>36029.014511704321</v>
      </c>
      <c r="H38" s="570">
        <f t="shared" si="8"/>
        <v>12237.067104722792</v>
      </c>
      <c r="I38" s="570">
        <f t="shared" si="8"/>
        <v>2712.0144558521561</v>
      </c>
      <c r="J38" s="570">
        <f t="shared" si="8"/>
        <v>31070.615267834677</v>
      </c>
      <c r="K38" s="570">
        <f t="shared" si="8"/>
        <v>0</v>
      </c>
      <c r="L38" s="570">
        <f t="shared" si="8"/>
        <v>109149.69977340331</v>
      </c>
      <c r="M38" s="592">
        <f>SUM(F38:L38)</f>
        <v>952249.72260756255</v>
      </c>
    </row>
    <row r="40" spans="2:20" x14ac:dyDescent="0.2">
      <c r="B40" s="565" t="s">
        <v>775</v>
      </c>
      <c r="D40" s="41">
        <v>887.59</v>
      </c>
      <c r="E40" s="593"/>
      <c r="M40" s="570">
        <f>(D40/30*D30)*0.32</f>
        <v>322753.66529706668</v>
      </c>
    </row>
    <row r="41" spans="2:20" ht="25.5" x14ac:dyDescent="0.2">
      <c r="B41" s="565" t="s">
        <v>776</v>
      </c>
      <c r="D41" s="593"/>
      <c r="E41" s="41">
        <v>55.2</v>
      </c>
      <c r="M41" s="570">
        <f>(E41/30*E30)*0.32</f>
        <v>17861.189119999999</v>
      </c>
    </row>
    <row r="43" spans="2:20" ht="25.5" x14ac:dyDescent="0.2">
      <c r="B43" s="565" t="s">
        <v>777</v>
      </c>
      <c r="M43" s="594">
        <f>SUM(M38:M42)</f>
        <v>1292864.5770246291</v>
      </c>
    </row>
    <row r="44" spans="2:20" ht="25.5" x14ac:dyDescent="0.2">
      <c r="B44" s="565" t="s">
        <v>778</v>
      </c>
    </row>
  </sheetData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33"/>
  <dimension ref="B5:AP247"/>
  <sheetViews>
    <sheetView rightToLeft="1" workbookViewId="0">
      <selection activeCell="AL8" sqref="AL8"/>
    </sheetView>
  </sheetViews>
  <sheetFormatPr defaultRowHeight="12.75" x14ac:dyDescent="0.2"/>
  <cols>
    <col min="5" max="5" width="13.140625" bestFit="1" customWidth="1"/>
    <col min="8" max="9" width="9.140625" style="1021"/>
    <col min="16" max="17" width="9.140625" style="1021"/>
    <col min="22" max="22" width="9.140625" style="1021"/>
  </cols>
  <sheetData>
    <row r="5" spans="2:42" ht="94.5" x14ac:dyDescent="0.2">
      <c r="B5" s="988" t="s">
        <v>1094</v>
      </c>
      <c r="C5" s="4" t="s">
        <v>0</v>
      </c>
      <c r="D5" s="4" t="s">
        <v>1</v>
      </c>
      <c r="E5" s="4" t="s">
        <v>2</v>
      </c>
      <c r="F5" s="4" t="s">
        <v>37</v>
      </c>
      <c r="G5" s="4" t="s">
        <v>83</v>
      </c>
      <c r="H5" s="1022" t="s">
        <v>3</v>
      </c>
      <c r="I5" s="1022" t="s">
        <v>4</v>
      </c>
      <c r="J5" s="4" t="s">
        <v>5</v>
      </c>
      <c r="K5" s="4" t="s">
        <v>6</v>
      </c>
      <c r="L5" s="4" t="s">
        <v>7</v>
      </c>
      <c r="M5" s="4" t="s">
        <v>8</v>
      </c>
      <c r="N5" s="4" t="s">
        <v>9</v>
      </c>
      <c r="O5" s="4" t="s">
        <v>10</v>
      </c>
      <c r="P5" s="1022" t="s">
        <v>103</v>
      </c>
      <c r="Q5" s="1022" t="s">
        <v>11</v>
      </c>
      <c r="R5" s="4" t="s">
        <v>12</v>
      </c>
      <c r="S5" s="4" t="s">
        <v>346</v>
      </c>
      <c r="T5" s="4" t="s">
        <v>347</v>
      </c>
      <c r="U5" s="4" t="s">
        <v>348</v>
      </c>
      <c r="V5" s="1022" t="s">
        <v>349</v>
      </c>
      <c r="W5" s="4" t="s">
        <v>350</v>
      </c>
      <c r="X5" s="4" t="s">
        <v>351</v>
      </c>
      <c r="Y5" s="4" t="s">
        <v>352</v>
      </c>
      <c r="Z5" s="4" t="s">
        <v>353</v>
      </c>
      <c r="AA5" s="4" t="s">
        <v>354</v>
      </c>
      <c r="AB5" s="4" t="s">
        <v>355</v>
      </c>
      <c r="AC5" s="4" t="s">
        <v>356</v>
      </c>
      <c r="AD5" s="4" t="s">
        <v>357</v>
      </c>
      <c r="AE5" s="4" t="s">
        <v>358</v>
      </c>
      <c r="AF5" s="4" t="s">
        <v>359</v>
      </c>
      <c r="AG5" s="4" t="s">
        <v>360</v>
      </c>
      <c r="AH5" s="4" t="s">
        <v>538</v>
      </c>
      <c r="AI5" s="4"/>
      <c r="AJ5" s="4" t="s">
        <v>170</v>
      </c>
      <c r="AK5" s="4" t="s">
        <v>1049</v>
      </c>
      <c r="AL5" s="4" t="s">
        <v>1050</v>
      </c>
      <c r="AM5" s="4" t="s">
        <v>1068</v>
      </c>
      <c r="AN5" s="4" t="s">
        <v>352</v>
      </c>
      <c r="AO5" s="4" t="s">
        <v>1153</v>
      </c>
      <c r="AP5" s="4" t="s">
        <v>1154</v>
      </c>
    </row>
    <row r="6" spans="2:42" x14ac:dyDescent="0.2">
      <c r="B6">
        <f>IF(C6&gt;0,1,0)</f>
        <v>1</v>
      </c>
      <c r="C6">
        <v>96100</v>
      </c>
      <c r="D6">
        <v>56078603</v>
      </c>
      <c r="E6" t="s">
        <v>1171</v>
      </c>
      <c r="F6" t="s">
        <v>1172</v>
      </c>
      <c r="H6" s="1021" t="s">
        <v>1173</v>
      </c>
      <c r="I6" s="1021" t="s">
        <v>1174</v>
      </c>
      <c r="M6" t="s">
        <v>508</v>
      </c>
      <c r="N6" t="s">
        <v>1175</v>
      </c>
      <c r="P6" s="1021" t="s">
        <v>1176</v>
      </c>
      <c r="Q6" s="1021" t="s">
        <v>1177</v>
      </c>
      <c r="R6" t="s">
        <v>1178</v>
      </c>
      <c r="T6" t="s">
        <v>1179</v>
      </c>
      <c r="V6" s="1021" t="s">
        <v>1180</v>
      </c>
      <c r="AB6">
        <v>2</v>
      </c>
      <c r="AG6" t="s">
        <v>1181</v>
      </c>
      <c r="AH6" t="s">
        <v>1182</v>
      </c>
      <c r="AJ6" t="s">
        <v>1183</v>
      </c>
      <c r="AK6">
        <v>3</v>
      </c>
      <c r="AL6" t="s">
        <v>1183</v>
      </c>
      <c r="AM6">
        <v>1</v>
      </c>
      <c r="AN6">
        <v>4</v>
      </c>
    </row>
    <row r="7" spans="2:42" x14ac:dyDescent="0.2">
      <c r="B7">
        <f>IF(C7&gt;0,B6+1,0)</f>
        <v>2</v>
      </c>
      <c r="C7">
        <v>96101</v>
      </c>
      <c r="D7">
        <v>56078603</v>
      </c>
      <c r="E7" t="s">
        <v>1184</v>
      </c>
      <c r="F7" t="s">
        <v>1172</v>
      </c>
      <c r="H7" s="1021" t="s">
        <v>1173</v>
      </c>
      <c r="I7" s="1021" t="s">
        <v>1185</v>
      </c>
      <c r="M7" t="s">
        <v>508</v>
      </c>
      <c r="N7" t="s">
        <v>1186</v>
      </c>
      <c r="P7" s="1021" t="s">
        <v>1185</v>
      </c>
      <c r="Q7" s="1021" t="s">
        <v>1185</v>
      </c>
      <c r="R7" t="s">
        <v>1178</v>
      </c>
      <c r="T7" t="s">
        <v>1179</v>
      </c>
      <c r="AB7">
        <v>2</v>
      </c>
      <c r="AG7" t="s">
        <v>1181</v>
      </c>
      <c r="AH7" t="s">
        <v>1182</v>
      </c>
      <c r="AJ7" t="s">
        <v>1183</v>
      </c>
      <c r="AK7">
        <v>3</v>
      </c>
      <c r="AL7" t="s">
        <v>1183</v>
      </c>
      <c r="AM7">
        <v>1</v>
      </c>
      <c r="AN7">
        <v>4</v>
      </c>
      <c r="AO7" t="s">
        <v>1187</v>
      </c>
      <c r="AP7">
        <v>2657.81</v>
      </c>
    </row>
    <row r="8" spans="2:42" x14ac:dyDescent="0.2">
      <c r="B8">
        <f t="shared" ref="B8:B71" si="0">IF(C8&gt;0,B7+1,0)</f>
        <v>3</v>
      </c>
      <c r="C8">
        <v>96102</v>
      </c>
      <c r="D8">
        <v>56078603</v>
      </c>
      <c r="E8" t="s">
        <v>1188</v>
      </c>
      <c r="F8" t="s">
        <v>1189</v>
      </c>
      <c r="H8" s="1021" t="s">
        <v>1173</v>
      </c>
      <c r="I8" s="1021" t="s">
        <v>1190</v>
      </c>
      <c r="M8" t="s">
        <v>509</v>
      </c>
      <c r="N8" t="s">
        <v>1175</v>
      </c>
      <c r="O8" t="s">
        <v>1191</v>
      </c>
      <c r="P8" s="1021" t="s">
        <v>1192</v>
      </c>
      <c r="Q8" s="1021" t="s">
        <v>1193</v>
      </c>
      <c r="R8" t="s">
        <v>1194</v>
      </c>
      <c r="T8" t="s">
        <v>1195</v>
      </c>
      <c r="V8" s="1021" t="s">
        <v>1190</v>
      </c>
      <c r="AB8">
        <v>2</v>
      </c>
      <c r="AH8" t="s">
        <v>1196</v>
      </c>
      <c r="AJ8" t="s">
        <v>1183</v>
      </c>
      <c r="AK8">
        <v>3</v>
      </c>
      <c r="AL8" t="s">
        <v>1183</v>
      </c>
      <c r="AM8">
        <v>2</v>
      </c>
      <c r="AN8">
        <v>4</v>
      </c>
    </row>
    <row r="9" spans="2:42" x14ac:dyDescent="0.2">
      <c r="B9">
        <f t="shared" si="0"/>
        <v>4</v>
      </c>
      <c r="C9">
        <v>96108</v>
      </c>
      <c r="D9">
        <v>56078603</v>
      </c>
      <c r="E9" t="s">
        <v>1197</v>
      </c>
      <c r="F9" t="s">
        <v>1198</v>
      </c>
      <c r="H9" s="1021" t="s">
        <v>1173</v>
      </c>
      <c r="I9" s="1021" t="s">
        <v>1199</v>
      </c>
      <c r="M9" t="s">
        <v>508</v>
      </c>
      <c r="N9" t="s">
        <v>1175</v>
      </c>
      <c r="O9" t="s">
        <v>1200</v>
      </c>
      <c r="P9" s="1021" t="s">
        <v>1199</v>
      </c>
      <c r="Q9" s="1021" t="s">
        <v>1199</v>
      </c>
      <c r="R9" t="s">
        <v>1201</v>
      </c>
      <c r="T9" t="s">
        <v>1202</v>
      </c>
      <c r="V9" s="1021" t="s">
        <v>1199</v>
      </c>
      <c r="AB9">
        <v>2</v>
      </c>
      <c r="AG9" t="s">
        <v>1203</v>
      </c>
      <c r="AH9" t="s">
        <v>1204</v>
      </c>
      <c r="AJ9" t="s">
        <v>1183</v>
      </c>
      <c r="AK9">
        <v>3</v>
      </c>
      <c r="AL9" t="s">
        <v>1183</v>
      </c>
      <c r="AM9">
        <v>1</v>
      </c>
      <c r="AN9">
        <v>4</v>
      </c>
    </row>
    <row r="10" spans="2:42" x14ac:dyDescent="0.2">
      <c r="B10">
        <f t="shared" si="0"/>
        <v>0</v>
      </c>
    </row>
    <row r="11" spans="2:42" x14ac:dyDescent="0.2">
      <c r="B11">
        <f t="shared" si="0"/>
        <v>0</v>
      </c>
    </row>
    <row r="12" spans="2:42" x14ac:dyDescent="0.2">
      <c r="B12">
        <f t="shared" si="0"/>
        <v>0</v>
      </c>
    </row>
    <row r="13" spans="2:42" x14ac:dyDescent="0.2">
      <c r="B13">
        <f t="shared" si="0"/>
        <v>0</v>
      </c>
    </row>
    <row r="14" spans="2:42" x14ac:dyDescent="0.2">
      <c r="B14">
        <f t="shared" si="0"/>
        <v>0</v>
      </c>
    </row>
    <row r="15" spans="2:42" x14ac:dyDescent="0.2">
      <c r="B15">
        <f t="shared" si="0"/>
        <v>0</v>
      </c>
    </row>
    <row r="16" spans="2:42" x14ac:dyDescent="0.2">
      <c r="B16">
        <f t="shared" si="0"/>
        <v>0</v>
      </c>
    </row>
    <row r="17" spans="2:2" x14ac:dyDescent="0.2">
      <c r="B17">
        <f t="shared" si="0"/>
        <v>0</v>
      </c>
    </row>
    <row r="18" spans="2:2" x14ac:dyDescent="0.2">
      <c r="B18">
        <f t="shared" si="0"/>
        <v>0</v>
      </c>
    </row>
    <row r="19" spans="2:2" x14ac:dyDescent="0.2">
      <c r="B19">
        <f t="shared" si="0"/>
        <v>0</v>
      </c>
    </row>
    <row r="20" spans="2:2" x14ac:dyDescent="0.2">
      <c r="B20">
        <f t="shared" si="0"/>
        <v>0</v>
      </c>
    </row>
    <row r="21" spans="2:2" x14ac:dyDescent="0.2">
      <c r="B21">
        <f t="shared" si="0"/>
        <v>0</v>
      </c>
    </row>
    <row r="22" spans="2:2" x14ac:dyDescent="0.2">
      <c r="B22">
        <f t="shared" si="0"/>
        <v>0</v>
      </c>
    </row>
    <row r="23" spans="2:2" x14ac:dyDescent="0.2">
      <c r="B23">
        <f t="shared" si="0"/>
        <v>0</v>
      </c>
    </row>
    <row r="24" spans="2:2" x14ac:dyDescent="0.2">
      <c r="B24">
        <f t="shared" si="0"/>
        <v>0</v>
      </c>
    </row>
    <row r="25" spans="2:2" x14ac:dyDescent="0.2">
      <c r="B25">
        <f t="shared" si="0"/>
        <v>0</v>
      </c>
    </row>
    <row r="26" spans="2:2" x14ac:dyDescent="0.2">
      <c r="B26">
        <f t="shared" si="0"/>
        <v>0</v>
      </c>
    </row>
    <row r="27" spans="2:2" x14ac:dyDescent="0.2">
      <c r="B27">
        <f t="shared" si="0"/>
        <v>0</v>
      </c>
    </row>
    <row r="28" spans="2:2" x14ac:dyDescent="0.2">
      <c r="B28">
        <f t="shared" si="0"/>
        <v>0</v>
      </c>
    </row>
    <row r="29" spans="2:2" x14ac:dyDescent="0.2">
      <c r="B29">
        <f t="shared" si="0"/>
        <v>0</v>
      </c>
    </row>
    <row r="30" spans="2:2" x14ac:dyDescent="0.2">
      <c r="B30">
        <f t="shared" si="0"/>
        <v>0</v>
      </c>
    </row>
    <row r="31" spans="2:2" x14ac:dyDescent="0.2">
      <c r="B31">
        <f t="shared" si="0"/>
        <v>0</v>
      </c>
    </row>
    <row r="32" spans="2:2" x14ac:dyDescent="0.2">
      <c r="B32">
        <f t="shared" si="0"/>
        <v>0</v>
      </c>
    </row>
    <row r="33" spans="2:2" x14ac:dyDescent="0.2">
      <c r="B33">
        <f t="shared" si="0"/>
        <v>0</v>
      </c>
    </row>
    <row r="34" spans="2:2" x14ac:dyDescent="0.2">
      <c r="B34">
        <f t="shared" si="0"/>
        <v>0</v>
      </c>
    </row>
    <row r="35" spans="2:2" x14ac:dyDescent="0.2">
      <c r="B35">
        <f t="shared" si="0"/>
        <v>0</v>
      </c>
    </row>
    <row r="36" spans="2:2" x14ac:dyDescent="0.2">
      <c r="B36">
        <f t="shared" si="0"/>
        <v>0</v>
      </c>
    </row>
    <row r="37" spans="2:2" x14ac:dyDescent="0.2">
      <c r="B37">
        <f t="shared" si="0"/>
        <v>0</v>
      </c>
    </row>
    <row r="38" spans="2:2" x14ac:dyDescent="0.2">
      <c r="B38">
        <f t="shared" si="0"/>
        <v>0</v>
      </c>
    </row>
    <row r="39" spans="2:2" x14ac:dyDescent="0.2">
      <c r="B39">
        <f t="shared" si="0"/>
        <v>0</v>
      </c>
    </row>
    <row r="40" spans="2:2" x14ac:dyDescent="0.2">
      <c r="B40">
        <f t="shared" si="0"/>
        <v>0</v>
      </c>
    </row>
    <row r="41" spans="2:2" x14ac:dyDescent="0.2">
      <c r="B41">
        <f t="shared" si="0"/>
        <v>0</v>
      </c>
    </row>
    <row r="42" spans="2:2" x14ac:dyDescent="0.2">
      <c r="B42">
        <f t="shared" si="0"/>
        <v>0</v>
      </c>
    </row>
    <row r="43" spans="2:2" x14ac:dyDescent="0.2">
      <c r="B43">
        <f t="shared" si="0"/>
        <v>0</v>
      </c>
    </row>
    <row r="44" spans="2:2" x14ac:dyDescent="0.2">
      <c r="B44">
        <f t="shared" si="0"/>
        <v>0</v>
      </c>
    </row>
    <row r="45" spans="2:2" x14ac:dyDescent="0.2">
      <c r="B45">
        <f t="shared" si="0"/>
        <v>0</v>
      </c>
    </row>
    <row r="46" spans="2:2" x14ac:dyDescent="0.2">
      <c r="B46">
        <f t="shared" si="0"/>
        <v>0</v>
      </c>
    </row>
    <row r="47" spans="2:2" x14ac:dyDescent="0.2">
      <c r="B47">
        <f t="shared" si="0"/>
        <v>0</v>
      </c>
    </row>
    <row r="48" spans="2:2" x14ac:dyDescent="0.2">
      <c r="B48">
        <f t="shared" si="0"/>
        <v>0</v>
      </c>
    </row>
    <row r="49" spans="2:2" x14ac:dyDescent="0.2">
      <c r="B49">
        <f t="shared" si="0"/>
        <v>0</v>
      </c>
    </row>
    <row r="50" spans="2:2" x14ac:dyDescent="0.2">
      <c r="B50">
        <f t="shared" si="0"/>
        <v>0</v>
      </c>
    </row>
    <row r="51" spans="2:2" x14ac:dyDescent="0.2">
      <c r="B51">
        <f t="shared" si="0"/>
        <v>0</v>
      </c>
    </row>
    <row r="52" spans="2:2" x14ac:dyDescent="0.2">
      <c r="B52">
        <f t="shared" si="0"/>
        <v>0</v>
      </c>
    </row>
    <row r="53" spans="2:2" x14ac:dyDescent="0.2">
      <c r="B53">
        <f t="shared" si="0"/>
        <v>0</v>
      </c>
    </row>
    <row r="54" spans="2:2" x14ac:dyDescent="0.2">
      <c r="B54">
        <f t="shared" si="0"/>
        <v>0</v>
      </c>
    </row>
    <row r="55" spans="2:2" x14ac:dyDescent="0.2">
      <c r="B55">
        <f t="shared" si="0"/>
        <v>0</v>
      </c>
    </row>
    <row r="56" spans="2:2" x14ac:dyDescent="0.2">
      <c r="B56">
        <f t="shared" si="0"/>
        <v>0</v>
      </c>
    </row>
    <row r="57" spans="2:2" x14ac:dyDescent="0.2">
      <c r="B57">
        <f t="shared" si="0"/>
        <v>0</v>
      </c>
    </row>
    <row r="58" spans="2:2" x14ac:dyDescent="0.2">
      <c r="B58">
        <f t="shared" si="0"/>
        <v>0</v>
      </c>
    </row>
    <row r="59" spans="2:2" x14ac:dyDescent="0.2">
      <c r="B59">
        <f t="shared" si="0"/>
        <v>0</v>
      </c>
    </row>
    <row r="60" spans="2:2" x14ac:dyDescent="0.2">
      <c r="B60">
        <f t="shared" si="0"/>
        <v>0</v>
      </c>
    </row>
    <row r="61" spans="2:2" x14ac:dyDescent="0.2">
      <c r="B61">
        <f t="shared" si="0"/>
        <v>0</v>
      </c>
    </row>
    <row r="62" spans="2:2" x14ac:dyDescent="0.2">
      <c r="B62">
        <f t="shared" si="0"/>
        <v>0</v>
      </c>
    </row>
    <row r="63" spans="2:2" x14ac:dyDescent="0.2">
      <c r="B63">
        <f t="shared" si="0"/>
        <v>0</v>
      </c>
    </row>
    <row r="64" spans="2:2" x14ac:dyDescent="0.2">
      <c r="B64">
        <f t="shared" si="0"/>
        <v>0</v>
      </c>
    </row>
    <row r="65" spans="2:2" x14ac:dyDescent="0.2">
      <c r="B65">
        <f t="shared" si="0"/>
        <v>0</v>
      </c>
    </row>
    <row r="66" spans="2:2" x14ac:dyDescent="0.2">
      <c r="B66">
        <f t="shared" si="0"/>
        <v>0</v>
      </c>
    </row>
    <row r="67" spans="2:2" x14ac:dyDescent="0.2">
      <c r="B67">
        <f t="shared" si="0"/>
        <v>0</v>
      </c>
    </row>
    <row r="68" spans="2:2" x14ac:dyDescent="0.2">
      <c r="B68">
        <f t="shared" si="0"/>
        <v>0</v>
      </c>
    </row>
    <row r="69" spans="2:2" x14ac:dyDescent="0.2">
      <c r="B69">
        <f t="shared" si="0"/>
        <v>0</v>
      </c>
    </row>
    <row r="70" spans="2:2" x14ac:dyDescent="0.2">
      <c r="B70">
        <f t="shared" si="0"/>
        <v>0</v>
      </c>
    </row>
    <row r="71" spans="2:2" x14ac:dyDescent="0.2">
      <c r="B71">
        <f t="shared" si="0"/>
        <v>0</v>
      </c>
    </row>
    <row r="72" spans="2:2" x14ac:dyDescent="0.2">
      <c r="B72">
        <f t="shared" ref="B72:B135" si="1">IF(C72&gt;0,B71+1,0)</f>
        <v>0</v>
      </c>
    </row>
    <row r="73" spans="2:2" x14ac:dyDescent="0.2">
      <c r="B73">
        <f t="shared" si="1"/>
        <v>0</v>
      </c>
    </row>
    <row r="74" spans="2:2" x14ac:dyDescent="0.2">
      <c r="B74">
        <f t="shared" si="1"/>
        <v>0</v>
      </c>
    </row>
    <row r="75" spans="2:2" x14ac:dyDescent="0.2">
      <c r="B75">
        <f t="shared" si="1"/>
        <v>0</v>
      </c>
    </row>
    <row r="76" spans="2:2" x14ac:dyDescent="0.2">
      <c r="B76">
        <f t="shared" si="1"/>
        <v>0</v>
      </c>
    </row>
    <row r="77" spans="2:2" x14ac:dyDescent="0.2">
      <c r="B77">
        <f t="shared" si="1"/>
        <v>0</v>
      </c>
    </row>
    <row r="78" spans="2:2" x14ac:dyDescent="0.2">
      <c r="B78">
        <f t="shared" si="1"/>
        <v>0</v>
      </c>
    </row>
    <row r="79" spans="2:2" x14ac:dyDescent="0.2">
      <c r="B79">
        <f t="shared" si="1"/>
        <v>0</v>
      </c>
    </row>
    <row r="80" spans="2:2" x14ac:dyDescent="0.2">
      <c r="B80">
        <f t="shared" si="1"/>
        <v>0</v>
      </c>
    </row>
    <row r="81" spans="2:2" x14ac:dyDescent="0.2">
      <c r="B81">
        <f t="shared" si="1"/>
        <v>0</v>
      </c>
    </row>
    <row r="82" spans="2:2" x14ac:dyDescent="0.2">
      <c r="B82">
        <f t="shared" si="1"/>
        <v>0</v>
      </c>
    </row>
    <row r="83" spans="2:2" x14ac:dyDescent="0.2">
      <c r="B83">
        <f t="shared" si="1"/>
        <v>0</v>
      </c>
    </row>
    <row r="84" spans="2:2" x14ac:dyDescent="0.2">
      <c r="B84">
        <f t="shared" si="1"/>
        <v>0</v>
      </c>
    </row>
    <row r="85" spans="2:2" x14ac:dyDescent="0.2">
      <c r="B85">
        <f t="shared" si="1"/>
        <v>0</v>
      </c>
    </row>
    <row r="86" spans="2:2" x14ac:dyDescent="0.2">
      <c r="B86">
        <f t="shared" si="1"/>
        <v>0</v>
      </c>
    </row>
    <row r="87" spans="2:2" x14ac:dyDescent="0.2">
      <c r="B87">
        <f t="shared" si="1"/>
        <v>0</v>
      </c>
    </row>
    <row r="88" spans="2:2" x14ac:dyDescent="0.2">
      <c r="B88">
        <f t="shared" si="1"/>
        <v>0</v>
      </c>
    </row>
    <row r="89" spans="2:2" x14ac:dyDescent="0.2">
      <c r="B89">
        <f t="shared" si="1"/>
        <v>0</v>
      </c>
    </row>
    <row r="90" spans="2:2" x14ac:dyDescent="0.2">
      <c r="B90">
        <f t="shared" si="1"/>
        <v>0</v>
      </c>
    </row>
    <row r="91" spans="2:2" x14ac:dyDescent="0.2">
      <c r="B91">
        <f t="shared" si="1"/>
        <v>0</v>
      </c>
    </row>
    <row r="92" spans="2:2" x14ac:dyDescent="0.2">
      <c r="B92">
        <f t="shared" si="1"/>
        <v>0</v>
      </c>
    </row>
    <row r="93" spans="2:2" x14ac:dyDescent="0.2">
      <c r="B93">
        <f t="shared" si="1"/>
        <v>0</v>
      </c>
    </row>
    <row r="94" spans="2:2" x14ac:dyDescent="0.2">
      <c r="B94">
        <f t="shared" si="1"/>
        <v>0</v>
      </c>
    </row>
    <row r="95" spans="2:2" x14ac:dyDescent="0.2">
      <c r="B95">
        <f t="shared" si="1"/>
        <v>0</v>
      </c>
    </row>
    <row r="96" spans="2:2" x14ac:dyDescent="0.2">
      <c r="B96">
        <f t="shared" si="1"/>
        <v>0</v>
      </c>
    </row>
    <row r="97" spans="2:2" x14ac:dyDescent="0.2">
      <c r="B97">
        <f t="shared" si="1"/>
        <v>0</v>
      </c>
    </row>
    <row r="98" spans="2:2" x14ac:dyDescent="0.2">
      <c r="B98">
        <f t="shared" si="1"/>
        <v>0</v>
      </c>
    </row>
    <row r="99" spans="2:2" x14ac:dyDescent="0.2">
      <c r="B99">
        <f t="shared" si="1"/>
        <v>0</v>
      </c>
    </row>
    <row r="100" spans="2:2" x14ac:dyDescent="0.2">
      <c r="B100">
        <f t="shared" si="1"/>
        <v>0</v>
      </c>
    </row>
    <row r="101" spans="2:2" x14ac:dyDescent="0.2">
      <c r="B101">
        <f t="shared" si="1"/>
        <v>0</v>
      </c>
    </row>
    <row r="102" spans="2:2" x14ac:dyDescent="0.2">
      <c r="B102">
        <f t="shared" si="1"/>
        <v>0</v>
      </c>
    </row>
    <row r="103" spans="2:2" x14ac:dyDescent="0.2">
      <c r="B103">
        <f t="shared" si="1"/>
        <v>0</v>
      </c>
    </row>
    <row r="104" spans="2:2" x14ac:dyDescent="0.2">
      <c r="B104">
        <f t="shared" si="1"/>
        <v>0</v>
      </c>
    </row>
    <row r="105" spans="2:2" x14ac:dyDescent="0.2">
      <c r="B105">
        <f t="shared" si="1"/>
        <v>0</v>
      </c>
    </row>
    <row r="106" spans="2:2" x14ac:dyDescent="0.2">
      <c r="B106">
        <f t="shared" si="1"/>
        <v>0</v>
      </c>
    </row>
    <row r="107" spans="2:2" x14ac:dyDescent="0.2">
      <c r="B107">
        <f t="shared" si="1"/>
        <v>0</v>
      </c>
    </row>
    <row r="108" spans="2:2" x14ac:dyDescent="0.2">
      <c r="B108">
        <f t="shared" si="1"/>
        <v>0</v>
      </c>
    </row>
    <row r="109" spans="2:2" x14ac:dyDescent="0.2">
      <c r="B109">
        <f t="shared" si="1"/>
        <v>0</v>
      </c>
    </row>
    <row r="110" spans="2:2" x14ac:dyDescent="0.2">
      <c r="B110">
        <f t="shared" si="1"/>
        <v>0</v>
      </c>
    </row>
    <row r="111" spans="2:2" x14ac:dyDescent="0.2">
      <c r="B111">
        <f t="shared" si="1"/>
        <v>0</v>
      </c>
    </row>
    <row r="112" spans="2:2" x14ac:dyDescent="0.2">
      <c r="B112">
        <f t="shared" si="1"/>
        <v>0</v>
      </c>
    </row>
    <row r="113" spans="2:2" x14ac:dyDescent="0.2">
      <c r="B113">
        <f t="shared" si="1"/>
        <v>0</v>
      </c>
    </row>
    <row r="114" spans="2:2" x14ac:dyDescent="0.2">
      <c r="B114">
        <f t="shared" si="1"/>
        <v>0</v>
      </c>
    </row>
    <row r="115" spans="2:2" x14ac:dyDescent="0.2">
      <c r="B115">
        <f t="shared" si="1"/>
        <v>0</v>
      </c>
    </row>
    <row r="116" spans="2:2" x14ac:dyDescent="0.2">
      <c r="B116">
        <f t="shared" si="1"/>
        <v>0</v>
      </c>
    </row>
    <row r="117" spans="2:2" x14ac:dyDescent="0.2">
      <c r="B117">
        <f t="shared" si="1"/>
        <v>0</v>
      </c>
    </row>
    <row r="118" spans="2:2" x14ac:dyDescent="0.2">
      <c r="B118">
        <f t="shared" si="1"/>
        <v>0</v>
      </c>
    </row>
    <row r="119" spans="2:2" x14ac:dyDescent="0.2">
      <c r="B119">
        <f t="shared" si="1"/>
        <v>0</v>
      </c>
    </row>
    <row r="120" spans="2:2" x14ac:dyDescent="0.2">
      <c r="B120">
        <f t="shared" si="1"/>
        <v>0</v>
      </c>
    </row>
    <row r="121" spans="2:2" x14ac:dyDescent="0.2">
      <c r="B121">
        <f t="shared" si="1"/>
        <v>0</v>
      </c>
    </row>
    <row r="122" spans="2:2" x14ac:dyDescent="0.2">
      <c r="B122">
        <f t="shared" si="1"/>
        <v>0</v>
      </c>
    </row>
    <row r="123" spans="2:2" x14ac:dyDescent="0.2">
      <c r="B123">
        <f t="shared" si="1"/>
        <v>0</v>
      </c>
    </row>
    <row r="124" spans="2:2" x14ac:dyDescent="0.2">
      <c r="B124">
        <f t="shared" si="1"/>
        <v>0</v>
      </c>
    </row>
    <row r="125" spans="2:2" x14ac:dyDescent="0.2">
      <c r="B125">
        <f t="shared" si="1"/>
        <v>0</v>
      </c>
    </row>
    <row r="126" spans="2:2" x14ac:dyDescent="0.2">
      <c r="B126">
        <f t="shared" si="1"/>
        <v>0</v>
      </c>
    </row>
    <row r="127" spans="2:2" x14ac:dyDescent="0.2">
      <c r="B127">
        <f t="shared" si="1"/>
        <v>0</v>
      </c>
    </row>
    <row r="128" spans="2:2" x14ac:dyDescent="0.2">
      <c r="B128">
        <f t="shared" si="1"/>
        <v>0</v>
      </c>
    </row>
    <row r="129" spans="2:2" x14ac:dyDescent="0.2">
      <c r="B129">
        <f t="shared" si="1"/>
        <v>0</v>
      </c>
    </row>
    <row r="130" spans="2:2" x14ac:dyDescent="0.2">
      <c r="B130">
        <f t="shared" si="1"/>
        <v>0</v>
      </c>
    </row>
    <row r="131" spans="2:2" x14ac:dyDescent="0.2">
      <c r="B131">
        <f t="shared" si="1"/>
        <v>0</v>
      </c>
    </row>
    <row r="132" spans="2:2" x14ac:dyDescent="0.2">
      <c r="B132">
        <f t="shared" si="1"/>
        <v>0</v>
      </c>
    </row>
    <row r="133" spans="2:2" x14ac:dyDescent="0.2">
      <c r="B133">
        <f t="shared" si="1"/>
        <v>0</v>
      </c>
    </row>
    <row r="134" spans="2:2" x14ac:dyDescent="0.2">
      <c r="B134">
        <f t="shared" si="1"/>
        <v>0</v>
      </c>
    </row>
    <row r="135" spans="2:2" x14ac:dyDescent="0.2">
      <c r="B135">
        <f t="shared" si="1"/>
        <v>0</v>
      </c>
    </row>
    <row r="136" spans="2:2" x14ac:dyDescent="0.2">
      <c r="B136">
        <f t="shared" ref="B136:B199" si="2">IF(C136&gt;0,B135+1,0)</f>
        <v>0</v>
      </c>
    </row>
    <row r="137" spans="2:2" x14ac:dyDescent="0.2">
      <c r="B137">
        <f t="shared" si="2"/>
        <v>0</v>
      </c>
    </row>
    <row r="138" spans="2:2" x14ac:dyDescent="0.2">
      <c r="B138">
        <f t="shared" si="2"/>
        <v>0</v>
      </c>
    </row>
    <row r="139" spans="2:2" x14ac:dyDescent="0.2">
      <c r="B139">
        <f t="shared" si="2"/>
        <v>0</v>
      </c>
    </row>
    <row r="140" spans="2:2" x14ac:dyDescent="0.2">
      <c r="B140">
        <f t="shared" si="2"/>
        <v>0</v>
      </c>
    </row>
    <row r="141" spans="2:2" x14ac:dyDescent="0.2">
      <c r="B141">
        <f t="shared" si="2"/>
        <v>0</v>
      </c>
    </row>
    <row r="142" spans="2:2" x14ac:dyDescent="0.2">
      <c r="B142">
        <f t="shared" si="2"/>
        <v>0</v>
      </c>
    </row>
    <row r="143" spans="2:2" x14ac:dyDescent="0.2">
      <c r="B143">
        <f t="shared" si="2"/>
        <v>0</v>
      </c>
    </row>
    <row r="144" spans="2:2" x14ac:dyDescent="0.2">
      <c r="B144">
        <f t="shared" si="2"/>
        <v>0</v>
      </c>
    </row>
    <row r="145" spans="2:2" x14ac:dyDescent="0.2">
      <c r="B145">
        <f t="shared" si="2"/>
        <v>0</v>
      </c>
    </row>
    <row r="146" spans="2:2" x14ac:dyDescent="0.2">
      <c r="B146">
        <f t="shared" si="2"/>
        <v>0</v>
      </c>
    </row>
    <row r="147" spans="2:2" x14ac:dyDescent="0.2">
      <c r="B147">
        <f t="shared" si="2"/>
        <v>0</v>
      </c>
    </row>
    <row r="148" spans="2:2" x14ac:dyDescent="0.2">
      <c r="B148">
        <f t="shared" si="2"/>
        <v>0</v>
      </c>
    </row>
    <row r="149" spans="2:2" x14ac:dyDescent="0.2">
      <c r="B149">
        <f t="shared" si="2"/>
        <v>0</v>
      </c>
    </row>
    <row r="150" spans="2:2" x14ac:dyDescent="0.2">
      <c r="B150">
        <f t="shared" si="2"/>
        <v>0</v>
      </c>
    </row>
    <row r="151" spans="2:2" x14ac:dyDescent="0.2">
      <c r="B151">
        <f t="shared" si="2"/>
        <v>0</v>
      </c>
    </row>
    <row r="152" spans="2:2" x14ac:dyDescent="0.2">
      <c r="B152">
        <f t="shared" si="2"/>
        <v>0</v>
      </c>
    </row>
    <row r="153" spans="2:2" x14ac:dyDescent="0.2">
      <c r="B153">
        <f t="shared" si="2"/>
        <v>0</v>
      </c>
    </row>
    <row r="154" spans="2:2" x14ac:dyDescent="0.2">
      <c r="B154">
        <f t="shared" si="2"/>
        <v>0</v>
      </c>
    </row>
    <row r="155" spans="2:2" x14ac:dyDescent="0.2">
      <c r="B155">
        <f t="shared" si="2"/>
        <v>0</v>
      </c>
    </row>
    <row r="156" spans="2:2" x14ac:dyDescent="0.2">
      <c r="B156">
        <f t="shared" si="2"/>
        <v>0</v>
      </c>
    </row>
    <row r="157" spans="2:2" x14ac:dyDescent="0.2">
      <c r="B157">
        <f t="shared" si="2"/>
        <v>0</v>
      </c>
    </row>
    <row r="158" spans="2:2" x14ac:dyDescent="0.2">
      <c r="B158">
        <f t="shared" si="2"/>
        <v>0</v>
      </c>
    </row>
    <row r="159" spans="2:2" x14ac:dyDescent="0.2">
      <c r="B159">
        <f t="shared" si="2"/>
        <v>0</v>
      </c>
    </row>
    <row r="160" spans="2:2" x14ac:dyDescent="0.2">
      <c r="B160">
        <f t="shared" si="2"/>
        <v>0</v>
      </c>
    </row>
    <row r="161" spans="2:2" x14ac:dyDescent="0.2">
      <c r="B161">
        <f t="shared" si="2"/>
        <v>0</v>
      </c>
    </row>
    <row r="162" spans="2:2" x14ac:dyDescent="0.2">
      <c r="B162">
        <f t="shared" si="2"/>
        <v>0</v>
      </c>
    </row>
    <row r="163" spans="2:2" x14ac:dyDescent="0.2">
      <c r="B163">
        <f t="shared" si="2"/>
        <v>0</v>
      </c>
    </row>
    <row r="164" spans="2:2" x14ac:dyDescent="0.2">
      <c r="B164">
        <f t="shared" si="2"/>
        <v>0</v>
      </c>
    </row>
    <row r="165" spans="2:2" x14ac:dyDescent="0.2">
      <c r="B165">
        <f t="shared" si="2"/>
        <v>0</v>
      </c>
    </row>
    <row r="166" spans="2:2" x14ac:dyDescent="0.2">
      <c r="B166">
        <f t="shared" si="2"/>
        <v>0</v>
      </c>
    </row>
    <row r="167" spans="2:2" x14ac:dyDescent="0.2">
      <c r="B167">
        <f t="shared" si="2"/>
        <v>0</v>
      </c>
    </row>
    <row r="168" spans="2:2" x14ac:dyDescent="0.2">
      <c r="B168">
        <f t="shared" si="2"/>
        <v>0</v>
      </c>
    </row>
    <row r="169" spans="2:2" x14ac:dyDescent="0.2">
      <c r="B169">
        <f t="shared" si="2"/>
        <v>0</v>
      </c>
    </row>
    <row r="170" spans="2:2" x14ac:dyDescent="0.2">
      <c r="B170">
        <f t="shared" si="2"/>
        <v>0</v>
      </c>
    </row>
    <row r="171" spans="2:2" x14ac:dyDescent="0.2">
      <c r="B171">
        <f t="shared" si="2"/>
        <v>0</v>
      </c>
    </row>
    <row r="172" spans="2:2" x14ac:dyDescent="0.2">
      <c r="B172">
        <f t="shared" si="2"/>
        <v>0</v>
      </c>
    </row>
    <row r="173" spans="2:2" x14ac:dyDescent="0.2">
      <c r="B173">
        <f t="shared" si="2"/>
        <v>0</v>
      </c>
    </row>
    <row r="174" spans="2:2" x14ac:dyDescent="0.2">
      <c r="B174">
        <f t="shared" si="2"/>
        <v>0</v>
      </c>
    </row>
    <row r="175" spans="2:2" x14ac:dyDescent="0.2">
      <c r="B175">
        <f t="shared" si="2"/>
        <v>0</v>
      </c>
    </row>
    <row r="176" spans="2:2" x14ac:dyDescent="0.2">
      <c r="B176">
        <f t="shared" si="2"/>
        <v>0</v>
      </c>
    </row>
    <row r="177" spans="2:2" x14ac:dyDescent="0.2">
      <c r="B177">
        <f t="shared" si="2"/>
        <v>0</v>
      </c>
    </row>
    <row r="178" spans="2:2" x14ac:dyDescent="0.2">
      <c r="B178">
        <f t="shared" si="2"/>
        <v>0</v>
      </c>
    </row>
    <row r="179" spans="2:2" x14ac:dyDescent="0.2">
      <c r="B179">
        <f t="shared" si="2"/>
        <v>0</v>
      </c>
    </row>
    <row r="180" spans="2:2" x14ac:dyDescent="0.2">
      <c r="B180">
        <f t="shared" si="2"/>
        <v>0</v>
      </c>
    </row>
    <row r="181" spans="2:2" x14ac:dyDescent="0.2">
      <c r="B181">
        <f t="shared" si="2"/>
        <v>0</v>
      </c>
    </row>
    <row r="182" spans="2:2" x14ac:dyDescent="0.2">
      <c r="B182">
        <f t="shared" si="2"/>
        <v>0</v>
      </c>
    </row>
    <row r="183" spans="2:2" x14ac:dyDescent="0.2">
      <c r="B183">
        <f t="shared" si="2"/>
        <v>0</v>
      </c>
    </row>
    <row r="184" spans="2:2" x14ac:dyDescent="0.2">
      <c r="B184">
        <f t="shared" si="2"/>
        <v>0</v>
      </c>
    </row>
    <row r="185" spans="2:2" x14ac:dyDescent="0.2">
      <c r="B185">
        <f t="shared" si="2"/>
        <v>0</v>
      </c>
    </row>
    <row r="186" spans="2:2" x14ac:dyDescent="0.2">
      <c r="B186">
        <f t="shared" si="2"/>
        <v>0</v>
      </c>
    </row>
    <row r="187" spans="2:2" x14ac:dyDescent="0.2">
      <c r="B187">
        <f t="shared" si="2"/>
        <v>0</v>
      </c>
    </row>
    <row r="188" spans="2:2" x14ac:dyDescent="0.2">
      <c r="B188">
        <f t="shared" si="2"/>
        <v>0</v>
      </c>
    </row>
    <row r="189" spans="2:2" x14ac:dyDescent="0.2">
      <c r="B189">
        <f t="shared" si="2"/>
        <v>0</v>
      </c>
    </row>
    <row r="190" spans="2:2" x14ac:dyDescent="0.2">
      <c r="B190">
        <f t="shared" si="2"/>
        <v>0</v>
      </c>
    </row>
    <row r="191" spans="2:2" x14ac:dyDescent="0.2">
      <c r="B191">
        <f t="shared" si="2"/>
        <v>0</v>
      </c>
    </row>
    <row r="192" spans="2:2" x14ac:dyDescent="0.2">
      <c r="B192">
        <f t="shared" si="2"/>
        <v>0</v>
      </c>
    </row>
    <row r="193" spans="2:2" x14ac:dyDescent="0.2">
      <c r="B193">
        <f t="shared" si="2"/>
        <v>0</v>
      </c>
    </row>
    <row r="194" spans="2:2" x14ac:dyDescent="0.2">
      <c r="B194">
        <f t="shared" si="2"/>
        <v>0</v>
      </c>
    </row>
    <row r="195" spans="2:2" x14ac:dyDescent="0.2">
      <c r="B195">
        <f t="shared" si="2"/>
        <v>0</v>
      </c>
    </row>
    <row r="196" spans="2:2" x14ac:dyDescent="0.2">
      <c r="B196">
        <f t="shared" si="2"/>
        <v>0</v>
      </c>
    </row>
    <row r="197" spans="2:2" x14ac:dyDescent="0.2">
      <c r="B197">
        <f t="shared" si="2"/>
        <v>0</v>
      </c>
    </row>
    <row r="198" spans="2:2" x14ac:dyDescent="0.2">
      <c r="B198">
        <f t="shared" si="2"/>
        <v>0</v>
      </c>
    </row>
    <row r="199" spans="2:2" x14ac:dyDescent="0.2">
      <c r="B199">
        <f t="shared" si="2"/>
        <v>0</v>
      </c>
    </row>
    <row r="200" spans="2:2" x14ac:dyDescent="0.2">
      <c r="B200">
        <f t="shared" ref="B200:B247" si="3">IF(C200&gt;0,B199+1,0)</f>
        <v>0</v>
      </c>
    </row>
    <row r="201" spans="2:2" x14ac:dyDescent="0.2">
      <c r="B201">
        <f t="shared" si="3"/>
        <v>0</v>
      </c>
    </row>
    <row r="202" spans="2:2" x14ac:dyDescent="0.2">
      <c r="B202">
        <f t="shared" si="3"/>
        <v>0</v>
      </c>
    </row>
    <row r="203" spans="2:2" x14ac:dyDescent="0.2">
      <c r="B203">
        <f t="shared" si="3"/>
        <v>0</v>
      </c>
    </row>
    <row r="204" spans="2:2" x14ac:dyDescent="0.2">
      <c r="B204">
        <f t="shared" si="3"/>
        <v>0</v>
      </c>
    </row>
    <row r="205" spans="2:2" x14ac:dyDescent="0.2">
      <c r="B205">
        <f t="shared" si="3"/>
        <v>0</v>
      </c>
    </row>
    <row r="206" spans="2:2" x14ac:dyDescent="0.2">
      <c r="B206">
        <f t="shared" si="3"/>
        <v>0</v>
      </c>
    </row>
    <row r="207" spans="2:2" x14ac:dyDescent="0.2">
      <c r="B207">
        <f t="shared" si="3"/>
        <v>0</v>
      </c>
    </row>
    <row r="208" spans="2:2" x14ac:dyDescent="0.2">
      <c r="B208">
        <f t="shared" si="3"/>
        <v>0</v>
      </c>
    </row>
    <row r="209" spans="2:2" x14ac:dyDescent="0.2">
      <c r="B209">
        <f t="shared" si="3"/>
        <v>0</v>
      </c>
    </row>
    <row r="210" spans="2:2" x14ac:dyDescent="0.2">
      <c r="B210">
        <f t="shared" si="3"/>
        <v>0</v>
      </c>
    </row>
    <row r="211" spans="2:2" x14ac:dyDescent="0.2">
      <c r="B211">
        <f t="shared" si="3"/>
        <v>0</v>
      </c>
    </row>
    <row r="212" spans="2:2" x14ac:dyDescent="0.2">
      <c r="B212">
        <f t="shared" si="3"/>
        <v>0</v>
      </c>
    </row>
    <row r="213" spans="2:2" x14ac:dyDescent="0.2">
      <c r="B213">
        <f t="shared" si="3"/>
        <v>0</v>
      </c>
    </row>
    <row r="214" spans="2:2" x14ac:dyDescent="0.2">
      <c r="B214">
        <f t="shared" si="3"/>
        <v>0</v>
      </c>
    </row>
    <row r="215" spans="2:2" x14ac:dyDescent="0.2">
      <c r="B215">
        <f t="shared" si="3"/>
        <v>0</v>
      </c>
    </row>
    <row r="216" spans="2:2" x14ac:dyDescent="0.2">
      <c r="B216">
        <f t="shared" si="3"/>
        <v>0</v>
      </c>
    </row>
    <row r="217" spans="2:2" x14ac:dyDescent="0.2">
      <c r="B217">
        <f t="shared" si="3"/>
        <v>0</v>
      </c>
    </row>
    <row r="218" spans="2:2" x14ac:dyDescent="0.2">
      <c r="B218">
        <f t="shared" si="3"/>
        <v>0</v>
      </c>
    </row>
    <row r="219" spans="2:2" x14ac:dyDescent="0.2">
      <c r="B219">
        <f t="shared" si="3"/>
        <v>0</v>
      </c>
    </row>
    <row r="220" spans="2:2" x14ac:dyDescent="0.2">
      <c r="B220">
        <f t="shared" si="3"/>
        <v>0</v>
      </c>
    </row>
    <row r="221" spans="2:2" x14ac:dyDescent="0.2">
      <c r="B221">
        <f t="shared" si="3"/>
        <v>0</v>
      </c>
    </row>
    <row r="222" spans="2:2" x14ac:dyDescent="0.2">
      <c r="B222">
        <f t="shared" si="3"/>
        <v>0</v>
      </c>
    </row>
    <row r="223" spans="2:2" x14ac:dyDescent="0.2">
      <c r="B223">
        <f t="shared" si="3"/>
        <v>0</v>
      </c>
    </row>
    <row r="224" spans="2:2" x14ac:dyDescent="0.2">
      <c r="B224">
        <f t="shared" si="3"/>
        <v>0</v>
      </c>
    </row>
    <row r="225" spans="2:2" x14ac:dyDescent="0.2">
      <c r="B225">
        <f t="shared" si="3"/>
        <v>0</v>
      </c>
    </row>
    <row r="226" spans="2:2" x14ac:dyDescent="0.2">
      <c r="B226">
        <f t="shared" si="3"/>
        <v>0</v>
      </c>
    </row>
    <row r="227" spans="2:2" x14ac:dyDescent="0.2">
      <c r="B227">
        <f t="shared" si="3"/>
        <v>0</v>
      </c>
    </row>
    <row r="228" spans="2:2" x14ac:dyDescent="0.2">
      <c r="B228">
        <f t="shared" si="3"/>
        <v>0</v>
      </c>
    </row>
    <row r="229" spans="2:2" x14ac:dyDescent="0.2">
      <c r="B229">
        <f t="shared" si="3"/>
        <v>0</v>
      </c>
    </row>
    <row r="230" spans="2:2" x14ac:dyDescent="0.2">
      <c r="B230">
        <f t="shared" si="3"/>
        <v>0</v>
      </c>
    </row>
    <row r="231" spans="2:2" x14ac:dyDescent="0.2">
      <c r="B231">
        <f t="shared" si="3"/>
        <v>0</v>
      </c>
    </row>
    <row r="232" spans="2:2" x14ac:dyDescent="0.2">
      <c r="B232">
        <f t="shared" si="3"/>
        <v>0</v>
      </c>
    </row>
    <row r="233" spans="2:2" x14ac:dyDescent="0.2">
      <c r="B233">
        <f t="shared" si="3"/>
        <v>0</v>
      </c>
    </row>
    <row r="234" spans="2:2" x14ac:dyDescent="0.2">
      <c r="B234">
        <f t="shared" si="3"/>
        <v>0</v>
      </c>
    </row>
    <row r="235" spans="2:2" x14ac:dyDescent="0.2">
      <c r="B235">
        <f t="shared" si="3"/>
        <v>0</v>
      </c>
    </row>
    <row r="236" spans="2:2" x14ac:dyDescent="0.2">
      <c r="B236">
        <f t="shared" si="3"/>
        <v>0</v>
      </c>
    </row>
    <row r="237" spans="2:2" x14ac:dyDescent="0.2">
      <c r="B237">
        <f t="shared" si="3"/>
        <v>0</v>
      </c>
    </row>
    <row r="238" spans="2:2" x14ac:dyDescent="0.2">
      <c r="B238">
        <f t="shared" si="3"/>
        <v>0</v>
      </c>
    </row>
    <row r="239" spans="2:2" x14ac:dyDescent="0.2">
      <c r="B239">
        <f t="shared" si="3"/>
        <v>0</v>
      </c>
    </row>
    <row r="240" spans="2:2" x14ac:dyDescent="0.2">
      <c r="B240">
        <f t="shared" si="3"/>
        <v>0</v>
      </c>
    </row>
    <row r="241" spans="2:2" x14ac:dyDescent="0.2">
      <c r="B241">
        <f t="shared" si="3"/>
        <v>0</v>
      </c>
    </row>
    <row r="242" spans="2:2" x14ac:dyDescent="0.2">
      <c r="B242">
        <f t="shared" si="3"/>
        <v>0</v>
      </c>
    </row>
    <row r="243" spans="2:2" x14ac:dyDescent="0.2">
      <c r="B243">
        <f t="shared" si="3"/>
        <v>0</v>
      </c>
    </row>
    <row r="244" spans="2:2" x14ac:dyDescent="0.2">
      <c r="B244">
        <f t="shared" si="3"/>
        <v>0</v>
      </c>
    </row>
    <row r="245" spans="2:2" x14ac:dyDescent="0.2">
      <c r="B245">
        <f t="shared" si="3"/>
        <v>0</v>
      </c>
    </row>
    <row r="246" spans="2:2" x14ac:dyDescent="0.2">
      <c r="B246">
        <f t="shared" si="3"/>
        <v>0</v>
      </c>
    </row>
    <row r="247" spans="2:2" x14ac:dyDescent="0.2">
      <c r="B247">
        <f t="shared" si="3"/>
        <v>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4"/>
  <dimension ref="C2:AQ45"/>
  <sheetViews>
    <sheetView rightToLeft="1" workbookViewId="0">
      <selection activeCell="AL8" sqref="AL8"/>
    </sheetView>
  </sheetViews>
  <sheetFormatPr defaultRowHeight="12.75" x14ac:dyDescent="0.2"/>
  <cols>
    <col min="4" max="4" width="10.85546875" customWidth="1"/>
    <col min="5" max="6" width="11.7109375" customWidth="1"/>
    <col min="8" max="8" width="11.7109375" style="1021" customWidth="1"/>
    <col min="9" max="9" width="12.28515625" style="1021" customWidth="1"/>
    <col min="10" max="10" width="12.5703125" customWidth="1"/>
    <col min="11" max="11" width="13.42578125" customWidth="1"/>
    <col min="12" max="12" width="23.28515625" customWidth="1"/>
    <col min="13" max="13" width="23.85546875" customWidth="1"/>
    <col min="16" max="16" width="11.42578125" style="1021" customWidth="1"/>
    <col min="17" max="17" width="10.28515625" style="1021" customWidth="1"/>
    <col min="18" max="18" width="13.140625" customWidth="1"/>
    <col min="19" max="19" width="26.28515625" customWidth="1"/>
    <col min="20" max="20" width="12.28515625" customWidth="1"/>
    <col min="21" max="21" width="9.140625" customWidth="1"/>
    <col min="22" max="22" width="9.140625" style="1021"/>
    <col min="28" max="28" width="12.7109375" customWidth="1"/>
    <col min="31" max="31" width="14.140625" customWidth="1"/>
  </cols>
  <sheetData>
    <row r="2" spans="3:43" ht="23.25" x14ac:dyDescent="0.35">
      <c r="J2" s="10" t="s">
        <v>177</v>
      </c>
    </row>
    <row r="5" spans="3:43" ht="71.25" customHeight="1" x14ac:dyDescent="0.2">
      <c r="C5" s="4" t="s">
        <v>0</v>
      </c>
      <c r="D5" s="4" t="s">
        <v>1</v>
      </c>
      <c r="E5" s="4" t="s">
        <v>2</v>
      </c>
      <c r="F5" s="4" t="s">
        <v>37</v>
      </c>
      <c r="G5" s="4" t="s">
        <v>83</v>
      </c>
      <c r="H5" s="1022" t="s">
        <v>3</v>
      </c>
      <c r="I5" s="1022" t="s">
        <v>4</v>
      </c>
      <c r="J5" s="4" t="s">
        <v>5</v>
      </c>
      <c r="K5" s="4" t="s">
        <v>6</v>
      </c>
      <c r="L5" s="4" t="s">
        <v>7</v>
      </c>
      <c r="M5" s="4" t="s">
        <v>8</v>
      </c>
      <c r="N5" s="4" t="s">
        <v>9</v>
      </c>
      <c r="O5" s="4" t="s">
        <v>10</v>
      </c>
      <c r="P5" s="1022" t="s">
        <v>103</v>
      </c>
      <c r="Q5" s="1022" t="s">
        <v>11</v>
      </c>
      <c r="R5" s="4" t="s">
        <v>12</v>
      </c>
      <c r="S5" s="4" t="s">
        <v>346</v>
      </c>
      <c r="T5" s="4" t="s">
        <v>347</v>
      </c>
      <c r="U5" s="4" t="s">
        <v>348</v>
      </c>
      <c r="V5" s="1022" t="s">
        <v>349</v>
      </c>
      <c r="W5" s="4" t="s">
        <v>350</v>
      </c>
      <c r="X5" s="4" t="s">
        <v>351</v>
      </c>
      <c r="Y5" s="4" t="s">
        <v>352</v>
      </c>
      <c r="Z5" s="4" t="s">
        <v>353</v>
      </c>
      <c r="AA5" s="4" t="s">
        <v>354</v>
      </c>
      <c r="AB5" s="4" t="s">
        <v>355</v>
      </c>
      <c r="AC5" s="4" t="s">
        <v>356</v>
      </c>
      <c r="AD5" s="4" t="s">
        <v>357</v>
      </c>
      <c r="AE5" s="4" t="s">
        <v>358</v>
      </c>
      <c r="AF5" s="4" t="s">
        <v>359</v>
      </c>
      <c r="AG5" s="4" t="s">
        <v>360</v>
      </c>
      <c r="AH5" s="4" t="s">
        <v>538</v>
      </c>
      <c r="AI5" s="4"/>
      <c r="AJ5" s="4" t="s">
        <v>170</v>
      </c>
      <c r="AK5" s="4" t="s">
        <v>1049</v>
      </c>
      <c r="AL5" s="4" t="s">
        <v>1050</v>
      </c>
      <c r="AM5" s="4" t="s">
        <v>1068</v>
      </c>
      <c r="AN5" s="4" t="s">
        <v>352</v>
      </c>
      <c r="AO5" s="4" t="s">
        <v>1153</v>
      </c>
      <c r="AP5" s="4" t="s">
        <v>1154</v>
      </c>
    </row>
    <row r="6" spans="3:43" x14ac:dyDescent="0.2">
      <c r="C6">
        <v>93388</v>
      </c>
      <c r="D6">
        <v>56078603</v>
      </c>
      <c r="E6" t="s">
        <v>1205</v>
      </c>
      <c r="F6" t="s">
        <v>911</v>
      </c>
      <c r="G6">
        <v>1</v>
      </c>
      <c r="H6" s="1021" t="s">
        <v>1206</v>
      </c>
      <c r="I6" s="1021" t="s">
        <v>1207</v>
      </c>
      <c r="L6" t="s">
        <v>857</v>
      </c>
      <c r="M6" t="s">
        <v>508</v>
      </c>
      <c r="N6" t="s">
        <v>1175</v>
      </c>
      <c r="O6" t="s">
        <v>1208</v>
      </c>
      <c r="P6" s="1021" t="s">
        <v>1209</v>
      </c>
      <c r="Q6" s="1021" t="s">
        <v>1210</v>
      </c>
      <c r="AE6">
        <v>0</v>
      </c>
      <c r="AF6">
        <v>0</v>
      </c>
      <c r="AG6" t="s">
        <v>1211</v>
      </c>
      <c r="AH6" t="s">
        <v>1212</v>
      </c>
      <c r="AJ6" t="s">
        <v>1213</v>
      </c>
      <c r="AK6">
        <v>1</v>
      </c>
      <c r="AM6">
        <v>1</v>
      </c>
      <c r="AQ6" t="str">
        <f t="shared" ref="AQ6:AQ40" si="0">IF(Y6=1,"כן",IF(Y6=2,"לא"," "))</f>
        <v xml:space="preserve"> </v>
      </c>
    </row>
    <row r="7" spans="3:43" x14ac:dyDescent="0.2">
      <c r="C7">
        <v>96098</v>
      </c>
      <c r="D7">
        <v>56078603</v>
      </c>
      <c r="E7" t="s">
        <v>1214</v>
      </c>
      <c r="F7" t="s">
        <v>1215</v>
      </c>
      <c r="H7" s="1021" t="s">
        <v>1173</v>
      </c>
      <c r="I7" s="1021" t="s">
        <v>1216</v>
      </c>
      <c r="M7" t="s">
        <v>509</v>
      </c>
      <c r="N7" t="s">
        <v>1186</v>
      </c>
      <c r="O7" t="s">
        <v>1217</v>
      </c>
      <c r="P7" s="1021" t="s">
        <v>1218</v>
      </c>
      <c r="Q7" s="1021" t="s">
        <v>1173</v>
      </c>
      <c r="R7" t="s">
        <v>1219</v>
      </c>
      <c r="T7" t="s">
        <v>1220</v>
      </c>
      <c r="AB7">
        <v>2</v>
      </c>
      <c r="AG7" t="s">
        <v>1221</v>
      </c>
      <c r="AH7" t="s">
        <v>1222</v>
      </c>
      <c r="AJ7" t="s">
        <v>1223</v>
      </c>
      <c r="AK7">
        <v>2</v>
      </c>
      <c r="AL7" t="s">
        <v>1224</v>
      </c>
      <c r="AM7">
        <v>2</v>
      </c>
      <c r="AN7">
        <v>3</v>
      </c>
      <c r="AQ7" t="str">
        <f t="shared" si="0"/>
        <v xml:space="preserve"> </v>
      </c>
    </row>
    <row r="8" spans="3:43" x14ac:dyDescent="0.2">
      <c r="C8">
        <v>96099</v>
      </c>
      <c r="D8">
        <v>56078603</v>
      </c>
      <c r="E8" t="s">
        <v>1225</v>
      </c>
      <c r="F8" t="s">
        <v>1215</v>
      </c>
      <c r="H8" s="1021" t="s">
        <v>1173</v>
      </c>
      <c r="I8" s="1021" t="s">
        <v>1216</v>
      </c>
      <c r="M8" t="s">
        <v>508</v>
      </c>
      <c r="N8" t="s">
        <v>1186</v>
      </c>
      <c r="O8" t="s">
        <v>1217</v>
      </c>
      <c r="P8" s="1021" t="s">
        <v>1218</v>
      </c>
      <c r="Q8" s="1021" t="s">
        <v>1173</v>
      </c>
      <c r="R8" t="s">
        <v>1219</v>
      </c>
      <c r="T8" t="s">
        <v>1220</v>
      </c>
      <c r="AB8">
        <v>2</v>
      </c>
      <c r="AG8" t="s">
        <v>1226</v>
      </c>
      <c r="AH8" t="s">
        <v>1222</v>
      </c>
      <c r="AJ8" t="s">
        <v>1223</v>
      </c>
      <c r="AK8">
        <v>2</v>
      </c>
      <c r="AL8" t="s">
        <v>1224</v>
      </c>
      <c r="AM8">
        <v>1</v>
      </c>
      <c r="AN8">
        <v>3</v>
      </c>
      <c r="AQ8" t="str">
        <f t="shared" si="0"/>
        <v xml:space="preserve"> </v>
      </c>
    </row>
    <row r="9" spans="3:43" x14ac:dyDescent="0.2">
      <c r="C9">
        <v>96103</v>
      </c>
      <c r="D9">
        <v>56078603</v>
      </c>
      <c r="E9" t="s">
        <v>1227</v>
      </c>
      <c r="F9" t="s">
        <v>1189</v>
      </c>
      <c r="H9" s="1021" t="s">
        <v>1173</v>
      </c>
      <c r="I9" s="1021" t="s">
        <v>1228</v>
      </c>
      <c r="J9" t="s">
        <v>1229</v>
      </c>
      <c r="K9" t="s">
        <v>1230</v>
      </c>
      <c r="M9" t="s">
        <v>508</v>
      </c>
      <c r="N9" t="s">
        <v>1186</v>
      </c>
      <c r="O9" t="s">
        <v>1231</v>
      </c>
      <c r="P9" s="1021" t="s">
        <v>1228</v>
      </c>
      <c r="Q9" s="1021" t="s">
        <v>1232</v>
      </c>
      <c r="R9" t="s">
        <v>1233</v>
      </c>
      <c r="T9" t="s">
        <v>1234</v>
      </c>
      <c r="V9" s="1021" t="s">
        <v>1228</v>
      </c>
      <c r="W9">
        <v>1</v>
      </c>
      <c r="X9">
        <v>30</v>
      </c>
      <c r="Y9">
        <v>2</v>
      </c>
      <c r="AA9">
        <v>0</v>
      </c>
      <c r="AB9">
        <v>2</v>
      </c>
      <c r="AE9">
        <v>2</v>
      </c>
      <c r="AF9">
        <v>2</v>
      </c>
      <c r="AG9" t="s">
        <v>1235</v>
      </c>
      <c r="AH9" t="s">
        <v>1196</v>
      </c>
      <c r="AJ9" t="s">
        <v>1213</v>
      </c>
      <c r="AK9">
        <v>1</v>
      </c>
      <c r="AL9" t="s">
        <v>610</v>
      </c>
      <c r="AM9">
        <v>1</v>
      </c>
      <c r="AN9">
        <v>2</v>
      </c>
      <c r="AO9" t="s">
        <v>1236</v>
      </c>
      <c r="AP9">
        <v>129.94999999999999</v>
      </c>
      <c r="AQ9" t="str">
        <f t="shared" si="0"/>
        <v>לא</v>
      </c>
    </row>
    <row r="10" spans="3:43" x14ac:dyDescent="0.2">
      <c r="C10">
        <v>96104</v>
      </c>
      <c r="D10">
        <v>56078603</v>
      </c>
      <c r="E10" t="s">
        <v>1237</v>
      </c>
      <c r="F10" t="s">
        <v>1238</v>
      </c>
      <c r="H10" s="1021" t="s">
        <v>1173</v>
      </c>
      <c r="I10" s="1021" t="s">
        <v>1239</v>
      </c>
      <c r="M10" t="s">
        <v>508</v>
      </c>
      <c r="N10" t="s">
        <v>1175</v>
      </c>
      <c r="O10" t="s">
        <v>1240</v>
      </c>
      <c r="P10" s="1021" t="s">
        <v>1241</v>
      </c>
      <c r="Q10" s="1021" t="s">
        <v>1242</v>
      </c>
      <c r="R10" t="s">
        <v>1243</v>
      </c>
      <c r="T10" t="s">
        <v>1244</v>
      </c>
      <c r="AB10">
        <v>2</v>
      </c>
      <c r="AG10" t="s">
        <v>1245</v>
      </c>
      <c r="AH10" t="s">
        <v>1246</v>
      </c>
      <c r="AJ10" t="s">
        <v>1223</v>
      </c>
      <c r="AK10">
        <v>2</v>
      </c>
      <c r="AL10" t="s">
        <v>1224</v>
      </c>
      <c r="AM10">
        <v>1</v>
      </c>
      <c r="AN10">
        <v>3</v>
      </c>
      <c r="AQ10" t="str">
        <f t="shared" si="0"/>
        <v xml:space="preserve"> </v>
      </c>
    </row>
    <row r="11" spans="3:43" x14ac:dyDescent="0.2">
      <c r="C11">
        <v>96105</v>
      </c>
      <c r="D11">
        <v>56078603</v>
      </c>
      <c r="E11" t="s">
        <v>1247</v>
      </c>
      <c r="F11" t="s">
        <v>1238</v>
      </c>
      <c r="H11" s="1021" t="s">
        <v>1173</v>
      </c>
      <c r="I11" s="1021" t="s">
        <v>1248</v>
      </c>
      <c r="M11" t="s">
        <v>508</v>
      </c>
      <c r="N11" t="s">
        <v>1175</v>
      </c>
      <c r="O11" t="s">
        <v>1249</v>
      </c>
      <c r="P11" s="1021" t="s">
        <v>1241</v>
      </c>
      <c r="Q11" s="1021" t="s">
        <v>1250</v>
      </c>
      <c r="R11" t="s">
        <v>1251</v>
      </c>
      <c r="T11" t="s">
        <v>1252</v>
      </c>
      <c r="AB11">
        <v>2</v>
      </c>
      <c r="AG11" t="s">
        <v>1253</v>
      </c>
      <c r="AH11" t="s">
        <v>1246</v>
      </c>
      <c r="AJ11" t="s">
        <v>1223</v>
      </c>
      <c r="AK11">
        <v>2</v>
      </c>
      <c r="AL11" t="s">
        <v>1224</v>
      </c>
      <c r="AM11">
        <v>1</v>
      </c>
      <c r="AN11">
        <v>3</v>
      </c>
      <c r="AQ11" t="str">
        <f t="shared" si="0"/>
        <v xml:space="preserve"> </v>
      </c>
    </row>
    <row r="12" spans="3:43" x14ac:dyDescent="0.2">
      <c r="C12">
        <v>96107</v>
      </c>
      <c r="D12">
        <v>56078603</v>
      </c>
      <c r="E12" t="s">
        <v>1254</v>
      </c>
      <c r="F12" t="s">
        <v>1238</v>
      </c>
      <c r="H12" s="1021" t="s">
        <v>1173</v>
      </c>
      <c r="I12" s="1021" t="s">
        <v>1255</v>
      </c>
      <c r="J12" t="s">
        <v>1229</v>
      </c>
      <c r="K12" t="s">
        <v>1256</v>
      </c>
      <c r="M12" t="s">
        <v>508</v>
      </c>
      <c r="N12" t="s">
        <v>1175</v>
      </c>
      <c r="O12" t="s">
        <v>1217</v>
      </c>
      <c r="P12" s="1021" t="s">
        <v>1255</v>
      </c>
      <c r="Q12" s="1021" t="s">
        <v>1257</v>
      </c>
      <c r="R12" t="s">
        <v>1258</v>
      </c>
      <c r="T12" t="s">
        <v>1259</v>
      </c>
      <c r="W12">
        <v>2</v>
      </c>
      <c r="Y12">
        <v>2</v>
      </c>
      <c r="AB12">
        <v>2</v>
      </c>
      <c r="AE12">
        <v>2</v>
      </c>
      <c r="AF12">
        <v>3</v>
      </c>
      <c r="AG12" t="s">
        <v>1260</v>
      </c>
      <c r="AH12" t="s">
        <v>1246</v>
      </c>
      <c r="AJ12" t="s">
        <v>1213</v>
      </c>
      <c r="AK12">
        <v>1</v>
      </c>
      <c r="AL12" t="s">
        <v>610</v>
      </c>
      <c r="AM12">
        <v>1</v>
      </c>
      <c r="AN12">
        <v>2</v>
      </c>
      <c r="AQ12" t="str">
        <f t="shared" si="0"/>
        <v>לא</v>
      </c>
    </row>
    <row r="13" spans="3:43" x14ac:dyDescent="0.2">
      <c r="C13">
        <v>96109</v>
      </c>
      <c r="D13">
        <v>56078603</v>
      </c>
      <c r="E13" t="s">
        <v>1261</v>
      </c>
      <c r="F13" t="s">
        <v>1262</v>
      </c>
      <c r="H13" s="1021" t="s">
        <v>1173</v>
      </c>
      <c r="I13" s="1021" t="s">
        <v>1263</v>
      </c>
      <c r="M13" t="s">
        <v>508</v>
      </c>
      <c r="N13" t="s">
        <v>1175</v>
      </c>
      <c r="O13" t="s">
        <v>1264</v>
      </c>
      <c r="P13" s="1021" t="s">
        <v>1265</v>
      </c>
      <c r="Q13" s="1021" t="s">
        <v>1266</v>
      </c>
      <c r="R13" t="s">
        <v>1267</v>
      </c>
      <c r="T13" t="s">
        <v>1268</v>
      </c>
      <c r="V13" s="1021" t="s">
        <v>1269</v>
      </c>
      <c r="AB13">
        <v>2</v>
      </c>
      <c r="AH13" t="s">
        <v>1270</v>
      </c>
      <c r="AJ13" t="s">
        <v>1223</v>
      </c>
      <c r="AK13">
        <v>2</v>
      </c>
      <c r="AL13" t="s">
        <v>1224</v>
      </c>
      <c r="AM13">
        <v>1</v>
      </c>
      <c r="AN13">
        <v>3</v>
      </c>
      <c r="AQ13" t="str">
        <f t="shared" si="0"/>
        <v xml:space="preserve"> </v>
      </c>
    </row>
    <row r="14" spans="3:43" x14ac:dyDescent="0.2">
      <c r="C14">
        <v>96110</v>
      </c>
      <c r="D14">
        <v>56078603</v>
      </c>
      <c r="E14" t="s">
        <v>1271</v>
      </c>
      <c r="F14" t="s">
        <v>1272</v>
      </c>
      <c r="H14" s="1021" t="s">
        <v>1173</v>
      </c>
      <c r="I14" s="1021" t="s">
        <v>1273</v>
      </c>
      <c r="J14" t="s">
        <v>1274</v>
      </c>
      <c r="K14" t="s">
        <v>1230</v>
      </c>
      <c r="M14" t="s">
        <v>508</v>
      </c>
      <c r="N14" t="s">
        <v>1175</v>
      </c>
      <c r="O14" t="s">
        <v>1275</v>
      </c>
      <c r="P14" s="1021" t="s">
        <v>1273</v>
      </c>
      <c r="Q14" s="1021" t="s">
        <v>1276</v>
      </c>
      <c r="R14" t="s">
        <v>1277</v>
      </c>
      <c r="T14" t="s">
        <v>1278</v>
      </c>
      <c r="W14">
        <v>1</v>
      </c>
      <c r="X14">
        <v>30</v>
      </c>
      <c r="Y14">
        <v>2</v>
      </c>
      <c r="AE14">
        <v>1</v>
      </c>
      <c r="AF14">
        <v>2</v>
      </c>
      <c r="AG14" t="s">
        <v>1271</v>
      </c>
      <c r="AH14" t="s">
        <v>1279</v>
      </c>
      <c r="AJ14" t="s">
        <v>1213</v>
      </c>
      <c r="AK14">
        <v>1</v>
      </c>
      <c r="AL14" t="s">
        <v>610</v>
      </c>
      <c r="AM14">
        <v>1</v>
      </c>
      <c r="AN14">
        <v>2</v>
      </c>
      <c r="AQ14" t="str">
        <f t="shared" si="0"/>
        <v>לא</v>
      </c>
    </row>
    <row r="15" spans="3:43" x14ac:dyDescent="0.2">
      <c r="C15">
        <v>96111</v>
      </c>
      <c r="D15">
        <v>56078603</v>
      </c>
      <c r="E15" t="s">
        <v>1280</v>
      </c>
      <c r="F15" t="s">
        <v>1281</v>
      </c>
      <c r="H15" s="1021" t="s">
        <v>1173</v>
      </c>
      <c r="I15" s="1021" t="s">
        <v>1282</v>
      </c>
      <c r="L15" t="s">
        <v>1283</v>
      </c>
      <c r="M15" t="s">
        <v>508</v>
      </c>
      <c r="N15" t="s">
        <v>1186</v>
      </c>
      <c r="O15" t="s">
        <v>1284</v>
      </c>
      <c r="P15" s="1021" t="s">
        <v>1282</v>
      </c>
      <c r="Q15" s="1021" t="s">
        <v>1282</v>
      </c>
      <c r="R15" t="s">
        <v>1285</v>
      </c>
      <c r="S15">
        <v>10225</v>
      </c>
      <c r="T15" t="s">
        <v>1286</v>
      </c>
      <c r="U15">
        <v>2</v>
      </c>
      <c r="V15" s="1021" t="s">
        <v>1282</v>
      </c>
      <c r="W15">
        <v>2</v>
      </c>
      <c r="Y15">
        <v>2</v>
      </c>
      <c r="AA15">
        <v>0</v>
      </c>
      <c r="AG15" t="s">
        <v>1280</v>
      </c>
      <c r="AH15" t="s">
        <v>1287</v>
      </c>
      <c r="AJ15" t="s">
        <v>1223</v>
      </c>
      <c r="AK15">
        <v>2</v>
      </c>
      <c r="AL15" t="s">
        <v>1288</v>
      </c>
      <c r="AM15">
        <v>1</v>
      </c>
      <c r="AN15">
        <v>1</v>
      </c>
      <c r="AO15" t="s">
        <v>1236</v>
      </c>
      <c r="AP15">
        <v>180.72</v>
      </c>
      <c r="AQ15" t="str">
        <f t="shared" si="0"/>
        <v>לא</v>
      </c>
    </row>
    <row r="16" spans="3:43" x14ac:dyDescent="0.2">
      <c r="C16">
        <v>96112</v>
      </c>
      <c r="D16">
        <v>56078603</v>
      </c>
      <c r="E16" t="s">
        <v>1289</v>
      </c>
      <c r="F16" t="s">
        <v>1281</v>
      </c>
      <c r="H16" s="1021" t="s">
        <v>1173</v>
      </c>
      <c r="I16" s="1021" t="s">
        <v>1290</v>
      </c>
      <c r="L16" t="s">
        <v>1283</v>
      </c>
      <c r="M16" t="s">
        <v>509</v>
      </c>
      <c r="N16" t="s">
        <v>1186</v>
      </c>
      <c r="O16" t="s">
        <v>1200</v>
      </c>
      <c r="P16" s="1021" t="s">
        <v>1290</v>
      </c>
      <c r="Q16" s="1021" t="s">
        <v>1290</v>
      </c>
      <c r="R16" t="s">
        <v>1291</v>
      </c>
      <c r="S16">
        <v>12354</v>
      </c>
      <c r="T16" t="s">
        <v>1292</v>
      </c>
      <c r="U16">
        <v>2</v>
      </c>
      <c r="V16" s="1021" t="s">
        <v>1290</v>
      </c>
      <c r="W16">
        <v>2</v>
      </c>
      <c r="Y16">
        <v>2</v>
      </c>
      <c r="AA16">
        <v>0</v>
      </c>
      <c r="AG16" t="s">
        <v>1289</v>
      </c>
      <c r="AH16" t="s">
        <v>1287</v>
      </c>
      <c r="AJ16" t="s">
        <v>1223</v>
      </c>
      <c r="AK16">
        <v>2</v>
      </c>
      <c r="AL16" t="s">
        <v>1288</v>
      </c>
      <c r="AM16">
        <v>2</v>
      </c>
      <c r="AN16">
        <v>1</v>
      </c>
      <c r="AQ16" t="str">
        <f t="shared" si="0"/>
        <v>לא</v>
      </c>
    </row>
    <row r="17" spans="3:43" x14ac:dyDescent="0.2">
      <c r="C17">
        <v>96116</v>
      </c>
      <c r="D17">
        <v>56078603</v>
      </c>
      <c r="E17" t="s">
        <v>1293</v>
      </c>
      <c r="F17" t="s">
        <v>912</v>
      </c>
      <c r="H17" s="1021" t="s">
        <v>1173</v>
      </c>
      <c r="I17" s="1021" t="s">
        <v>1294</v>
      </c>
      <c r="L17" t="s">
        <v>857</v>
      </c>
      <c r="M17" t="s">
        <v>508</v>
      </c>
      <c r="N17" t="s">
        <v>1186</v>
      </c>
      <c r="O17" t="s">
        <v>1295</v>
      </c>
      <c r="P17" s="1021" t="s">
        <v>1294</v>
      </c>
      <c r="Q17" s="1021" t="s">
        <v>1296</v>
      </c>
      <c r="R17" t="s">
        <v>1297</v>
      </c>
      <c r="S17">
        <v>9198</v>
      </c>
      <c r="T17" t="s">
        <v>1298</v>
      </c>
      <c r="U17">
        <v>2</v>
      </c>
      <c r="V17" s="1021" t="s">
        <v>1299</v>
      </c>
      <c r="W17">
        <v>1</v>
      </c>
      <c r="X17">
        <v>100</v>
      </c>
      <c r="Y17">
        <v>2</v>
      </c>
      <c r="AA17">
        <v>0</v>
      </c>
      <c r="AG17" t="s">
        <v>1300</v>
      </c>
      <c r="AH17" t="s">
        <v>1301</v>
      </c>
      <c r="AJ17" t="s">
        <v>1213</v>
      </c>
      <c r="AK17">
        <v>1</v>
      </c>
      <c r="AL17" t="s">
        <v>1288</v>
      </c>
      <c r="AM17">
        <v>1</v>
      </c>
      <c r="AN17">
        <v>1</v>
      </c>
      <c r="AO17" t="s">
        <v>1302</v>
      </c>
      <c r="AP17">
        <v>105</v>
      </c>
      <c r="AQ17" t="str">
        <f t="shared" si="0"/>
        <v>לא</v>
      </c>
    </row>
    <row r="18" spans="3:43" x14ac:dyDescent="0.2">
      <c r="C18">
        <v>96117</v>
      </c>
      <c r="D18">
        <v>56078603</v>
      </c>
      <c r="E18" t="s">
        <v>1303</v>
      </c>
      <c r="F18" t="s">
        <v>912</v>
      </c>
      <c r="H18" s="1021" t="s">
        <v>1173</v>
      </c>
      <c r="I18" s="1021" t="s">
        <v>1299</v>
      </c>
      <c r="L18" t="s">
        <v>857</v>
      </c>
      <c r="M18" t="s">
        <v>508</v>
      </c>
      <c r="N18" t="s">
        <v>1175</v>
      </c>
      <c r="O18" t="s">
        <v>1295</v>
      </c>
      <c r="P18" s="1021" t="s">
        <v>1299</v>
      </c>
      <c r="Q18" s="1021" t="s">
        <v>1304</v>
      </c>
      <c r="R18" t="s">
        <v>1305</v>
      </c>
      <c r="S18">
        <v>9322</v>
      </c>
      <c r="T18" t="s">
        <v>1306</v>
      </c>
      <c r="U18">
        <v>2</v>
      </c>
      <c r="V18" s="1021" t="s">
        <v>1307</v>
      </c>
      <c r="W18">
        <v>2</v>
      </c>
      <c r="X18">
        <v>0</v>
      </c>
      <c r="Y18">
        <v>2</v>
      </c>
      <c r="AA18">
        <v>0</v>
      </c>
      <c r="AG18" t="s">
        <v>1308</v>
      </c>
      <c r="AH18" t="s">
        <v>1301</v>
      </c>
      <c r="AJ18" t="s">
        <v>1223</v>
      </c>
      <c r="AK18">
        <v>2</v>
      </c>
      <c r="AL18" t="s">
        <v>1288</v>
      </c>
      <c r="AM18">
        <v>1</v>
      </c>
      <c r="AN18">
        <v>1</v>
      </c>
      <c r="AQ18" t="str">
        <f t="shared" si="0"/>
        <v>לא</v>
      </c>
    </row>
    <row r="19" spans="3:43" x14ac:dyDescent="0.2">
      <c r="C19">
        <v>96118</v>
      </c>
      <c r="D19">
        <v>56078603</v>
      </c>
      <c r="E19" t="s">
        <v>1309</v>
      </c>
      <c r="F19" t="s">
        <v>912</v>
      </c>
      <c r="H19" s="1021" t="s">
        <v>1173</v>
      </c>
      <c r="I19" s="1021" t="s">
        <v>1310</v>
      </c>
      <c r="L19" t="s">
        <v>857</v>
      </c>
      <c r="M19" t="s">
        <v>509</v>
      </c>
      <c r="N19" t="s">
        <v>1186</v>
      </c>
      <c r="O19" t="s">
        <v>1295</v>
      </c>
      <c r="P19" s="1021" t="s">
        <v>1310</v>
      </c>
      <c r="Q19" s="1021" t="s">
        <v>1311</v>
      </c>
      <c r="R19" t="s">
        <v>1297</v>
      </c>
      <c r="S19">
        <v>9192</v>
      </c>
      <c r="T19" t="s">
        <v>1312</v>
      </c>
      <c r="U19">
        <v>2</v>
      </c>
      <c r="V19" s="1021" t="s">
        <v>1313</v>
      </c>
      <c r="W19">
        <v>2</v>
      </c>
      <c r="X19">
        <v>0</v>
      </c>
      <c r="Y19">
        <v>2</v>
      </c>
      <c r="AA19">
        <v>0</v>
      </c>
      <c r="AG19" t="s">
        <v>1314</v>
      </c>
      <c r="AH19" t="s">
        <v>1301</v>
      </c>
      <c r="AJ19" t="s">
        <v>1213</v>
      </c>
      <c r="AK19">
        <v>1</v>
      </c>
      <c r="AL19" t="s">
        <v>1288</v>
      </c>
      <c r="AM19">
        <v>2</v>
      </c>
      <c r="AN19">
        <v>1</v>
      </c>
      <c r="AO19" t="s">
        <v>1302</v>
      </c>
      <c r="AP19">
        <v>166</v>
      </c>
      <c r="AQ19" t="str">
        <f t="shared" si="0"/>
        <v>לא</v>
      </c>
    </row>
    <row r="20" spans="3:43" x14ac:dyDescent="0.2">
      <c r="C20">
        <v>96119</v>
      </c>
      <c r="D20">
        <v>56078603</v>
      </c>
      <c r="E20" t="s">
        <v>1315</v>
      </c>
      <c r="F20" t="s">
        <v>912</v>
      </c>
      <c r="H20" s="1021" t="s">
        <v>1173</v>
      </c>
      <c r="I20" s="1021" t="s">
        <v>1316</v>
      </c>
      <c r="L20" t="s">
        <v>857</v>
      </c>
      <c r="M20" t="s">
        <v>508</v>
      </c>
      <c r="N20" t="s">
        <v>1175</v>
      </c>
      <c r="O20" t="s">
        <v>1295</v>
      </c>
      <c r="P20" s="1021" t="s">
        <v>1316</v>
      </c>
      <c r="Q20" s="1021" t="s">
        <v>1317</v>
      </c>
      <c r="R20" t="s">
        <v>1297</v>
      </c>
      <c r="S20">
        <v>2639</v>
      </c>
      <c r="T20" t="s">
        <v>1318</v>
      </c>
      <c r="U20">
        <v>2</v>
      </c>
      <c r="V20" s="1021" t="s">
        <v>1319</v>
      </c>
      <c r="W20">
        <v>1</v>
      </c>
      <c r="X20">
        <v>99.91</v>
      </c>
      <c r="Y20">
        <v>2</v>
      </c>
      <c r="AA20">
        <v>0</v>
      </c>
      <c r="AG20" t="s">
        <v>1320</v>
      </c>
      <c r="AH20" t="s">
        <v>1301</v>
      </c>
      <c r="AJ20" t="s">
        <v>1213</v>
      </c>
      <c r="AK20">
        <v>1</v>
      </c>
      <c r="AL20" t="s">
        <v>1288</v>
      </c>
      <c r="AM20">
        <v>1</v>
      </c>
      <c r="AN20">
        <v>1</v>
      </c>
      <c r="AQ20" t="str">
        <f t="shared" si="0"/>
        <v>לא</v>
      </c>
    </row>
    <row r="21" spans="3:43" x14ac:dyDescent="0.2">
      <c r="C21">
        <v>96120</v>
      </c>
      <c r="D21">
        <v>56078603</v>
      </c>
      <c r="E21" t="s">
        <v>1321</v>
      </c>
      <c r="F21" t="s">
        <v>912</v>
      </c>
      <c r="H21" s="1021" t="s">
        <v>1173</v>
      </c>
      <c r="I21" s="1021" t="s">
        <v>1322</v>
      </c>
      <c r="L21" t="s">
        <v>857</v>
      </c>
      <c r="M21" t="s">
        <v>508</v>
      </c>
      <c r="N21" t="s">
        <v>1186</v>
      </c>
      <c r="O21" t="s">
        <v>1295</v>
      </c>
      <c r="P21" s="1021" t="s">
        <v>1322</v>
      </c>
      <c r="Q21" s="1021" t="s">
        <v>1323</v>
      </c>
      <c r="R21" t="s">
        <v>1297</v>
      </c>
      <c r="S21">
        <v>6106</v>
      </c>
      <c r="T21" t="s">
        <v>1324</v>
      </c>
      <c r="U21">
        <v>2</v>
      </c>
      <c r="V21" s="1021" t="s">
        <v>1313</v>
      </c>
      <c r="W21">
        <v>1</v>
      </c>
      <c r="X21">
        <v>99.81</v>
      </c>
      <c r="Y21">
        <v>2</v>
      </c>
      <c r="AA21">
        <v>0</v>
      </c>
      <c r="AG21" t="s">
        <v>1235</v>
      </c>
      <c r="AH21" t="s">
        <v>1301</v>
      </c>
      <c r="AJ21" t="s">
        <v>1213</v>
      </c>
      <c r="AK21">
        <v>1</v>
      </c>
      <c r="AL21" t="s">
        <v>1288</v>
      </c>
      <c r="AM21">
        <v>1</v>
      </c>
      <c r="AN21">
        <v>1</v>
      </c>
      <c r="AQ21" t="str">
        <f t="shared" si="0"/>
        <v>לא</v>
      </c>
    </row>
    <row r="22" spans="3:43" x14ac:dyDescent="0.2">
      <c r="C22">
        <v>96121</v>
      </c>
      <c r="D22">
        <v>56078603</v>
      </c>
      <c r="E22" t="s">
        <v>1325</v>
      </c>
      <c r="F22" t="s">
        <v>912</v>
      </c>
      <c r="H22" s="1021" t="s">
        <v>1173</v>
      </c>
      <c r="I22" s="1021" t="s">
        <v>1326</v>
      </c>
      <c r="L22" t="s">
        <v>857</v>
      </c>
      <c r="M22" t="s">
        <v>508</v>
      </c>
      <c r="N22" t="s">
        <v>1175</v>
      </c>
      <c r="O22" t="s">
        <v>1295</v>
      </c>
      <c r="P22" s="1021" t="s">
        <v>1326</v>
      </c>
      <c r="Q22" s="1021" t="s">
        <v>1327</v>
      </c>
      <c r="R22" t="s">
        <v>1297</v>
      </c>
      <c r="S22">
        <v>9076</v>
      </c>
      <c r="T22" t="s">
        <v>1324</v>
      </c>
      <c r="U22">
        <v>2</v>
      </c>
      <c r="V22" s="1021" t="s">
        <v>1328</v>
      </c>
      <c r="W22">
        <v>1</v>
      </c>
      <c r="X22">
        <v>61.18</v>
      </c>
      <c r="Y22">
        <v>2</v>
      </c>
      <c r="AA22">
        <v>0</v>
      </c>
      <c r="AG22" t="s">
        <v>1329</v>
      </c>
      <c r="AH22" t="s">
        <v>1301</v>
      </c>
      <c r="AJ22" t="s">
        <v>1213</v>
      </c>
      <c r="AK22">
        <v>1</v>
      </c>
      <c r="AL22" t="s">
        <v>1288</v>
      </c>
      <c r="AM22">
        <v>1</v>
      </c>
      <c r="AN22">
        <v>1</v>
      </c>
      <c r="AQ22" t="str">
        <f t="shared" si="0"/>
        <v>לא</v>
      </c>
    </row>
    <row r="23" spans="3:43" x14ac:dyDescent="0.2">
      <c r="C23">
        <v>96122</v>
      </c>
      <c r="D23">
        <v>56078603</v>
      </c>
      <c r="E23" t="s">
        <v>1330</v>
      </c>
      <c r="F23" t="s">
        <v>1331</v>
      </c>
      <c r="H23" s="1021" t="s">
        <v>1332</v>
      </c>
      <c r="I23" s="1021" t="s">
        <v>1333</v>
      </c>
      <c r="J23" t="s">
        <v>1274</v>
      </c>
      <c r="K23" t="s">
        <v>1230</v>
      </c>
      <c r="M23" t="s">
        <v>508</v>
      </c>
      <c r="N23" t="s">
        <v>1186</v>
      </c>
      <c r="O23" t="s">
        <v>1334</v>
      </c>
      <c r="P23" s="1021" t="s">
        <v>1335</v>
      </c>
      <c r="Q23" s="1021" t="s">
        <v>1336</v>
      </c>
      <c r="R23" t="s">
        <v>1230</v>
      </c>
      <c r="T23" t="s">
        <v>1337</v>
      </c>
      <c r="W23">
        <v>1</v>
      </c>
      <c r="X23">
        <v>30</v>
      </c>
      <c r="Y23">
        <v>2</v>
      </c>
      <c r="AE23">
        <v>1</v>
      </c>
      <c r="AF23">
        <v>2</v>
      </c>
      <c r="AG23" t="s">
        <v>1338</v>
      </c>
      <c r="AH23" t="s">
        <v>1339</v>
      </c>
      <c r="AJ23" t="s">
        <v>1213</v>
      </c>
      <c r="AK23">
        <v>1</v>
      </c>
      <c r="AL23" t="s">
        <v>610</v>
      </c>
      <c r="AM23">
        <v>1</v>
      </c>
      <c r="AN23">
        <v>2</v>
      </c>
      <c r="AO23" t="s">
        <v>1236</v>
      </c>
      <c r="AP23">
        <v>4010.17</v>
      </c>
      <c r="AQ23" t="str">
        <f t="shared" si="0"/>
        <v>לא</v>
      </c>
    </row>
    <row r="24" spans="3:43" x14ac:dyDescent="0.2">
      <c r="AQ24" t="str">
        <f t="shared" si="0"/>
        <v xml:space="preserve"> </v>
      </c>
    </row>
    <row r="25" spans="3:43" x14ac:dyDescent="0.2">
      <c r="AQ25" t="str">
        <f t="shared" si="0"/>
        <v xml:space="preserve"> </v>
      </c>
    </row>
    <row r="26" spans="3:43" x14ac:dyDescent="0.2">
      <c r="AQ26" t="str">
        <f t="shared" si="0"/>
        <v xml:space="preserve"> </v>
      </c>
    </row>
    <row r="27" spans="3:43" x14ac:dyDescent="0.2">
      <c r="AQ27" t="str">
        <f t="shared" si="0"/>
        <v xml:space="preserve"> </v>
      </c>
    </row>
    <row r="28" spans="3:43" x14ac:dyDescent="0.2">
      <c r="AQ28" t="str">
        <f t="shared" si="0"/>
        <v xml:space="preserve"> </v>
      </c>
    </row>
    <row r="29" spans="3:43" x14ac:dyDescent="0.2">
      <c r="AQ29" t="str">
        <f t="shared" si="0"/>
        <v xml:space="preserve"> </v>
      </c>
    </row>
    <row r="30" spans="3:43" x14ac:dyDescent="0.2">
      <c r="AQ30" t="str">
        <f t="shared" si="0"/>
        <v xml:space="preserve"> </v>
      </c>
    </row>
    <row r="31" spans="3:43" x14ac:dyDescent="0.2">
      <c r="AQ31" t="str">
        <f t="shared" si="0"/>
        <v xml:space="preserve"> </v>
      </c>
    </row>
    <row r="32" spans="3:43" x14ac:dyDescent="0.2">
      <c r="AQ32" t="str">
        <f t="shared" si="0"/>
        <v xml:space="preserve"> </v>
      </c>
    </row>
    <row r="33" spans="43:43" x14ac:dyDescent="0.2">
      <c r="AQ33" t="str">
        <f t="shared" si="0"/>
        <v xml:space="preserve"> </v>
      </c>
    </row>
    <row r="34" spans="43:43" x14ac:dyDescent="0.2">
      <c r="AQ34" t="str">
        <f t="shared" si="0"/>
        <v xml:space="preserve"> </v>
      </c>
    </row>
    <row r="35" spans="43:43" x14ac:dyDescent="0.2">
      <c r="AQ35" t="str">
        <f t="shared" si="0"/>
        <v xml:space="preserve"> </v>
      </c>
    </row>
    <row r="36" spans="43:43" x14ac:dyDescent="0.2">
      <c r="AQ36" t="str">
        <f t="shared" si="0"/>
        <v xml:space="preserve"> </v>
      </c>
    </row>
    <row r="37" spans="43:43" x14ac:dyDescent="0.2">
      <c r="AQ37" t="str">
        <f t="shared" si="0"/>
        <v xml:space="preserve"> </v>
      </c>
    </row>
    <row r="38" spans="43:43" x14ac:dyDescent="0.2">
      <c r="AQ38" t="str">
        <f t="shared" si="0"/>
        <v xml:space="preserve"> </v>
      </c>
    </row>
    <row r="39" spans="43:43" x14ac:dyDescent="0.2">
      <c r="AQ39" t="str">
        <f t="shared" si="0"/>
        <v xml:space="preserve"> </v>
      </c>
    </row>
    <row r="40" spans="43:43" x14ac:dyDescent="0.2">
      <c r="AQ40" t="str">
        <f t="shared" si="0"/>
        <v xml:space="preserve"> </v>
      </c>
    </row>
    <row r="41" spans="43:43" x14ac:dyDescent="0.2">
      <c r="AQ41" t="str">
        <f>IF(Y42=1,"כן",IF(Y42=2,"לא"," "))</f>
        <v xml:space="preserve"> </v>
      </c>
    </row>
    <row r="42" spans="43:43" x14ac:dyDescent="0.2">
      <c r="AQ42" t="str">
        <f>IF(Y43=1,"כן",IF(Y43=2,"לא"," "))</f>
        <v xml:space="preserve"> </v>
      </c>
    </row>
    <row r="43" spans="43:43" x14ac:dyDescent="0.2">
      <c r="AQ43" t="str">
        <f>IF(Y44=1,"כן",IF(Y44=2,"לא"," "))</f>
        <v xml:space="preserve"> </v>
      </c>
    </row>
    <row r="44" spans="43:43" x14ac:dyDescent="0.2">
      <c r="AQ44" t="str">
        <f>IF(Y45=1,"כן",IF(Y45=2,"לא"," "))</f>
        <v xml:space="preserve"> </v>
      </c>
    </row>
    <row r="45" spans="43:43" x14ac:dyDescent="0.2">
      <c r="AQ45" t="str">
        <f>IF(Y46=1,"כן",IF(Y46=2,"לא"," "))</f>
        <v xml:space="preserve"> 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1"/>
  <dimension ref="C2:O39"/>
  <sheetViews>
    <sheetView rightToLeft="1" topLeftCell="A13" workbookViewId="0">
      <selection activeCell="AL8" sqref="AL8"/>
    </sheetView>
  </sheetViews>
  <sheetFormatPr defaultRowHeight="12.75" x14ac:dyDescent="0.2"/>
  <cols>
    <col min="3" max="3" width="12.140625" customWidth="1"/>
    <col min="4" max="4" width="13.42578125" customWidth="1"/>
    <col min="5" max="5" width="14.7109375" customWidth="1"/>
    <col min="6" max="6" width="10.85546875" customWidth="1"/>
    <col min="7" max="7" width="27.42578125" customWidth="1"/>
    <col min="8" max="8" width="11.85546875" style="1021" customWidth="1"/>
    <col min="9" max="9" width="12" customWidth="1"/>
    <col min="10" max="10" width="10.85546875" customWidth="1"/>
    <col min="11" max="11" width="11.5703125" customWidth="1"/>
    <col min="12" max="12" width="12.140625" customWidth="1"/>
    <col min="13" max="13" width="12.7109375" customWidth="1"/>
    <col min="14" max="14" width="12" customWidth="1"/>
    <col min="15" max="15" width="11.42578125" customWidth="1"/>
  </cols>
  <sheetData>
    <row r="2" spans="3:15" ht="23.25" x14ac:dyDescent="0.35">
      <c r="I2" s="10" t="s">
        <v>178</v>
      </c>
    </row>
    <row r="5" spans="3:15" ht="31.5" x14ac:dyDescent="0.25">
      <c r="C5" s="3" t="s">
        <v>1</v>
      </c>
      <c r="D5" s="3" t="s">
        <v>2</v>
      </c>
      <c r="E5" s="3" t="s">
        <v>24</v>
      </c>
      <c r="F5" s="3" t="s">
        <v>25</v>
      </c>
      <c r="G5" s="3" t="s">
        <v>26</v>
      </c>
      <c r="H5" s="1023" t="s">
        <v>15</v>
      </c>
      <c r="I5" s="3" t="s">
        <v>16</v>
      </c>
      <c r="J5" s="3" t="s">
        <v>27</v>
      </c>
      <c r="K5" s="3" t="s">
        <v>17</v>
      </c>
      <c r="L5" s="3" t="s">
        <v>20</v>
      </c>
      <c r="M5" s="3" t="s">
        <v>19</v>
      </c>
      <c r="N5" s="3" t="s">
        <v>28</v>
      </c>
      <c r="O5" s="3" t="s">
        <v>21</v>
      </c>
    </row>
    <row r="6" spans="3:15" x14ac:dyDescent="0.2">
      <c r="C6">
        <v>56078603</v>
      </c>
      <c r="D6" t="s">
        <v>1330</v>
      </c>
      <c r="H6" s="1021" t="s">
        <v>1332</v>
      </c>
    </row>
    <row r="7" spans="3:15" x14ac:dyDescent="0.2">
      <c r="C7">
        <v>56078603</v>
      </c>
      <c r="D7" t="s">
        <v>1214</v>
      </c>
      <c r="E7">
        <v>1</v>
      </c>
      <c r="F7">
        <v>0</v>
      </c>
      <c r="G7" t="s">
        <v>1340</v>
      </c>
      <c r="H7" s="1021" t="s">
        <v>1173</v>
      </c>
    </row>
    <row r="8" spans="3:15" x14ac:dyDescent="0.2">
      <c r="C8">
        <v>56078603</v>
      </c>
      <c r="D8" t="s">
        <v>1225</v>
      </c>
      <c r="E8">
        <v>1</v>
      </c>
      <c r="F8">
        <v>0</v>
      </c>
      <c r="G8" t="s">
        <v>1340</v>
      </c>
      <c r="H8" s="1021" t="s">
        <v>1173</v>
      </c>
    </row>
    <row r="9" spans="3:15" x14ac:dyDescent="0.2">
      <c r="C9">
        <v>56078603</v>
      </c>
      <c r="D9" t="s">
        <v>1205</v>
      </c>
      <c r="E9">
        <v>2</v>
      </c>
      <c r="F9">
        <v>45.439998626708984</v>
      </c>
      <c r="G9" t="s">
        <v>1341</v>
      </c>
      <c r="H9" s="1021" t="s">
        <v>1206</v>
      </c>
      <c r="I9">
        <v>816</v>
      </c>
    </row>
    <row r="10" spans="3:15" x14ac:dyDescent="0.2">
      <c r="C10">
        <v>56078603</v>
      </c>
      <c r="D10" t="s">
        <v>1205</v>
      </c>
      <c r="E10">
        <v>2</v>
      </c>
      <c r="F10">
        <v>54.560001373291016</v>
      </c>
      <c r="G10" t="s">
        <v>1341</v>
      </c>
      <c r="H10" s="1021" t="s">
        <v>1206</v>
      </c>
      <c r="J10">
        <v>2833</v>
      </c>
    </row>
    <row r="11" spans="3:15" x14ac:dyDescent="0.2">
      <c r="C11">
        <v>56078603</v>
      </c>
      <c r="D11" t="s">
        <v>1237</v>
      </c>
      <c r="E11">
        <v>1</v>
      </c>
      <c r="F11">
        <v>0</v>
      </c>
      <c r="G11" t="s">
        <v>1243</v>
      </c>
      <c r="H11" s="1021" t="s">
        <v>1173</v>
      </c>
      <c r="J11">
        <v>64</v>
      </c>
    </row>
    <row r="12" spans="3:15" x14ac:dyDescent="0.2">
      <c r="C12">
        <v>56078603</v>
      </c>
      <c r="D12" t="s">
        <v>1247</v>
      </c>
      <c r="E12">
        <v>1</v>
      </c>
      <c r="F12">
        <v>0</v>
      </c>
      <c r="G12" t="s">
        <v>1342</v>
      </c>
      <c r="H12" s="1021" t="s">
        <v>1173</v>
      </c>
    </row>
    <row r="13" spans="3:15" x14ac:dyDescent="0.2">
      <c r="C13">
        <v>56078603</v>
      </c>
      <c r="D13" t="s">
        <v>1321</v>
      </c>
      <c r="E13">
        <v>1</v>
      </c>
      <c r="F13">
        <v>0</v>
      </c>
      <c r="G13" t="s">
        <v>1343</v>
      </c>
      <c r="H13" s="1021" t="s">
        <v>1173</v>
      </c>
      <c r="O13">
        <v>23</v>
      </c>
    </row>
    <row r="14" spans="3:15" x14ac:dyDescent="0.2">
      <c r="C14">
        <v>56078603</v>
      </c>
      <c r="D14" t="s">
        <v>1321</v>
      </c>
      <c r="E14">
        <v>1</v>
      </c>
      <c r="F14">
        <v>0</v>
      </c>
      <c r="G14" t="s">
        <v>1344</v>
      </c>
      <c r="H14" s="1021" t="s">
        <v>1173</v>
      </c>
    </row>
    <row r="15" spans="3:15" x14ac:dyDescent="0.2">
      <c r="C15">
        <v>56078603</v>
      </c>
      <c r="D15" t="s">
        <v>1321</v>
      </c>
      <c r="E15">
        <v>2</v>
      </c>
      <c r="F15">
        <v>50</v>
      </c>
      <c r="G15" t="s">
        <v>1343</v>
      </c>
      <c r="H15" s="1021" t="s">
        <v>1173</v>
      </c>
    </row>
    <row r="16" spans="3:15" x14ac:dyDescent="0.2">
      <c r="C16">
        <v>56078603</v>
      </c>
      <c r="D16" t="s">
        <v>1321</v>
      </c>
      <c r="E16">
        <v>2</v>
      </c>
      <c r="F16">
        <v>50</v>
      </c>
      <c r="G16" t="s">
        <v>1344</v>
      </c>
      <c r="H16" s="1021" t="s">
        <v>1173</v>
      </c>
      <c r="J16">
        <v>39</v>
      </c>
    </row>
    <row r="17" spans="3:15" x14ac:dyDescent="0.2">
      <c r="C17">
        <v>56078603</v>
      </c>
      <c r="D17" t="s">
        <v>1325</v>
      </c>
      <c r="E17">
        <v>1</v>
      </c>
      <c r="F17">
        <v>0</v>
      </c>
      <c r="G17" t="s">
        <v>1343</v>
      </c>
      <c r="H17" s="1021" t="s">
        <v>1173</v>
      </c>
    </row>
    <row r="18" spans="3:15" x14ac:dyDescent="0.2">
      <c r="C18">
        <v>56078603</v>
      </c>
      <c r="D18" t="s">
        <v>1325</v>
      </c>
      <c r="E18">
        <v>1</v>
      </c>
      <c r="F18">
        <v>0</v>
      </c>
      <c r="G18" t="s">
        <v>1344</v>
      </c>
      <c r="H18" s="1021" t="s">
        <v>1173</v>
      </c>
    </row>
    <row r="19" spans="3:15" x14ac:dyDescent="0.2">
      <c r="C19">
        <v>56078603</v>
      </c>
      <c r="D19" t="s">
        <v>1309</v>
      </c>
      <c r="E19">
        <v>1</v>
      </c>
      <c r="F19">
        <v>0</v>
      </c>
      <c r="G19" t="s">
        <v>1344</v>
      </c>
      <c r="H19" s="1021" t="s">
        <v>1173</v>
      </c>
      <c r="I19">
        <v>90</v>
      </c>
      <c r="J19">
        <v>16</v>
      </c>
    </row>
    <row r="20" spans="3:15" x14ac:dyDescent="0.2">
      <c r="C20">
        <v>56078603</v>
      </c>
      <c r="D20" t="s">
        <v>1309</v>
      </c>
      <c r="E20">
        <v>2</v>
      </c>
      <c r="F20">
        <v>100</v>
      </c>
      <c r="G20" t="s">
        <v>1344</v>
      </c>
      <c r="H20" s="1021" t="s">
        <v>1173</v>
      </c>
      <c r="K20">
        <v>60</v>
      </c>
    </row>
    <row r="21" spans="3:15" x14ac:dyDescent="0.2">
      <c r="C21">
        <v>56078603</v>
      </c>
      <c r="D21" t="s">
        <v>1293</v>
      </c>
      <c r="E21">
        <v>1</v>
      </c>
      <c r="F21">
        <v>0</v>
      </c>
      <c r="G21" t="s">
        <v>1343</v>
      </c>
      <c r="H21" s="1021" t="s">
        <v>1173</v>
      </c>
    </row>
    <row r="22" spans="3:15" x14ac:dyDescent="0.2">
      <c r="C22">
        <v>56078603</v>
      </c>
      <c r="D22" t="s">
        <v>1293</v>
      </c>
      <c r="E22">
        <v>2</v>
      </c>
      <c r="F22">
        <v>100</v>
      </c>
      <c r="G22" t="s">
        <v>1343</v>
      </c>
      <c r="H22" s="1021" t="s">
        <v>1173</v>
      </c>
      <c r="O22">
        <v>83</v>
      </c>
    </row>
    <row r="23" spans="3:15" x14ac:dyDescent="0.2">
      <c r="C23">
        <v>56078603</v>
      </c>
      <c r="D23" t="s">
        <v>1303</v>
      </c>
      <c r="E23">
        <v>1</v>
      </c>
      <c r="F23">
        <v>0</v>
      </c>
      <c r="G23" t="s">
        <v>1344</v>
      </c>
      <c r="H23" s="1021" t="s">
        <v>1173</v>
      </c>
      <c r="O23">
        <v>83</v>
      </c>
    </row>
    <row r="24" spans="3:15" x14ac:dyDescent="0.2">
      <c r="C24">
        <v>56078603</v>
      </c>
      <c r="D24" t="s">
        <v>1261</v>
      </c>
      <c r="E24">
        <v>1</v>
      </c>
      <c r="F24">
        <v>0</v>
      </c>
      <c r="G24" t="s">
        <v>1345</v>
      </c>
      <c r="H24" s="1021" t="s">
        <v>1173</v>
      </c>
      <c r="J24">
        <v>25</v>
      </c>
    </row>
    <row r="25" spans="3:15" x14ac:dyDescent="0.2">
      <c r="C25">
        <v>56078603</v>
      </c>
      <c r="D25" t="s">
        <v>1254</v>
      </c>
      <c r="E25">
        <v>1</v>
      </c>
      <c r="F25">
        <v>0</v>
      </c>
      <c r="G25" t="s">
        <v>1346</v>
      </c>
      <c r="H25" s="1021" t="s">
        <v>1173</v>
      </c>
      <c r="J25">
        <v>34</v>
      </c>
    </row>
    <row r="26" spans="3:15" x14ac:dyDescent="0.2">
      <c r="C26">
        <v>56078603</v>
      </c>
      <c r="D26" t="s">
        <v>1171</v>
      </c>
      <c r="E26">
        <v>1</v>
      </c>
      <c r="F26">
        <v>0</v>
      </c>
      <c r="G26" t="s">
        <v>1347</v>
      </c>
      <c r="H26" s="1021" t="s">
        <v>1173</v>
      </c>
      <c r="M26">
        <v>79</v>
      </c>
    </row>
    <row r="27" spans="3:15" x14ac:dyDescent="0.2">
      <c r="C27">
        <v>56078603</v>
      </c>
      <c r="D27" t="s">
        <v>1184</v>
      </c>
      <c r="E27">
        <v>2</v>
      </c>
      <c r="F27">
        <v>17.850000000000001</v>
      </c>
      <c r="G27" t="s">
        <v>1347</v>
      </c>
      <c r="H27" s="1021" t="s">
        <v>1173</v>
      </c>
    </row>
    <row r="28" spans="3:15" x14ac:dyDescent="0.2">
      <c r="C28">
        <v>56078603</v>
      </c>
      <c r="D28" t="s">
        <v>1184</v>
      </c>
      <c r="E28">
        <v>2</v>
      </c>
      <c r="F28">
        <v>82.15</v>
      </c>
      <c r="G28" t="s">
        <v>1347</v>
      </c>
      <c r="H28" s="1021" t="s">
        <v>1173</v>
      </c>
      <c r="M28">
        <v>19</v>
      </c>
    </row>
    <row r="29" spans="3:15" x14ac:dyDescent="0.2">
      <c r="C29">
        <v>56078603</v>
      </c>
      <c r="D29" t="s">
        <v>1197</v>
      </c>
      <c r="E29">
        <v>1</v>
      </c>
      <c r="F29">
        <v>0</v>
      </c>
      <c r="G29" t="s">
        <v>1348</v>
      </c>
      <c r="H29" s="1021" t="s">
        <v>1173</v>
      </c>
      <c r="L29">
        <v>59</v>
      </c>
    </row>
    <row r="30" spans="3:15" x14ac:dyDescent="0.2">
      <c r="C30">
        <v>56078603</v>
      </c>
      <c r="D30" t="s">
        <v>1188</v>
      </c>
      <c r="E30">
        <v>1</v>
      </c>
      <c r="F30">
        <v>0</v>
      </c>
      <c r="G30" t="s">
        <v>1349</v>
      </c>
      <c r="H30" s="1021" t="s">
        <v>1173</v>
      </c>
      <c r="L30">
        <v>29</v>
      </c>
    </row>
    <row r="31" spans="3:15" x14ac:dyDescent="0.2">
      <c r="C31">
        <v>56078603</v>
      </c>
      <c r="D31" t="s">
        <v>1227</v>
      </c>
      <c r="E31">
        <v>2</v>
      </c>
      <c r="F31">
        <v>33.33</v>
      </c>
      <c r="G31" t="s">
        <v>1350</v>
      </c>
      <c r="H31" s="1021" t="s">
        <v>1173</v>
      </c>
    </row>
    <row r="32" spans="3:15" x14ac:dyDescent="0.2">
      <c r="C32">
        <v>56078603</v>
      </c>
      <c r="D32" t="s">
        <v>1227</v>
      </c>
      <c r="E32">
        <v>2</v>
      </c>
      <c r="F32">
        <v>66.67</v>
      </c>
      <c r="G32" t="s">
        <v>1350</v>
      </c>
      <c r="H32" s="1021" t="s">
        <v>1173</v>
      </c>
    </row>
    <row r="33" spans="3:15" x14ac:dyDescent="0.2">
      <c r="C33">
        <v>56078603</v>
      </c>
      <c r="D33" t="s">
        <v>1271</v>
      </c>
      <c r="H33" s="1021" t="s">
        <v>1173</v>
      </c>
    </row>
    <row r="34" spans="3:15" x14ac:dyDescent="0.2">
      <c r="C34">
        <v>56078603</v>
      </c>
      <c r="D34" t="s">
        <v>1315</v>
      </c>
      <c r="E34">
        <v>1</v>
      </c>
      <c r="F34">
        <v>0</v>
      </c>
      <c r="G34" t="s">
        <v>1343</v>
      </c>
      <c r="H34" s="1021" t="s">
        <v>1173</v>
      </c>
      <c r="O34">
        <v>14</v>
      </c>
    </row>
    <row r="35" spans="3:15" x14ac:dyDescent="0.2">
      <c r="C35">
        <v>56078603</v>
      </c>
      <c r="D35" t="s">
        <v>1315</v>
      </c>
      <c r="E35">
        <v>1</v>
      </c>
      <c r="F35">
        <v>0</v>
      </c>
      <c r="G35" t="s">
        <v>1344</v>
      </c>
      <c r="H35" s="1021" t="s">
        <v>1173</v>
      </c>
      <c r="J35">
        <v>81</v>
      </c>
    </row>
    <row r="36" spans="3:15" x14ac:dyDescent="0.2">
      <c r="C36">
        <v>56078603</v>
      </c>
      <c r="D36" t="s">
        <v>1351</v>
      </c>
      <c r="E36">
        <v>2</v>
      </c>
      <c r="F36">
        <v>42.009998321533203</v>
      </c>
      <c r="G36" t="s">
        <v>1352</v>
      </c>
      <c r="H36" s="1021" t="s">
        <v>1206</v>
      </c>
      <c r="I36">
        <v>89478</v>
      </c>
    </row>
    <row r="37" spans="3:15" x14ac:dyDescent="0.2">
      <c r="C37">
        <v>56078603</v>
      </c>
      <c r="D37" t="s">
        <v>1351</v>
      </c>
      <c r="E37">
        <v>2</v>
      </c>
      <c r="F37">
        <v>57.990001678466797</v>
      </c>
      <c r="G37" t="s">
        <v>1352</v>
      </c>
      <c r="H37" s="1021" t="s">
        <v>1206</v>
      </c>
      <c r="J37">
        <v>181086</v>
      </c>
    </row>
    <row r="38" spans="3:15" x14ac:dyDescent="0.2">
      <c r="C38">
        <v>56078603</v>
      </c>
      <c r="D38" t="s">
        <v>1280</v>
      </c>
      <c r="E38">
        <v>2</v>
      </c>
      <c r="F38">
        <v>100</v>
      </c>
      <c r="G38" t="s">
        <v>1353</v>
      </c>
      <c r="H38" s="1021" t="s">
        <v>1173</v>
      </c>
      <c r="J38">
        <v>94</v>
      </c>
    </row>
    <row r="39" spans="3:15" x14ac:dyDescent="0.2">
      <c r="C39">
        <v>56078603</v>
      </c>
      <c r="D39" t="s">
        <v>1289</v>
      </c>
      <c r="E39">
        <v>1</v>
      </c>
      <c r="F39">
        <v>0</v>
      </c>
      <c r="G39" t="s">
        <v>1353</v>
      </c>
      <c r="H39" s="1021" t="s">
        <v>1173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6"/>
  <dimension ref="C2:AV27"/>
  <sheetViews>
    <sheetView rightToLeft="1" workbookViewId="0">
      <selection activeCell="AL8" sqref="AL8"/>
    </sheetView>
  </sheetViews>
  <sheetFormatPr defaultRowHeight="12.75" x14ac:dyDescent="0.2"/>
  <cols>
    <col min="4" max="4" width="10" bestFit="1" customWidth="1"/>
    <col min="15" max="17" width="9.140625" style="1021"/>
    <col min="25" max="25" width="9.140625" style="1021"/>
    <col min="32" max="32" width="18.85546875" bestFit="1" customWidth="1"/>
    <col min="33" max="33" width="16.140625" bestFit="1" customWidth="1"/>
    <col min="34" max="34" width="11" customWidth="1"/>
    <col min="35" max="35" width="11.28515625" customWidth="1"/>
    <col min="38" max="38" width="9.140625" style="1021"/>
    <col min="43" max="43" width="17.28515625" customWidth="1"/>
    <col min="46" max="46" width="17" customWidth="1"/>
    <col min="47" max="47" width="13.5703125" customWidth="1"/>
    <col min="48" max="48" width="8.42578125" customWidth="1"/>
  </cols>
  <sheetData>
    <row r="2" spans="3:48" ht="23.25" x14ac:dyDescent="0.35">
      <c r="N2" s="10" t="s">
        <v>179</v>
      </c>
    </row>
    <row r="5" spans="3:48" ht="78.75" x14ac:dyDescent="0.25">
      <c r="C5" s="4" t="s">
        <v>0</v>
      </c>
      <c r="D5" s="4" t="s">
        <v>2</v>
      </c>
      <c r="E5" s="4" t="s">
        <v>37</v>
      </c>
      <c r="F5" s="4" t="s">
        <v>62</v>
      </c>
      <c r="G5" s="4" t="s">
        <v>63</v>
      </c>
      <c r="H5" s="4" t="s">
        <v>64</v>
      </c>
      <c r="I5" s="4" t="s">
        <v>65</v>
      </c>
      <c r="J5" s="4" t="s">
        <v>66</v>
      </c>
      <c r="K5" s="4" t="s">
        <v>67</v>
      </c>
      <c r="L5" s="4" t="s">
        <v>68</v>
      </c>
      <c r="M5" s="4" t="s">
        <v>69</v>
      </c>
      <c r="N5" s="4" t="s">
        <v>70</v>
      </c>
      <c r="O5" s="1022" t="s">
        <v>71</v>
      </c>
      <c r="P5" s="1022" t="s">
        <v>72</v>
      </c>
      <c r="Q5" s="1022" t="s">
        <v>73</v>
      </c>
      <c r="R5" s="4" t="s">
        <v>74</v>
      </c>
      <c r="S5" s="4" t="s">
        <v>75</v>
      </c>
      <c r="T5" s="4" t="s">
        <v>76</v>
      </c>
      <c r="U5" s="4" t="s">
        <v>77</v>
      </c>
      <c r="V5" s="4" t="s">
        <v>78</v>
      </c>
      <c r="W5" s="4" t="s">
        <v>85</v>
      </c>
      <c r="X5" s="3" t="s">
        <v>86</v>
      </c>
      <c r="Y5" s="1022" t="s">
        <v>79</v>
      </c>
      <c r="Z5" s="4" t="s">
        <v>80</v>
      </c>
      <c r="AA5" s="4" t="s">
        <v>81</v>
      </c>
      <c r="AB5" s="4" t="s">
        <v>83</v>
      </c>
      <c r="AC5" s="4" t="s">
        <v>84</v>
      </c>
      <c r="AD5" s="4" t="s">
        <v>54</v>
      </c>
      <c r="AE5" s="4" t="s">
        <v>87</v>
      </c>
      <c r="AF5" s="4" t="s">
        <v>88</v>
      </c>
      <c r="AG5" s="4" t="s">
        <v>55</v>
      </c>
      <c r="AH5" s="4" t="s">
        <v>56</v>
      </c>
      <c r="AI5" s="4" t="s">
        <v>57</v>
      </c>
      <c r="AJ5" s="4" t="s">
        <v>58</v>
      </c>
      <c r="AK5" s="4" t="s">
        <v>1</v>
      </c>
      <c r="AL5" s="1022" t="s">
        <v>3</v>
      </c>
      <c r="AM5" s="4" t="s">
        <v>59</v>
      </c>
      <c r="AN5" s="4" t="s">
        <v>60</v>
      </c>
      <c r="AO5" s="4" t="s">
        <v>61</v>
      </c>
      <c r="AP5" s="4" t="s">
        <v>89</v>
      </c>
      <c r="AQ5" s="4" t="s">
        <v>82</v>
      </c>
    </row>
    <row r="6" spans="3:48" x14ac:dyDescent="0.2">
      <c r="C6">
        <v>152547</v>
      </c>
      <c r="D6" t="s">
        <v>1351</v>
      </c>
      <c r="E6" t="s">
        <v>1212</v>
      </c>
      <c r="F6" t="s">
        <v>1354</v>
      </c>
      <c r="G6">
        <v>0</v>
      </c>
      <c r="I6" t="s">
        <v>1355</v>
      </c>
      <c r="J6" t="s">
        <v>1356</v>
      </c>
      <c r="K6" t="s">
        <v>1357</v>
      </c>
      <c r="L6" t="s">
        <v>1358</v>
      </c>
      <c r="M6" t="s">
        <v>1358</v>
      </c>
      <c r="N6" t="s">
        <v>1359</v>
      </c>
      <c r="O6" s="1021" t="s">
        <v>1360</v>
      </c>
      <c r="P6" s="1021" t="s">
        <v>1361</v>
      </c>
      <c r="Q6" s="1021" t="s">
        <v>1361</v>
      </c>
      <c r="R6">
        <v>0</v>
      </c>
      <c r="S6">
        <v>0</v>
      </c>
      <c r="T6" t="s">
        <v>1209</v>
      </c>
      <c r="U6">
        <v>0</v>
      </c>
      <c r="V6">
        <v>0</v>
      </c>
      <c r="W6">
        <v>0</v>
      </c>
      <c r="X6">
        <v>0</v>
      </c>
      <c r="Y6" s="1021" t="s">
        <v>1209</v>
      </c>
      <c r="Z6" t="s">
        <v>1358</v>
      </c>
      <c r="AA6" t="s">
        <v>1358</v>
      </c>
      <c r="AB6">
        <v>1</v>
      </c>
      <c r="AK6">
        <v>56078603</v>
      </c>
      <c r="AL6" s="1021" t="s">
        <v>1206</v>
      </c>
      <c r="AT6" s="28" t="s">
        <v>300</v>
      </c>
      <c r="AU6" s="28" t="s">
        <v>304</v>
      </c>
    </row>
    <row r="7" spans="3:48" x14ac:dyDescent="0.2">
      <c r="C7">
        <v>152548</v>
      </c>
      <c r="D7" t="s">
        <v>1351</v>
      </c>
      <c r="E7" t="s">
        <v>1212</v>
      </c>
      <c r="F7" t="s">
        <v>1362</v>
      </c>
      <c r="G7">
        <v>337163</v>
      </c>
      <c r="I7" t="s">
        <v>1355</v>
      </c>
      <c r="J7" t="s">
        <v>1356</v>
      </c>
      <c r="K7" t="s">
        <v>1357</v>
      </c>
      <c r="L7" t="s">
        <v>1358</v>
      </c>
      <c r="M7" t="s">
        <v>1358</v>
      </c>
      <c r="N7" t="s">
        <v>1359</v>
      </c>
      <c r="O7" s="1021" t="s">
        <v>1363</v>
      </c>
      <c r="P7" s="1021" t="s">
        <v>1364</v>
      </c>
      <c r="Q7" s="1021" t="s">
        <v>1364</v>
      </c>
      <c r="R7">
        <v>0</v>
      </c>
      <c r="S7">
        <v>0</v>
      </c>
      <c r="T7" t="s">
        <v>1209</v>
      </c>
      <c r="U7">
        <v>0</v>
      </c>
      <c r="V7">
        <v>0</v>
      </c>
      <c r="W7">
        <v>0</v>
      </c>
      <c r="X7">
        <v>1</v>
      </c>
      <c r="Y7" s="1021" t="s">
        <v>1365</v>
      </c>
      <c r="Z7" t="s">
        <v>1358</v>
      </c>
      <c r="AA7" t="s">
        <v>1358</v>
      </c>
      <c r="AB7">
        <v>1</v>
      </c>
      <c r="AK7">
        <v>56078603</v>
      </c>
      <c r="AL7" s="1021" t="s">
        <v>1206</v>
      </c>
      <c r="AT7" s="28" t="s">
        <v>301</v>
      </c>
      <c r="AU7" t="s">
        <v>302</v>
      </c>
      <c r="AV7" t="s">
        <v>303</v>
      </c>
    </row>
    <row r="8" spans="3:48" x14ac:dyDescent="0.2">
      <c r="C8">
        <v>152549</v>
      </c>
      <c r="D8" t="s">
        <v>1351</v>
      </c>
      <c r="E8" t="s">
        <v>1212</v>
      </c>
      <c r="F8" t="s">
        <v>1366</v>
      </c>
      <c r="G8">
        <v>203249</v>
      </c>
      <c r="I8" t="s">
        <v>1355</v>
      </c>
      <c r="J8" t="s">
        <v>1356</v>
      </c>
      <c r="K8" t="s">
        <v>1357</v>
      </c>
      <c r="L8" t="s">
        <v>1358</v>
      </c>
      <c r="M8" t="s">
        <v>1358</v>
      </c>
      <c r="N8" t="s">
        <v>1359</v>
      </c>
      <c r="O8" s="1021" t="s">
        <v>1367</v>
      </c>
      <c r="P8" s="1021" t="s">
        <v>1368</v>
      </c>
      <c r="Q8" s="1021" t="s">
        <v>1368</v>
      </c>
      <c r="R8">
        <v>0</v>
      </c>
      <c r="S8">
        <v>0</v>
      </c>
      <c r="T8" t="s">
        <v>1209</v>
      </c>
      <c r="U8">
        <v>0</v>
      </c>
      <c r="V8">
        <v>0</v>
      </c>
      <c r="W8">
        <v>0</v>
      </c>
      <c r="X8">
        <v>5</v>
      </c>
      <c r="Y8" s="1021" t="s">
        <v>1369</v>
      </c>
      <c r="Z8" t="s">
        <v>1358</v>
      </c>
      <c r="AA8" t="s">
        <v>1358</v>
      </c>
      <c r="AB8">
        <v>1</v>
      </c>
      <c r="AK8">
        <v>56078603</v>
      </c>
      <c r="AL8" s="1021" t="s">
        <v>1206</v>
      </c>
      <c r="AT8" s="29" t="s">
        <v>302</v>
      </c>
      <c r="AU8" s="27"/>
      <c r="AV8" s="27"/>
    </row>
    <row r="9" spans="3:48" x14ac:dyDescent="0.2">
      <c r="C9">
        <v>152633</v>
      </c>
      <c r="D9" t="s">
        <v>1205</v>
      </c>
      <c r="E9" t="s">
        <v>1212</v>
      </c>
      <c r="F9" t="s">
        <v>1370</v>
      </c>
      <c r="G9">
        <v>0</v>
      </c>
      <c r="I9" t="s">
        <v>1355</v>
      </c>
      <c r="J9" t="s">
        <v>1356</v>
      </c>
      <c r="K9" t="s">
        <v>1357</v>
      </c>
      <c r="L9" t="s">
        <v>1358</v>
      </c>
      <c r="M9" t="s">
        <v>1358</v>
      </c>
      <c r="N9" t="s">
        <v>1359</v>
      </c>
      <c r="O9" s="1021" t="s">
        <v>1207</v>
      </c>
      <c r="P9" s="1021" t="s">
        <v>1371</v>
      </c>
      <c r="Q9" s="1021" t="s">
        <v>1371</v>
      </c>
      <c r="R9">
        <v>0</v>
      </c>
      <c r="S9">
        <v>0</v>
      </c>
      <c r="T9" t="s">
        <v>1209</v>
      </c>
      <c r="U9">
        <v>0</v>
      </c>
      <c r="V9">
        <v>0</v>
      </c>
      <c r="W9">
        <v>0</v>
      </c>
      <c r="X9">
        <v>0</v>
      </c>
      <c r="Y9" s="1021" t="s">
        <v>1209</v>
      </c>
      <c r="Z9" t="s">
        <v>1358</v>
      </c>
      <c r="AA9" t="s">
        <v>1358</v>
      </c>
      <c r="AB9">
        <v>1</v>
      </c>
      <c r="AK9">
        <v>56078603</v>
      </c>
      <c r="AL9" s="1021" t="s">
        <v>1206</v>
      </c>
      <c r="AT9" s="29" t="s">
        <v>303</v>
      </c>
      <c r="AU9" s="27"/>
      <c r="AV9" s="27"/>
    </row>
    <row r="10" spans="3:48" x14ac:dyDescent="0.2">
      <c r="C10">
        <v>180761</v>
      </c>
      <c r="D10" t="s">
        <v>1214</v>
      </c>
      <c r="E10" t="s">
        <v>1222</v>
      </c>
      <c r="F10" t="s">
        <v>1372</v>
      </c>
      <c r="G10">
        <v>0</v>
      </c>
      <c r="H10" t="s">
        <v>1373</v>
      </c>
      <c r="J10" t="s">
        <v>819</v>
      </c>
      <c r="K10" t="s">
        <v>1358</v>
      </c>
      <c r="L10" t="s">
        <v>1358</v>
      </c>
      <c r="M10" t="s">
        <v>1358</v>
      </c>
      <c r="O10" s="1021" t="s">
        <v>1218</v>
      </c>
      <c r="P10" s="1021" t="s">
        <v>1218</v>
      </c>
      <c r="Q10" s="1021" t="s">
        <v>1218</v>
      </c>
      <c r="U10">
        <v>0</v>
      </c>
      <c r="W10">
        <v>0</v>
      </c>
      <c r="Z10" t="s">
        <v>1358</v>
      </c>
      <c r="AA10" t="s">
        <v>1358</v>
      </c>
      <c r="AB10">
        <v>662</v>
      </c>
      <c r="AC10">
        <v>1</v>
      </c>
      <c r="AJ10">
        <v>10</v>
      </c>
      <c r="AK10">
        <v>56078603</v>
      </c>
      <c r="AL10" s="1021" t="s">
        <v>1173</v>
      </c>
      <c r="AM10" t="s">
        <v>314</v>
      </c>
      <c r="AQ10" t="s">
        <v>1219</v>
      </c>
    </row>
    <row r="11" spans="3:48" x14ac:dyDescent="0.2">
      <c r="C11">
        <v>180762</v>
      </c>
      <c r="D11" t="s">
        <v>1225</v>
      </c>
      <c r="E11" t="s">
        <v>1222</v>
      </c>
      <c r="F11" t="s">
        <v>1372</v>
      </c>
      <c r="G11">
        <v>0</v>
      </c>
      <c r="H11" t="s">
        <v>1373</v>
      </c>
      <c r="J11" t="s">
        <v>819</v>
      </c>
      <c r="K11" t="s">
        <v>1358</v>
      </c>
      <c r="L11" t="s">
        <v>1358</v>
      </c>
      <c r="M11" t="s">
        <v>1358</v>
      </c>
      <c r="O11" s="1021" t="s">
        <v>1218</v>
      </c>
      <c r="P11" s="1021" t="s">
        <v>1218</v>
      </c>
      <c r="Q11" s="1021" t="s">
        <v>1218</v>
      </c>
      <c r="U11">
        <v>0</v>
      </c>
      <c r="W11">
        <v>0</v>
      </c>
      <c r="Z11" t="s">
        <v>1358</v>
      </c>
      <c r="AA11" t="s">
        <v>1358</v>
      </c>
      <c r="AB11">
        <v>624</v>
      </c>
      <c r="AC11">
        <v>1</v>
      </c>
      <c r="AJ11">
        <v>10</v>
      </c>
      <c r="AK11">
        <v>56078603</v>
      </c>
      <c r="AL11" s="1021" t="s">
        <v>1173</v>
      </c>
      <c r="AM11" t="s">
        <v>314</v>
      </c>
      <c r="AQ11" t="s">
        <v>1219</v>
      </c>
    </row>
    <row r="12" spans="3:48" x14ac:dyDescent="0.2">
      <c r="C12">
        <v>180763</v>
      </c>
      <c r="D12" t="s">
        <v>1188</v>
      </c>
      <c r="E12" t="s">
        <v>1196</v>
      </c>
      <c r="F12" t="s">
        <v>1195</v>
      </c>
      <c r="G12">
        <v>1</v>
      </c>
      <c r="H12" t="s">
        <v>314</v>
      </c>
      <c r="I12" t="s">
        <v>314</v>
      </c>
      <c r="J12" t="s">
        <v>1356</v>
      </c>
      <c r="K12" t="s">
        <v>1358</v>
      </c>
      <c r="L12" t="s">
        <v>1357</v>
      </c>
      <c r="M12" t="s">
        <v>1358</v>
      </c>
      <c r="N12" t="s">
        <v>1359</v>
      </c>
      <c r="O12" s="1021" t="s">
        <v>1218</v>
      </c>
      <c r="P12" s="1021" t="s">
        <v>1218</v>
      </c>
      <c r="Q12" s="1021" t="s">
        <v>1218</v>
      </c>
      <c r="U12">
        <v>1</v>
      </c>
      <c r="V12">
        <v>1</v>
      </c>
      <c r="W12">
        <v>0</v>
      </c>
      <c r="Z12" t="s">
        <v>1358</v>
      </c>
      <c r="AA12" t="s">
        <v>1358</v>
      </c>
      <c r="AB12">
        <v>713</v>
      </c>
      <c r="AC12">
        <v>5</v>
      </c>
      <c r="AJ12">
        <v>1</v>
      </c>
      <c r="AK12">
        <v>56078603</v>
      </c>
      <c r="AL12" s="1021" t="s">
        <v>1173</v>
      </c>
      <c r="AM12" t="s">
        <v>1374</v>
      </c>
      <c r="AQ12" t="s">
        <v>1194</v>
      </c>
    </row>
    <row r="13" spans="3:48" x14ac:dyDescent="0.2">
      <c r="C13">
        <v>180764</v>
      </c>
      <c r="D13" t="s">
        <v>1227</v>
      </c>
      <c r="E13" t="s">
        <v>1196</v>
      </c>
      <c r="F13" t="s">
        <v>1234</v>
      </c>
      <c r="G13">
        <v>0</v>
      </c>
      <c r="I13" t="s">
        <v>607</v>
      </c>
      <c r="J13" t="s">
        <v>1356</v>
      </c>
      <c r="K13" t="s">
        <v>1358</v>
      </c>
      <c r="L13" t="s">
        <v>1375</v>
      </c>
      <c r="M13" t="s">
        <v>1375</v>
      </c>
      <c r="N13" t="s">
        <v>1359</v>
      </c>
      <c r="O13" s="1021" t="s">
        <v>1228</v>
      </c>
      <c r="P13" s="1021" t="s">
        <v>1376</v>
      </c>
      <c r="Q13" s="1021" t="s">
        <v>1376</v>
      </c>
      <c r="U13">
        <v>60</v>
      </c>
      <c r="V13">
        <v>3</v>
      </c>
      <c r="AB13">
        <v>453</v>
      </c>
      <c r="AJ13">
        <v>10</v>
      </c>
      <c r="AK13">
        <v>56078603</v>
      </c>
      <c r="AL13" s="1021" t="s">
        <v>1173</v>
      </c>
      <c r="AM13" t="s">
        <v>314</v>
      </c>
      <c r="AQ13" t="s">
        <v>1377</v>
      </c>
    </row>
    <row r="14" spans="3:48" x14ac:dyDescent="0.2">
      <c r="C14">
        <v>180765</v>
      </c>
      <c r="D14" t="s">
        <v>1197</v>
      </c>
      <c r="E14" t="s">
        <v>1204</v>
      </c>
      <c r="F14" t="s">
        <v>1378</v>
      </c>
      <c r="G14">
        <v>0</v>
      </c>
      <c r="H14" t="s">
        <v>314</v>
      </c>
      <c r="I14" t="s">
        <v>1355</v>
      </c>
      <c r="J14" t="s">
        <v>819</v>
      </c>
      <c r="K14" t="s">
        <v>1358</v>
      </c>
      <c r="L14" t="s">
        <v>1358</v>
      </c>
      <c r="M14" t="s">
        <v>1375</v>
      </c>
      <c r="O14" s="1021" t="s">
        <v>1199</v>
      </c>
      <c r="P14" s="1021" t="s">
        <v>1218</v>
      </c>
      <c r="Q14" s="1021" t="s">
        <v>1218</v>
      </c>
      <c r="U14">
        <v>0</v>
      </c>
      <c r="V14">
        <v>0</v>
      </c>
      <c r="W14">
        <v>0</v>
      </c>
      <c r="X14">
        <v>0</v>
      </c>
      <c r="Z14" t="s">
        <v>1358</v>
      </c>
      <c r="AA14" t="s">
        <v>1358</v>
      </c>
      <c r="AB14">
        <v>416</v>
      </c>
      <c r="AC14">
        <v>5</v>
      </c>
      <c r="AJ14">
        <v>10</v>
      </c>
      <c r="AK14">
        <v>56078603</v>
      </c>
      <c r="AL14" s="1021" t="s">
        <v>1173</v>
      </c>
      <c r="AM14" t="s">
        <v>314</v>
      </c>
      <c r="AQ14" t="s">
        <v>1201</v>
      </c>
    </row>
    <row r="15" spans="3:48" x14ac:dyDescent="0.2">
      <c r="C15">
        <v>180766</v>
      </c>
      <c r="D15" t="s">
        <v>1261</v>
      </c>
      <c r="E15" t="s">
        <v>1270</v>
      </c>
      <c r="F15" t="s">
        <v>1268</v>
      </c>
      <c r="G15">
        <v>1</v>
      </c>
      <c r="H15" t="s">
        <v>314</v>
      </c>
      <c r="I15" t="s">
        <v>314</v>
      </c>
      <c r="J15" t="s">
        <v>1356</v>
      </c>
      <c r="K15" t="s">
        <v>1358</v>
      </c>
      <c r="L15" t="s">
        <v>1357</v>
      </c>
      <c r="M15" t="s">
        <v>1358</v>
      </c>
      <c r="N15" t="s">
        <v>1359</v>
      </c>
      <c r="O15" s="1021" t="s">
        <v>1218</v>
      </c>
      <c r="P15" s="1021" t="s">
        <v>1218</v>
      </c>
      <c r="Q15" s="1021" t="s">
        <v>1218</v>
      </c>
      <c r="U15">
        <v>1</v>
      </c>
      <c r="V15">
        <v>1</v>
      </c>
      <c r="W15">
        <v>0</v>
      </c>
      <c r="Z15" t="s">
        <v>1358</v>
      </c>
      <c r="AA15" t="s">
        <v>1358</v>
      </c>
      <c r="AB15">
        <v>201</v>
      </c>
      <c r="AC15">
        <v>5</v>
      </c>
      <c r="AJ15">
        <v>1</v>
      </c>
      <c r="AK15">
        <v>56078603</v>
      </c>
      <c r="AL15" s="1021" t="s">
        <v>1173</v>
      </c>
      <c r="AM15" t="s">
        <v>1374</v>
      </c>
      <c r="AQ15" t="s">
        <v>1267</v>
      </c>
    </row>
    <row r="16" spans="3:48" x14ac:dyDescent="0.2">
      <c r="C16">
        <v>180767</v>
      </c>
      <c r="D16" t="s">
        <v>1280</v>
      </c>
      <c r="E16" t="s">
        <v>1287</v>
      </c>
      <c r="F16" t="s">
        <v>1379</v>
      </c>
      <c r="G16">
        <v>0</v>
      </c>
      <c r="H16" t="s">
        <v>1373</v>
      </c>
      <c r="I16" t="s">
        <v>1355</v>
      </c>
      <c r="J16" t="s">
        <v>1356</v>
      </c>
      <c r="K16" t="s">
        <v>1375</v>
      </c>
      <c r="L16" t="s">
        <v>1357</v>
      </c>
      <c r="M16" t="s">
        <v>1375</v>
      </c>
      <c r="O16" s="1021" t="s">
        <v>1282</v>
      </c>
      <c r="P16" s="1021" t="s">
        <v>1380</v>
      </c>
      <c r="Q16" s="1021" t="s">
        <v>1380</v>
      </c>
      <c r="T16" t="s">
        <v>1381</v>
      </c>
      <c r="U16">
        <v>0</v>
      </c>
      <c r="V16">
        <v>0</v>
      </c>
      <c r="W16">
        <v>0</v>
      </c>
      <c r="X16">
        <v>0</v>
      </c>
      <c r="Z16" t="s">
        <v>1375</v>
      </c>
      <c r="AA16" t="s">
        <v>1375</v>
      </c>
      <c r="AB16">
        <v>526</v>
      </c>
      <c r="AC16">
        <v>1</v>
      </c>
      <c r="AI16" t="s">
        <v>1382</v>
      </c>
      <c r="AJ16">
        <v>8</v>
      </c>
      <c r="AK16">
        <v>56078603</v>
      </c>
      <c r="AL16" s="1021" t="s">
        <v>1173</v>
      </c>
      <c r="AM16" t="s">
        <v>312</v>
      </c>
      <c r="AQ16" t="s">
        <v>1285</v>
      </c>
    </row>
    <row r="17" spans="3:43" x14ac:dyDescent="0.2">
      <c r="C17">
        <v>180768</v>
      </c>
      <c r="D17" t="s">
        <v>1289</v>
      </c>
      <c r="E17" t="s">
        <v>1287</v>
      </c>
      <c r="F17" t="s">
        <v>1383</v>
      </c>
      <c r="G17">
        <v>0</v>
      </c>
      <c r="H17" t="s">
        <v>1373</v>
      </c>
      <c r="I17" t="s">
        <v>1355</v>
      </c>
      <c r="J17" t="s">
        <v>1356</v>
      </c>
      <c r="K17" t="s">
        <v>1375</v>
      </c>
      <c r="L17" t="s">
        <v>1357</v>
      </c>
      <c r="M17" t="s">
        <v>1375</v>
      </c>
      <c r="O17" s="1021" t="s">
        <v>1290</v>
      </c>
      <c r="P17" s="1021" t="s">
        <v>1384</v>
      </c>
      <c r="Q17" s="1021" t="s">
        <v>1218</v>
      </c>
      <c r="T17" t="s">
        <v>1381</v>
      </c>
      <c r="U17">
        <v>0</v>
      </c>
      <c r="V17">
        <v>0</v>
      </c>
      <c r="W17">
        <v>0</v>
      </c>
      <c r="X17">
        <v>0</v>
      </c>
      <c r="Z17" t="s">
        <v>1375</v>
      </c>
      <c r="AA17" t="s">
        <v>1375</v>
      </c>
      <c r="AB17">
        <v>23</v>
      </c>
      <c r="AC17">
        <v>1</v>
      </c>
      <c r="AI17" t="s">
        <v>1385</v>
      </c>
      <c r="AJ17">
        <v>8</v>
      </c>
      <c r="AK17">
        <v>56078603</v>
      </c>
      <c r="AL17" s="1021" t="s">
        <v>1173</v>
      </c>
      <c r="AM17" t="s">
        <v>312</v>
      </c>
      <c r="AQ17" t="s">
        <v>1291</v>
      </c>
    </row>
    <row r="18" spans="3:43" x14ac:dyDescent="0.2">
      <c r="C18">
        <v>180769</v>
      </c>
      <c r="D18" t="s">
        <v>1386</v>
      </c>
      <c r="E18" t="s">
        <v>1287</v>
      </c>
      <c r="F18" t="s">
        <v>1387</v>
      </c>
      <c r="G18">
        <v>26116.76</v>
      </c>
      <c r="H18" t="s">
        <v>1373</v>
      </c>
      <c r="I18" t="s">
        <v>1388</v>
      </c>
      <c r="J18" t="s">
        <v>626</v>
      </c>
      <c r="K18" t="s">
        <v>1375</v>
      </c>
      <c r="L18" t="s">
        <v>1357</v>
      </c>
      <c r="M18" t="s">
        <v>1375</v>
      </c>
      <c r="O18" s="1021" t="s">
        <v>1389</v>
      </c>
      <c r="P18" s="1021" t="s">
        <v>1390</v>
      </c>
      <c r="Q18" s="1021" t="s">
        <v>1390</v>
      </c>
      <c r="T18" t="s">
        <v>1381</v>
      </c>
      <c r="V18">
        <v>1</v>
      </c>
      <c r="W18">
        <v>11201.48</v>
      </c>
      <c r="X18">
        <v>0</v>
      </c>
      <c r="Z18" t="s">
        <v>1357</v>
      </c>
      <c r="AA18" t="s">
        <v>1375</v>
      </c>
      <c r="AB18">
        <v>672</v>
      </c>
      <c r="AC18">
        <v>1</v>
      </c>
      <c r="AJ18">
        <v>5</v>
      </c>
      <c r="AK18">
        <v>56078603</v>
      </c>
      <c r="AL18" s="1021" t="s">
        <v>1173</v>
      </c>
      <c r="AM18" t="s">
        <v>34</v>
      </c>
      <c r="AQ18" t="s">
        <v>1391</v>
      </c>
    </row>
    <row r="19" spans="3:43" x14ac:dyDescent="0.2">
      <c r="C19">
        <v>180770</v>
      </c>
      <c r="D19" t="s">
        <v>1392</v>
      </c>
      <c r="E19" t="s">
        <v>1287</v>
      </c>
      <c r="F19" t="s">
        <v>1387</v>
      </c>
      <c r="G19">
        <v>3644.8</v>
      </c>
      <c r="H19" t="s">
        <v>1373</v>
      </c>
      <c r="I19" t="s">
        <v>1388</v>
      </c>
      <c r="J19" t="s">
        <v>626</v>
      </c>
      <c r="K19" t="s">
        <v>1375</v>
      </c>
      <c r="L19" t="s">
        <v>1357</v>
      </c>
      <c r="M19" t="s">
        <v>1375</v>
      </c>
      <c r="O19" s="1021" t="s">
        <v>1393</v>
      </c>
      <c r="P19" s="1021" t="s">
        <v>1394</v>
      </c>
      <c r="Q19" s="1021" t="s">
        <v>1394</v>
      </c>
      <c r="T19" t="s">
        <v>1381</v>
      </c>
      <c r="V19">
        <v>1</v>
      </c>
      <c r="W19">
        <v>2166.4699999999998</v>
      </c>
      <c r="X19">
        <v>0</v>
      </c>
      <c r="Z19" t="s">
        <v>1357</v>
      </c>
      <c r="AA19" t="s">
        <v>1375</v>
      </c>
      <c r="AB19">
        <v>51</v>
      </c>
      <c r="AC19">
        <v>1</v>
      </c>
      <c r="AJ19">
        <v>5</v>
      </c>
      <c r="AK19">
        <v>56078603</v>
      </c>
      <c r="AL19" s="1021" t="s">
        <v>1173</v>
      </c>
      <c r="AM19" t="s">
        <v>34</v>
      </c>
      <c r="AQ19" t="s">
        <v>1391</v>
      </c>
    </row>
    <row r="20" spans="3:43" x14ac:dyDescent="0.2">
      <c r="C20">
        <v>180771</v>
      </c>
      <c r="D20" t="s">
        <v>1293</v>
      </c>
      <c r="E20" t="s">
        <v>1301</v>
      </c>
      <c r="F20" t="s">
        <v>1298</v>
      </c>
      <c r="G20">
        <v>0</v>
      </c>
      <c r="H20" t="s">
        <v>1373</v>
      </c>
      <c r="I20" t="s">
        <v>1355</v>
      </c>
      <c r="J20" t="s">
        <v>1356</v>
      </c>
      <c r="K20" t="s">
        <v>1375</v>
      </c>
      <c r="L20" t="s">
        <v>1375</v>
      </c>
      <c r="M20" t="s">
        <v>1375</v>
      </c>
      <c r="N20" t="s">
        <v>1359</v>
      </c>
      <c r="O20" s="1021" t="s">
        <v>1294</v>
      </c>
      <c r="P20" s="1021" t="s">
        <v>1395</v>
      </c>
      <c r="Q20" s="1021" t="s">
        <v>1395</v>
      </c>
      <c r="U20">
        <v>0</v>
      </c>
      <c r="W20">
        <v>106.34</v>
      </c>
      <c r="X20">
        <v>1</v>
      </c>
      <c r="Y20" s="1021" t="s">
        <v>1396</v>
      </c>
      <c r="Z20" t="s">
        <v>1375</v>
      </c>
      <c r="AA20" t="s">
        <v>1358</v>
      </c>
      <c r="AB20">
        <v>443</v>
      </c>
      <c r="AC20">
        <v>1</v>
      </c>
      <c r="AD20">
        <v>0</v>
      </c>
      <c r="AE20">
        <v>0</v>
      </c>
      <c r="AI20" t="s">
        <v>1397</v>
      </c>
      <c r="AJ20">
        <v>8</v>
      </c>
      <c r="AK20">
        <v>56078603</v>
      </c>
      <c r="AL20" s="1021" t="s">
        <v>1173</v>
      </c>
      <c r="AM20" t="s">
        <v>312</v>
      </c>
      <c r="AQ20" t="s">
        <v>1398</v>
      </c>
    </row>
    <row r="21" spans="3:43" x14ac:dyDescent="0.2">
      <c r="C21">
        <v>180772</v>
      </c>
      <c r="D21" t="s">
        <v>1293</v>
      </c>
      <c r="E21" t="s">
        <v>1301</v>
      </c>
      <c r="F21" t="s">
        <v>1399</v>
      </c>
      <c r="G21">
        <v>0</v>
      </c>
      <c r="H21" t="s">
        <v>1373</v>
      </c>
      <c r="I21" t="s">
        <v>607</v>
      </c>
      <c r="J21" t="s">
        <v>626</v>
      </c>
      <c r="K21" t="s">
        <v>1375</v>
      </c>
      <c r="L21" t="s">
        <v>1375</v>
      </c>
      <c r="M21" t="s">
        <v>1375</v>
      </c>
      <c r="N21" t="s">
        <v>1359</v>
      </c>
      <c r="O21" s="1021" t="s">
        <v>1294</v>
      </c>
      <c r="P21" s="1021" t="s">
        <v>1395</v>
      </c>
      <c r="Q21" s="1021" t="s">
        <v>1395</v>
      </c>
      <c r="U21">
        <v>0</v>
      </c>
      <c r="V21">
        <v>3</v>
      </c>
      <c r="W21">
        <v>2.78</v>
      </c>
      <c r="Z21" t="s">
        <v>1375</v>
      </c>
      <c r="AA21" t="s">
        <v>1358</v>
      </c>
      <c r="AB21">
        <v>443</v>
      </c>
      <c r="AC21">
        <v>1</v>
      </c>
      <c r="AD21">
        <v>0</v>
      </c>
      <c r="AE21">
        <v>0</v>
      </c>
      <c r="AG21">
        <v>2</v>
      </c>
      <c r="AH21">
        <v>2</v>
      </c>
      <c r="AI21" t="s">
        <v>1400</v>
      </c>
      <c r="AJ21">
        <v>5</v>
      </c>
      <c r="AK21">
        <v>56078603</v>
      </c>
      <c r="AL21" s="1021" t="s">
        <v>1173</v>
      </c>
      <c r="AM21" t="s">
        <v>34</v>
      </c>
      <c r="AO21" t="s">
        <v>1401</v>
      </c>
      <c r="AP21" t="s">
        <v>1375</v>
      </c>
      <c r="AQ21" t="s">
        <v>1209</v>
      </c>
    </row>
    <row r="22" spans="3:43" x14ac:dyDescent="0.2">
      <c r="C22">
        <v>180773</v>
      </c>
      <c r="D22" t="s">
        <v>1303</v>
      </c>
      <c r="E22" t="s">
        <v>1301</v>
      </c>
      <c r="F22" t="s">
        <v>1306</v>
      </c>
      <c r="G22">
        <v>0</v>
      </c>
      <c r="H22" t="s">
        <v>1373</v>
      </c>
      <c r="I22" t="s">
        <v>1355</v>
      </c>
      <c r="J22" t="s">
        <v>1356</v>
      </c>
      <c r="K22" t="s">
        <v>1375</v>
      </c>
      <c r="L22" t="s">
        <v>1375</v>
      </c>
      <c r="M22" t="s">
        <v>1375</v>
      </c>
      <c r="N22" t="s">
        <v>1359</v>
      </c>
      <c r="O22" s="1021" t="s">
        <v>1299</v>
      </c>
      <c r="P22" s="1021" t="s">
        <v>1402</v>
      </c>
      <c r="Q22" s="1021" t="s">
        <v>1402</v>
      </c>
      <c r="U22">
        <v>0</v>
      </c>
      <c r="W22">
        <v>0</v>
      </c>
      <c r="X22">
        <v>1</v>
      </c>
      <c r="Y22" s="1021" t="s">
        <v>1396</v>
      </c>
      <c r="Z22" t="s">
        <v>1375</v>
      </c>
      <c r="AA22" t="s">
        <v>1358</v>
      </c>
      <c r="AB22">
        <v>807</v>
      </c>
      <c r="AC22">
        <v>1</v>
      </c>
      <c r="AD22">
        <v>0</v>
      </c>
      <c r="AE22">
        <v>0</v>
      </c>
      <c r="AI22" t="s">
        <v>1403</v>
      </c>
      <c r="AJ22">
        <v>8</v>
      </c>
      <c r="AK22">
        <v>56078603</v>
      </c>
      <c r="AL22" s="1021" t="s">
        <v>1173</v>
      </c>
      <c r="AM22" t="s">
        <v>312</v>
      </c>
      <c r="AQ22" t="s">
        <v>1305</v>
      </c>
    </row>
    <row r="23" spans="3:43" x14ac:dyDescent="0.2">
      <c r="C23">
        <v>180774</v>
      </c>
      <c r="D23" t="s">
        <v>1309</v>
      </c>
      <c r="E23" t="s">
        <v>1301</v>
      </c>
      <c r="F23" t="s">
        <v>1312</v>
      </c>
      <c r="G23">
        <v>0</v>
      </c>
      <c r="H23" t="s">
        <v>1373</v>
      </c>
      <c r="I23" t="s">
        <v>1355</v>
      </c>
      <c r="J23" t="s">
        <v>1356</v>
      </c>
      <c r="K23" t="s">
        <v>1375</v>
      </c>
      <c r="L23" t="s">
        <v>1375</v>
      </c>
      <c r="M23" t="s">
        <v>1375</v>
      </c>
      <c r="N23" t="s">
        <v>1359</v>
      </c>
      <c r="O23" s="1021" t="s">
        <v>1310</v>
      </c>
      <c r="P23" s="1021" t="s">
        <v>1404</v>
      </c>
      <c r="Q23" s="1021" t="s">
        <v>1404</v>
      </c>
      <c r="U23">
        <v>0</v>
      </c>
      <c r="W23">
        <v>166.41</v>
      </c>
      <c r="X23">
        <v>1</v>
      </c>
      <c r="Y23" s="1021" t="s">
        <v>1405</v>
      </c>
      <c r="Z23" t="s">
        <v>1375</v>
      </c>
      <c r="AA23" t="s">
        <v>1358</v>
      </c>
      <c r="AB23">
        <v>177</v>
      </c>
      <c r="AC23">
        <v>1</v>
      </c>
      <c r="AD23">
        <v>0</v>
      </c>
      <c r="AE23">
        <v>0</v>
      </c>
      <c r="AI23" t="s">
        <v>1406</v>
      </c>
      <c r="AJ23">
        <v>8</v>
      </c>
      <c r="AK23">
        <v>56078603</v>
      </c>
      <c r="AL23" s="1021" t="s">
        <v>1173</v>
      </c>
      <c r="AM23" t="s">
        <v>312</v>
      </c>
      <c r="AQ23" t="s">
        <v>1407</v>
      </c>
    </row>
    <row r="24" spans="3:43" x14ac:dyDescent="0.2">
      <c r="C24">
        <v>180775</v>
      </c>
      <c r="D24" t="s">
        <v>1315</v>
      </c>
      <c r="E24" t="s">
        <v>1301</v>
      </c>
      <c r="F24" t="s">
        <v>1318</v>
      </c>
      <c r="G24">
        <v>0</v>
      </c>
      <c r="H24" t="s">
        <v>1373</v>
      </c>
      <c r="I24" t="s">
        <v>1355</v>
      </c>
      <c r="J24" t="s">
        <v>1356</v>
      </c>
      <c r="K24" t="s">
        <v>1375</v>
      </c>
      <c r="L24" t="s">
        <v>1375</v>
      </c>
      <c r="M24" t="s">
        <v>1375</v>
      </c>
      <c r="N24" t="s">
        <v>1359</v>
      </c>
      <c r="O24" s="1021" t="s">
        <v>1316</v>
      </c>
      <c r="P24" s="1021" t="s">
        <v>1408</v>
      </c>
      <c r="Q24" s="1021" t="s">
        <v>1408</v>
      </c>
      <c r="U24">
        <v>0</v>
      </c>
      <c r="W24">
        <v>0</v>
      </c>
      <c r="X24">
        <v>1</v>
      </c>
      <c r="Y24" s="1021" t="s">
        <v>1409</v>
      </c>
      <c r="Z24" t="s">
        <v>1375</v>
      </c>
      <c r="AA24" t="s">
        <v>1358</v>
      </c>
      <c r="AB24">
        <v>56</v>
      </c>
      <c r="AC24">
        <v>1</v>
      </c>
      <c r="AD24">
        <v>0</v>
      </c>
      <c r="AE24">
        <v>0</v>
      </c>
      <c r="AI24" t="s">
        <v>1397</v>
      </c>
      <c r="AJ24">
        <v>8</v>
      </c>
      <c r="AK24">
        <v>56078603</v>
      </c>
      <c r="AL24" s="1021" t="s">
        <v>1173</v>
      </c>
      <c r="AM24" t="s">
        <v>312</v>
      </c>
      <c r="AQ24" t="s">
        <v>1297</v>
      </c>
    </row>
    <row r="25" spans="3:43" x14ac:dyDescent="0.2">
      <c r="C25">
        <v>180776</v>
      </c>
      <c r="D25" t="s">
        <v>1321</v>
      </c>
      <c r="E25" t="s">
        <v>1301</v>
      </c>
      <c r="F25" t="s">
        <v>1324</v>
      </c>
      <c r="G25">
        <v>0</v>
      </c>
      <c r="H25" t="s">
        <v>1373</v>
      </c>
      <c r="I25" t="s">
        <v>1355</v>
      </c>
      <c r="J25" t="s">
        <v>1356</v>
      </c>
      <c r="K25" t="s">
        <v>1375</v>
      </c>
      <c r="L25" t="s">
        <v>1375</v>
      </c>
      <c r="M25" t="s">
        <v>1375</v>
      </c>
      <c r="N25" t="s">
        <v>1359</v>
      </c>
      <c r="O25" s="1021" t="s">
        <v>1322</v>
      </c>
      <c r="P25" s="1021" t="s">
        <v>1408</v>
      </c>
      <c r="Q25" s="1021" t="s">
        <v>1408</v>
      </c>
      <c r="U25">
        <v>0</v>
      </c>
      <c r="W25">
        <v>2519.2199999999998</v>
      </c>
      <c r="X25">
        <v>1</v>
      </c>
      <c r="Y25" s="1021" t="s">
        <v>1409</v>
      </c>
      <c r="Z25" t="s">
        <v>1375</v>
      </c>
      <c r="AA25" t="s">
        <v>1358</v>
      </c>
      <c r="AB25">
        <v>439</v>
      </c>
      <c r="AC25">
        <v>1</v>
      </c>
      <c r="AD25">
        <v>0</v>
      </c>
      <c r="AE25">
        <v>0</v>
      </c>
      <c r="AI25" t="s">
        <v>1397</v>
      </c>
      <c r="AJ25">
        <v>8</v>
      </c>
      <c r="AK25">
        <v>56078603</v>
      </c>
      <c r="AL25" s="1021" t="s">
        <v>1173</v>
      </c>
      <c r="AM25" t="s">
        <v>312</v>
      </c>
      <c r="AQ25" t="s">
        <v>1297</v>
      </c>
    </row>
    <row r="26" spans="3:43" x14ac:dyDescent="0.2">
      <c r="C26">
        <v>180777</v>
      </c>
      <c r="D26" t="s">
        <v>1325</v>
      </c>
      <c r="E26" t="s">
        <v>1301</v>
      </c>
      <c r="F26" t="s">
        <v>1324</v>
      </c>
      <c r="G26">
        <v>0</v>
      </c>
      <c r="H26" t="s">
        <v>1373</v>
      </c>
      <c r="I26" t="s">
        <v>1355</v>
      </c>
      <c r="J26" t="s">
        <v>1356</v>
      </c>
      <c r="K26" t="s">
        <v>1375</v>
      </c>
      <c r="L26" t="s">
        <v>1375</v>
      </c>
      <c r="M26" t="s">
        <v>1375</v>
      </c>
      <c r="N26" t="s">
        <v>1359</v>
      </c>
      <c r="O26" s="1021" t="s">
        <v>1326</v>
      </c>
      <c r="P26" s="1021" t="s">
        <v>1410</v>
      </c>
      <c r="Q26" s="1021" t="s">
        <v>1410</v>
      </c>
      <c r="U26">
        <v>0</v>
      </c>
      <c r="W26">
        <v>0</v>
      </c>
      <c r="X26">
        <v>1</v>
      </c>
      <c r="Y26" s="1021" t="s">
        <v>1411</v>
      </c>
      <c r="Z26" t="s">
        <v>1375</v>
      </c>
      <c r="AA26" t="s">
        <v>1358</v>
      </c>
      <c r="AB26">
        <v>384</v>
      </c>
      <c r="AC26">
        <v>1</v>
      </c>
      <c r="AD26">
        <v>0</v>
      </c>
      <c r="AE26">
        <v>0</v>
      </c>
      <c r="AI26" t="s">
        <v>1397</v>
      </c>
      <c r="AJ26">
        <v>8</v>
      </c>
      <c r="AK26">
        <v>56078603</v>
      </c>
      <c r="AL26" s="1021" t="s">
        <v>1173</v>
      </c>
      <c r="AM26" t="s">
        <v>312</v>
      </c>
      <c r="AQ26" t="s">
        <v>1297</v>
      </c>
    </row>
    <row r="27" spans="3:43" x14ac:dyDescent="0.2">
      <c r="C27">
        <v>180778</v>
      </c>
      <c r="D27" t="s">
        <v>1330</v>
      </c>
      <c r="E27" t="s">
        <v>1339</v>
      </c>
      <c r="F27" t="s">
        <v>1337</v>
      </c>
      <c r="G27">
        <v>0</v>
      </c>
      <c r="I27" t="s">
        <v>607</v>
      </c>
      <c r="O27" s="1021" t="s">
        <v>1333</v>
      </c>
      <c r="P27" s="1021" t="s">
        <v>1336</v>
      </c>
      <c r="Q27" s="1021" t="s">
        <v>1336</v>
      </c>
      <c r="U27">
        <v>36</v>
      </c>
      <c r="AB27">
        <v>993</v>
      </c>
      <c r="AJ27">
        <v>9</v>
      </c>
      <c r="AK27">
        <v>56078603</v>
      </c>
      <c r="AL27" s="1021" t="s">
        <v>1332</v>
      </c>
      <c r="AM27" t="s">
        <v>1412</v>
      </c>
      <c r="AQ27" t="s">
        <v>1350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116"/>
  <dimension ref="C5:F120"/>
  <sheetViews>
    <sheetView rightToLeft="1" workbookViewId="0">
      <selection activeCell="AL8" sqref="AL8"/>
    </sheetView>
  </sheetViews>
  <sheetFormatPr defaultRowHeight="12.75" x14ac:dyDescent="0.2"/>
  <sheetData>
    <row r="5" spans="3:6" ht="31.5" x14ac:dyDescent="0.25">
      <c r="C5" s="3" t="s">
        <v>2</v>
      </c>
      <c r="D5" s="3" t="s">
        <v>137</v>
      </c>
      <c r="E5" s="3" t="s">
        <v>138</v>
      </c>
      <c r="F5" s="3" t="s">
        <v>249</v>
      </c>
    </row>
    <row r="6" spans="3:6" x14ac:dyDescent="0.2">
      <c r="F6">
        <f>MAX(D6:E6)</f>
        <v>0</v>
      </c>
    </row>
    <row r="7" spans="3:6" x14ac:dyDescent="0.2">
      <c r="F7">
        <f t="shared" ref="F7:F70" si="0">MAX(D7:E7)</f>
        <v>0</v>
      </c>
    </row>
    <row r="8" spans="3:6" x14ac:dyDescent="0.2">
      <c r="F8">
        <f t="shared" si="0"/>
        <v>0</v>
      </c>
    </row>
    <row r="9" spans="3:6" x14ac:dyDescent="0.2">
      <c r="F9">
        <f t="shared" si="0"/>
        <v>0</v>
      </c>
    </row>
    <row r="10" spans="3:6" x14ac:dyDescent="0.2">
      <c r="F10">
        <f t="shared" si="0"/>
        <v>0</v>
      </c>
    </row>
    <row r="11" spans="3:6" x14ac:dyDescent="0.2">
      <c r="F11">
        <f t="shared" si="0"/>
        <v>0</v>
      </c>
    </row>
    <row r="12" spans="3:6" x14ac:dyDescent="0.2">
      <c r="F12">
        <f t="shared" si="0"/>
        <v>0</v>
      </c>
    </row>
    <row r="13" spans="3:6" x14ac:dyDescent="0.2">
      <c r="F13">
        <f t="shared" si="0"/>
        <v>0</v>
      </c>
    </row>
    <row r="14" spans="3:6" x14ac:dyDescent="0.2">
      <c r="F14">
        <f t="shared" si="0"/>
        <v>0</v>
      </c>
    </row>
    <row r="15" spans="3:6" x14ac:dyDescent="0.2">
      <c r="F15">
        <f t="shared" si="0"/>
        <v>0</v>
      </c>
    </row>
    <row r="16" spans="3:6" x14ac:dyDescent="0.2">
      <c r="F16">
        <f t="shared" si="0"/>
        <v>0</v>
      </c>
    </row>
    <row r="17" spans="6:6" x14ac:dyDescent="0.2">
      <c r="F17">
        <f t="shared" si="0"/>
        <v>0</v>
      </c>
    </row>
    <row r="18" spans="6:6" x14ac:dyDescent="0.2">
      <c r="F18">
        <f t="shared" si="0"/>
        <v>0</v>
      </c>
    </row>
    <row r="19" spans="6:6" x14ac:dyDescent="0.2">
      <c r="F19">
        <f t="shared" si="0"/>
        <v>0</v>
      </c>
    </row>
    <row r="20" spans="6:6" x14ac:dyDescent="0.2">
      <c r="F20">
        <f t="shared" si="0"/>
        <v>0</v>
      </c>
    </row>
    <row r="21" spans="6:6" x14ac:dyDescent="0.2">
      <c r="F21">
        <f t="shared" si="0"/>
        <v>0</v>
      </c>
    </row>
    <row r="22" spans="6:6" x14ac:dyDescent="0.2">
      <c r="F22">
        <f t="shared" si="0"/>
        <v>0</v>
      </c>
    </row>
    <row r="23" spans="6:6" x14ac:dyDescent="0.2">
      <c r="F23">
        <f t="shared" si="0"/>
        <v>0</v>
      </c>
    </row>
    <row r="24" spans="6:6" x14ac:dyDescent="0.2">
      <c r="F24">
        <f t="shared" si="0"/>
        <v>0</v>
      </c>
    </row>
    <row r="25" spans="6:6" x14ac:dyDescent="0.2">
      <c r="F25">
        <f t="shared" si="0"/>
        <v>0</v>
      </c>
    </row>
    <row r="26" spans="6:6" x14ac:dyDescent="0.2">
      <c r="F26">
        <f t="shared" si="0"/>
        <v>0</v>
      </c>
    </row>
    <row r="27" spans="6:6" x14ac:dyDescent="0.2">
      <c r="F27">
        <f t="shared" si="0"/>
        <v>0</v>
      </c>
    </row>
    <row r="28" spans="6:6" x14ac:dyDescent="0.2">
      <c r="F28">
        <f t="shared" si="0"/>
        <v>0</v>
      </c>
    </row>
    <row r="29" spans="6:6" x14ac:dyDescent="0.2">
      <c r="F29">
        <f t="shared" si="0"/>
        <v>0</v>
      </c>
    </row>
    <row r="30" spans="6:6" x14ac:dyDescent="0.2">
      <c r="F30">
        <f t="shared" si="0"/>
        <v>0</v>
      </c>
    </row>
    <row r="31" spans="6:6" x14ac:dyDescent="0.2">
      <c r="F31">
        <f t="shared" si="0"/>
        <v>0</v>
      </c>
    </row>
    <row r="32" spans="6:6" x14ac:dyDescent="0.2">
      <c r="F32">
        <f t="shared" si="0"/>
        <v>0</v>
      </c>
    </row>
    <row r="33" spans="6:6" x14ac:dyDescent="0.2">
      <c r="F33">
        <f t="shared" si="0"/>
        <v>0</v>
      </c>
    </row>
    <row r="34" spans="6:6" x14ac:dyDescent="0.2">
      <c r="F34">
        <f t="shared" si="0"/>
        <v>0</v>
      </c>
    </row>
    <row r="35" spans="6:6" x14ac:dyDescent="0.2">
      <c r="F35">
        <f t="shared" si="0"/>
        <v>0</v>
      </c>
    </row>
    <row r="36" spans="6:6" x14ac:dyDescent="0.2">
      <c r="F36">
        <f t="shared" si="0"/>
        <v>0</v>
      </c>
    </row>
    <row r="37" spans="6:6" x14ac:dyDescent="0.2">
      <c r="F37">
        <f t="shared" si="0"/>
        <v>0</v>
      </c>
    </row>
    <row r="38" spans="6:6" x14ac:dyDescent="0.2">
      <c r="F38">
        <f t="shared" si="0"/>
        <v>0</v>
      </c>
    </row>
    <row r="39" spans="6:6" x14ac:dyDescent="0.2">
      <c r="F39">
        <f t="shared" si="0"/>
        <v>0</v>
      </c>
    </row>
    <row r="40" spans="6:6" x14ac:dyDescent="0.2">
      <c r="F40">
        <f t="shared" si="0"/>
        <v>0</v>
      </c>
    </row>
    <row r="41" spans="6:6" x14ac:dyDescent="0.2">
      <c r="F41">
        <f t="shared" si="0"/>
        <v>0</v>
      </c>
    </row>
    <row r="42" spans="6:6" x14ac:dyDescent="0.2">
      <c r="F42">
        <f t="shared" si="0"/>
        <v>0</v>
      </c>
    </row>
    <row r="43" spans="6:6" x14ac:dyDescent="0.2">
      <c r="F43">
        <f t="shared" si="0"/>
        <v>0</v>
      </c>
    </row>
    <row r="44" spans="6:6" x14ac:dyDescent="0.2">
      <c r="F44">
        <f t="shared" si="0"/>
        <v>0</v>
      </c>
    </row>
    <row r="45" spans="6:6" x14ac:dyDescent="0.2">
      <c r="F45">
        <f t="shared" si="0"/>
        <v>0</v>
      </c>
    </row>
    <row r="46" spans="6:6" x14ac:dyDescent="0.2">
      <c r="F46">
        <f t="shared" si="0"/>
        <v>0</v>
      </c>
    </row>
    <row r="47" spans="6:6" x14ac:dyDescent="0.2">
      <c r="F47">
        <f t="shared" si="0"/>
        <v>0</v>
      </c>
    </row>
    <row r="48" spans="6:6" x14ac:dyDescent="0.2">
      <c r="F48">
        <f t="shared" si="0"/>
        <v>0</v>
      </c>
    </row>
    <row r="49" spans="6:6" x14ac:dyDescent="0.2">
      <c r="F49">
        <f t="shared" si="0"/>
        <v>0</v>
      </c>
    </row>
    <row r="50" spans="6:6" x14ac:dyDescent="0.2">
      <c r="F50">
        <f t="shared" si="0"/>
        <v>0</v>
      </c>
    </row>
    <row r="51" spans="6:6" x14ac:dyDescent="0.2">
      <c r="F51">
        <f t="shared" si="0"/>
        <v>0</v>
      </c>
    </row>
    <row r="52" spans="6:6" x14ac:dyDescent="0.2">
      <c r="F52">
        <f t="shared" si="0"/>
        <v>0</v>
      </c>
    </row>
    <row r="53" spans="6:6" x14ac:dyDescent="0.2">
      <c r="F53">
        <f t="shared" si="0"/>
        <v>0</v>
      </c>
    </row>
    <row r="54" spans="6:6" x14ac:dyDescent="0.2">
      <c r="F54">
        <f t="shared" si="0"/>
        <v>0</v>
      </c>
    </row>
    <row r="55" spans="6:6" x14ac:dyDescent="0.2">
      <c r="F55">
        <f t="shared" si="0"/>
        <v>0</v>
      </c>
    </row>
    <row r="56" spans="6:6" x14ac:dyDescent="0.2">
      <c r="F56">
        <f t="shared" si="0"/>
        <v>0</v>
      </c>
    </row>
    <row r="57" spans="6:6" x14ac:dyDescent="0.2">
      <c r="F57">
        <f t="shared" si="0"/>
        <v>0</v>
      </c>
    </row>
    <row r="58" spans="6:6" x14ac:dyDescent="0.2">
      <c r="F58">
        <f t="shared" si="0"/>
        <v>0</v>
      </c>
    </row>
    <row r="59" spans="6:6" x14ac:dyDescent="0.2">
      <c r="F59">
        <f t="shared" si="0"/>
        <v>0</v>
      </c>
    </row>
    <row r="60" spans="6:6" x14ac:dyDescent="0.2">
      <c r="F60">
        <f t="shared" si="0"/>
        <v>0</v>
      </c>
    </row>
    <row r="61" spans="6:6" x14ac:dyDescent="0.2">
      <c r="F61">
        <f t="shared" si="0"/>
        <v>0</v>
      </c>
    </row>
    <row r="62" spans="6:6" x14ac:dyDescent="0.2">
      <c r="F62">
        <f t="shared" si="0"/>
        <v>0</v>
      </c>
    </row>
    <row r="63" spans="6:6" x14ac:dyDescent="0.2">
      <c r="F63">
        <f t="shared" si="0"/>
        <v>0</v>
      </c>
    </row>
    <row r="64" spans="6:6" x14ac:dyDescent="0.2">
      <c r="F64">
        <f t="shared" si="0"/>
        <v>0</v>
      </c>
    </row>
    <row r="65" spans="6:6" x14ac:dyDescent="0.2">
      <c r="F65">
        <f t="shared" si="0"/>
        <v>0</v>
      </c>
    </row>
    <row r="66" spans="6:6" x14ac:dyDescent="0.2">
      <c r="F66">
        <f t="shared" si="0"/>
        <v>0</v>
      </c>
    </row>
    <row r="67" spans="6:6" x14ac:dyDescent="0.2">
      <c r="F67">
        <f t="shared" si="0"/>
        <v>0</v>
      </c>
    </row>
    <row r="68" spans="6:6" x14ac:dyDescent="0.2">
      <c r="F68">
        <f t="shared" si="0"/>
        <v>0</v>
      </c>
    </row>
    <row r="69" spans="6:6" x14ac:dyDescent="0.2">
      <c r="F69">
        <f t="shared" si="0"/>
        <v>0</v>
      </c>
    </row>
    <row r="70" spans="6:6" x14ac:dyDescent="0.2">
      <c r="F70">
        <f t="shared" si="0"/>
        <v>0</v>
      </c>
    </row>
    <row r="71" spans="6:6" x14ac:dyDescent="0.2">
      <c r="F71">
        <f t="shared" ref="F71:F120" si="1">MAX(D71:E71)</f>
        <v>0</v>
      </c>
    </row>
    <row r="72" spans="6:6" x14ac:dyDescent="0.2">
      <c r="F72">
        <f t="shared" si="1"/>
        <v>0</v>
      </c>
    </row>
    <row r="73" spans="6:6" x14ac:dyDescent="0.2">
      <c r="F73">
        <f t="shared" si="1"/>
        <v>0</v>
      </c>
    </row>
    <row r="74" spans="6:6" x14ac:dyDescent="0.2">
      <c r="F74">
        <f t="shared" si="1"/>
        <v>0</v>
      </c>
    </row>
    <row r="75" spans="6:6" x14ac:dyDescent="0.2">
      <c r="F75">
        <f t="shared" si="1"/>
        <v>0</v>
      </c>
    </row>
    <row r="76" spans="6:6" x14ac:dyDescent="0.2">
      <c r="F76">
        <f t="shared" si="1"/>
        <v>0</v>
      </c>
    </row>
    <row r="77" spans="6:6" x14ac:dyDescent="0.2">
      <c r="F77">
        <f t="shared" si="1"/>
        <v>0</v>
      </c>
    </row>
    <row r="78" spans="6:6" x14ac:dyDescent="0.2">
      <c r="F78">
        <f t="shared" si="1"/>
        <v>0</v>
      </c>
    </row>
    <row r="79" spans="6:6" x14ac:dyDescent="0.2">
      <c r="F79">
        <f t="shared" si="1"/>
        <v>0</v>
      </c>
    </row>
    <row r="80" spans="6:6" x14ac:dyDescent="0.2">
      <c r="F80">
        <f t="shared" si="1"/>
        <v>0</v>
      </c>
    </row>
    <row r="81" spans="6:6" x14ac:dyDescent="0.2">
      <c r="F81">
        <f t="shared" si="1"/>
        <v>0</v>
      </c>
    </row>
    <row r="82" spans="6:6" x14ac:dyDescent="0.2">
      <c r="F82">
        <f t="shared" si="1"/>
        <v>0</v>
      </c>
    </row>
    <row r="83" spans="6:6" x14ac:dyDescent="0.2">
      <c r="F83">
        <f t="shared" si="1"/>
        <v>0</v>
      </c>
    </row>
    <row r="84" spans="6:6" x14ac:dyDescent="0.2">
      <c r="F84">
        <f t="shared" si="1"/>
        <v>0</v>
      </c>
    </row>
    <row r="85" spans="6:6" x14ac:dyDescent="0.2">
      <c r="F85">
        <f t="shared" si="1"/>
        <v>0</v>
      </c>
    </row>
    <row r="86" spans="6:6" x14ac:dyDescent="0.2">
      <c r="F86">
        <f t="shared" si="1"/>
        <v>0</v>
      </c>
    </row>
    <row r="87" spans="6:6" x14ac:dyDescent="0.2">
      <c r="F87">
        <f t="shared" si="1"/>
        <v>0</v>
      </c>
    </row>
    <row r="88" spans="6:6" x14ac:dyDescent="0.2">
      <c r="F88">
        <f t="shared" si="1"/>
        <v>0</v>
      </c>
    </row>
    <row r="89" spans="6:6" x14ac:dyDescent="0.2">
      <c r="F89">
        <f t="shared" si="1"/>
        <v>0</v>
      </c>
    </row>
    <row r="90" spans="6:6" x14ac:dyDescent="0.2">
      <c r="F90">
        <f t="shared" si="1"/>
        <v>0</v>
      </c>
    </row>
    <row r="91" spans="6:6" x14ac:dyDescent="0.2">
      <c r="F91">
        <f t="shared" si="1"/>
        <v>0</v>
      </c>
    </row>
    <row r="92" spans="6:6" x14ac:dyDescent="0.2">
      <c r="F92">
        <f t="shared" si="1"/>
        <v>0</v>
      </c>
    </row>
    <row r="93" spans="6:6" x14ac:dyDescent="0.2">
      <c r="F93">
        <f t="shared" si="1"/>
        <v>0</v>
      </c>
    </row>
    <row r="94" spans="6:6" x14ac:dyDescent="0.2">
      <c r="F94">
        <f t="shared" si="1"/>
        <v>0</v>
      </c>
    </row>
    <row r="95" spans="6:6" x14ac:dyDescent="0.2">
      <c r="F95">
        <f t="shared" si="1"/>
        <v>0</v>
      </c>
    </row>
    <row r="96" spans="6:6" x14ac:dyDescent="0.2">
      <c r="F96">
        <f t="shared" si="1"/>
        <v>0</v>
      </c>
    </row>
    <row r="97" spans="6:6" x14ac:dyDescent="0.2">
      <c r="F97">
        <f t="shared" si="1"/>
        <v>0</v>
      </c>
    </row>
    <row r="98" spans="6:6" x14ac:dyDescent="0.2">
      <c r="F98">
        <f t="shared" si="1"/>
        <v>0</v>
      </c>
    </row>
    <row r="99" spans="6:6" x14ac:dyDescent="0.2">
      <c r="F99">
        <f t="shared" si="1"/>
        <v>0</v>
      </c>
    </row>
    <row r="100" spans="6:6" x14ac:dyDescent="0.2">
      <c r="F100">
        <f t="shared" si="1"/>
        <v>0</v>
      </c>
    </row>
    <row r="101" spans="6:6" x14ac:dyDescent="0.2">
      <c r="F101">
        <f t="shared" si="1"/>
        <v>0</v>
      </c>
    </row>
    <row r="102" spans="6:6" x14ac:dyDescent="0.2">
      <c r="F102">
        <f t="shared" si="1"/>
        <v>0</v>
      </c>
    </row>
    <row r="103" spans="6:6" x14ac:dyDescent="0.2">
      <c r="F103">
        <f t="shared" si="1"/>
        <v>0</v>
      </c>
    </row>
    <row r="104" spans="6:6" x14ac:dyDescent="0.2">
      <c r="F104">
        <f t="shared" si="1"/>
        <v>0</v>
      </c>
    </row>
    <row r="105" spans="6:6" x14ac:dyDescent="0.2">
      <c r="F105">
        <f t="shared" si="1"/>
        <v>0</v>
      </c>
    </row>
    <row r="106" spans="6:6" x14ac:dyDescent="0.2">
      <c r="F106">
        <f t="shared" si="1"/>
        <v>0</v>
      </c>
    </row>
    <row r="107" spans="6:6" x14ac:dyDescent="0.2">
      <c r="F107">
        <f t="shared" si="1"/>
        <v>0</v>
      </c>
    </row>
    <row r="108" spans="6:6" x14ac:dyDescent="0.2">
      <c r="F108">
        <f t="shared" si="1"/>
        <v>0</v>
      </c>
    </row>
    <row r="109" spans="6:6" x14ac:dyDescent="0.2">
      <c r="F109">
        <f t="shared" si="1"/>
        <v>0</v>
      </c>
    </row>
    <row r="110" spans="6:6" x14ac:dyDescent="0.2">
      <c r="F110">
        <f t="shared" si="1"/>
        <v>0</v>
      </c>
    </row>
    <row r="111" spans="6:6" x14ac:dyDescent="0.2">
      <c r="F111">
        <f t="shared" si="1"/>
        <v>0</v>
      </c>
    </row>
    <row r="112" spans="6:6" x14ac:dyDescent="0.2">
      <c r="F112">
        <f t="shared" si="1"/>
        <v>0</v>
      </c>
    </row>
    <row r="113" spans="6:6" x14ac:dyDescent="0.2">
      <c r="F113">
        <f t="shared" si="1"/>
        <v>0</v>
      </c>
    </row>
    <row r="114" spans="6:6" x14ac:dyDescent="0.2">
      <c r="F114">
        <f t="shared" si="1"/>
        <v>0</v>
      </c>
    </row>
    <row r="115" spans="6:6" x14ac:dyDescent="0.2">
      <c r="F115">
        <f t="shared" si="1"/>
        <v>0</v>
      </c>
    </row>
    <row r="116" spans="6:6" x14ac:dyDescent="0.2">
      <c r="F116">
        <f t="shared" si="1"/>
        <v>0</v>
      </c>
    </row>
    <row r="117" spans="6:6" x14ac:dyDescent="0.2">
      <c r="F117">
        <f t="shared" si="1"/>
        <v>0</v>
      </c>
    </row>
    <row r="118" spans="6:6" x14ac:dyDescent="0.2">
      <c r="F118">
        <f t="shared" si="1"/>
        <v>0</v>
      </c>
    </row>
    <row r="119" spans="6:6" x14ac:dyDescent="0.2">
      <c r="F119">
        <f t="shared" si="1"/>
        <v>0</v>
      </c>
    </row>
    <row r="120" spans="6:6" x14ac:dyDescent="0.2">
      <c r="F120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Worksheet______22"/>
  <dimension ref="A1:EQ102"/>
  <sheetViews>
    <sheetView rightToLeft="1" tabSelected="1" topLeftCell="DX8" workbookViewId="0">
      <selection activeCell="EI9" sqref="EI9"/>
    </sheetView>
  </sheetViews>
  <sheetFormatPr defaultRowHeight="12.75" x14ac:dyDescent="0.2"/>
  <cols>
    <col min="1" max="1" width="10.42578125" customWidth="1"/>
    <col min="2" max="3" width="13.42578125" customWidth="1"/>
    <col min="4" max="4" width="12.85546875" customWidth="1"/>
    <col min="5" max="6" width="14.7109375" customWidth="1"/>
    <col min="7" max="8" width="16.85546875" customWidth="1"/>
    <col min="9" max="9" width="19.42578125" customWidth="1"/>
    <col min="10" max="10" width="9.85546875" style="6" customWidth="1"/>
    <col min="11" max="15" width="12.42578125" customWidth="1"/>
    <col min="16" max="16" width="27.28515625" customWidth="1"/>
    <col min="120" max="120" width="11.140625" customWidth="1"/>
    <col min="121" max="124" width="10.7109375" customWidth="1"/>
  </cols>
  <sheetData>
    <row r="1" spans="1:147" x14ac:dyDescent="0.2">
      <c r="AC1" s="262" t="s">
        <v>163</v>
      </c>
      <c r="AD1" s="262">
        <f>'נתוני יסוד'!B5</f>
        <v>65.584511749942962</v>
      </c>
      <c r="AE1" s="262" t="s">
        <v>473</v>
      </c>
      <c r="AF1" s="263">
        <f>'נתוני יסוד'!E4</f>
        <v>-60.01391740816792</v>
      </c>
      <c r="AH1" s="262" t="s">
        <v>231</v>
      </c>
      <c r="AI1" s="264">
        <f>'נתוני יסוד'!B23/100</f>
        <v>2.5000000000000001E-2</v>
      </c>
      <c r="BC1" s="262">
        <f>AW9*12</f>
        <v>0</v>
      </c>
      <c r="BD1" s="262"/>
      <c r="BE1" s="262"/>
      <c r="BF1" s="1009"/>
      <c r="BG1" s="262"/>
      <c r="BH1" s="262"/>
      <c r="BI1" s="262"/>
      <c r="BJ1" s="262"/>
      <c r="BK1" s="262"/>
      <c r="BL1" s="262"/>
      <c r="BM1" s="262" t="s">
        <v>599</v>
      </c>
      <c r="BN1" s="265"/>
      <c r="BP1" s="262" t="s">
        <v>600</v>
      </c>
      <c r="BQ1" s="262" t="s">
        <v>268</v>
      </c>
      <c r="BR1" s="262" t="s">
        <v>601</v>
      </c>
      <c r="BS1" s="262" t="s">
        <v>602</v>
      </c>
      <c r="BV1" s="1058" t="s">
        <v>603</v>
      </c>
      <c r="BW1" s="1058"/>
      <c r="BX1" s="265">
        <f>BW2+BW3+BZ2+BZ3</f>
        <v>0</v>
      </c>
      <c r="BY1" s="265"/>
      <c r="BZ1" s="262"/>
      <c r="CC1" s="1058" t="s">
        <v>604</v>
      </c>
      <c r="CD1" s="1058"/>
      <c r="CE1" s="265">
        <f>BV6+CJ6</f>
        <v>0</v>
      </c>
      <c r="CF1" s="262"/>
      <c r="CG1" s="262" t="s">
        <v>605</v>
      </c>
      <c r="CH1" s="265">
        <f>CL6+CE6+BX6+BR6</f>
        <v>0</v>
      </c>
    </row>
    <row r="2" spans="1:147" x14ac:dyDescent="0.2">
      <c r="AC2" s="262"/>
      <c r="AE2" s="262" t="s">
        <v>606</v>
      </c>
      <c r="AF2" s="263">
        <f>'נתוני יסוד'!B16</f>
        <v>125.59842915811089</v>
      </c>
      <c r="BC2" s="266">
        <f>(-1)*FV(AI1,AF2,BC1,AI9,1)</f>
        <v>0</v>
      </c>
      <c r="BD2" s="265">
        <v>1</v>
      </c>
      <c r="BE2" s="265">
        <v>1.5</v>
      </c>
      <c r="BF2" s="265">
        <v>2</v>
      </c>
      <c r="BG2" s="265">
        <v>2.5</v>
      </c>
      <c r="BH2" s="265">
        <v>3</v>
      </c>
      <c r="BI2" s="265">
        <v>3.5</v>
      </c>
      <c r="BJ2" s="265">
        <v>4</v>
      </c>
      <c r="BL2" s="265">
        <v>4.18</v>
      </c>
      <c r="BM2" s="265">
        <v>4.25</v>
      </c>
      <c r="BN2" s="265">
        <v>0</v>
      </c>
      <c r="BP2" s="262"/>
      <c r="BQ2" s="262" t="s">
        <v>607</v>
      </c>
      <c r="BR2" s="262"/>
      <c r="BS2" s="262" t="s">
        <v>608</v>
      </c>
      <c r="BV2" s="262" t="str">
        <f>BS8</f>
        <v>קצבה מת' מע עד</v>
      </c>
      <c r="BW2" s="265">
        <f>BS6</f>
        <v>0</v>
      </c>
      <c r="BX2" s="262"/>
      <c r="BY2" s="262" t="str">
        <f>CF8</f>
        <v>קצבה מת' עובד עד</v>
      </c>
      <c r="BZ2" s="265">
        <f>CF6</f>
        <v>0</v>
      </c>
      <c r="CC2" s="262"/>
      <c r="CD2" s="262"/>
      <c r="CE2" s="262"/>
      <c r="CF2" s="262"/>
      <c r="CG2" s="262"/>
      <c r="CH2" s="262"/>
    </row>
    <row r="3" spans="1:147" x14ac:dyDescent="0.2">
      <c r="AC3" s="1058" t="s">
        <v>609</v>
      </c>
      <c r="AD3" s="1058"/>
      <c r="AE3" s="262"/>
      <c r="AF3" s="262"/>
      <c r="BP3" s="262"/>
      <c r="BQ3" s="262" t="s">
        <v>610</v>
      </c>
      <c r="BR3" s="262"/>
      <c r="BS3" s="262" t="s">
        <v>611</v>
      </c>
      <c r="BV3" s="262">
        <f>BX8</f>
        <v>0</v>
      </c>
      <c r="BW3" s="265">
        <f>BX6</f>
        <v>0</v>
      </c>
      <c r="BX3" s="262"/>
      <c r="BY3" s="262">
        <f>CL8</f>
        <v>0</v>
      </c>
      <c r="BZ3" s="265">
        <f>CL6</f>
        <v>0</v>
      </c>
      <c r="CC3" s="1058" t="s">
        <v>612</v>
      </c>
      <c r="CD3" s="1058"/>
      <c r="CE3" s="265">
        <f>CC6+BP6</f>
        <v>29520221.329107102</v>
      </c>
      <c r="CF3" s="262"/>
      <c r="CG3" s="262" t="s">
        <v>613</v>
      </c>
      <c r="CH3" s="265">
        <f>CM6+BY6</f>
        <v>0</v>
      </c>
      <c r="DX3" s="5"/>
    </row>
    <row r="4" spans="1:147" x14ac:dyDescent="0.2">
      <c r="BP4" s="262"/>
      <c r="BQ4" s="262" t="s">
        <v>614</v>
      </c>
      <c r="BR4" s="262"/>
      <c r="BS4" s="262" t="s">
        <v>615</v>
      </c>
      <c r="CC4" s="262"/>
      <c r="CD4" s="262"/>
      <c r="CE4" s="262"/>
      <c r="CF4" s="262"/>
      <c r="CG4" s="262" t="s">
        <v>616</v>
      </c>
      <c r="CH4" s="262"/>
    </row>
    <row r="5" spans="1:147" x14ac:dyDescent="0.2">
      <c r="BP5" s="262"/>
      <c r="BQ5" s="262" t="s">
        <v>617</v>
      </c>
      <c r="BR5" s="262"/>
      <c r="BS5" s="262"/>
    </row>
    <row r="6" spans="1:147" x14ac:dyDescent="0.2">
      <c r="A6" s="267" t="s">
        <v>235</v>
      </c>
      <c r="B6" s="267"/>
      <c r="C6" s="267"/>
      <c r="D6" s="267"/>
      <c r="E6" s="267"/>
      <c r="F6" s="267"/>
      <c r="G6" s="267"/>
      <c r="H6" s="267"/>
      <c r="I6" s="267"/>
      <c r="J6" s="267"/>
      <c r="K6" s="267"/>
      <c r="L6" s="267"/>
      <c r="M6" s="267"/>
      <c r="N6" s="267"/>
      <c r="O6" s="267"/>
      <c r="P6" s="267"/>
      <c r="Q6" s="267"/>
      <c r="R6" s="267"/>
      <c r="S6" s="267"/>
      <c r="T6" s="267"/>
      <c r="U6" s="267"/>
      <c r="V6" s="267"/>
      <c r="W6" s="267"/>
      <c r="X6" s="267">
        <f>SUM(X9:X55)</f>
        <v>41.25</v>
      </c>
      <c r="Y6" s="267"/>
      <c r="Z6" s="267"/>
      <c r="AA6" s="267">
        <f>SUM(AA9:AA55)</f>
        <v>30229.57</v>
      </c>
      <c r="AB6" s="267"/>
      <c r="AC6" s="267">
        <f t="shared" ref="AC6:BG6" si="0">SUM(AC9:AC55)</f>
        <v>0</v>
      </c>
      <c r="AD6" s="267">
        <f t="shared" si="0"/>
        <v>0</v>
      </c>
      <c r="AE6" s="267">
        <f t="shared" si="0"/>
        <v>0</v>
      </c>
      <c r="AF6" s="267">
        <f t="shared" si="0"/>
        <v>2791.97</v>
      </c>
      <c r="AG6" s="267">
        <f t="shared" si="0"/>
        <v>0</v>
      </c>
      <c r="AH6" s="267">
        <f t="shared" si="0"/>
        <v>0</v>
      </c>
      <c r="AI6" s="267">
        <f t="shared" si="0"/>
        <v>0</v>
      </c>
      <c r="AJ6" s="267"/>
      <c r="AK6" s="267"/>
      <c r="AL6" s="267"/>
      <c r="AM6" s="267"/>
      <c r="AN6" s="267"/>
      <c r="AO6" s="267"/>
      <c r="AP6" s="267"/>
      <c r="AQ6" s="267"/>
      <c r="AR6" s="267"/>
      <c r="AS6" s="267"/>
      <c r="AT6" s="267"/>
      <c r="AU6" s="267">
        <f t="shared" si="0"/>
        <v>0</v>
      </c>
      <c r="AV6" s="267">
        <f t="shared" si="0"/>
        <v>0</v>
      </c>
      <c r="AW6" s="267">
        <f t="shared" si="0"/>
        <v>0</v>
      </c>
      <c r="AX6" s="267">
        <f t="shared" si="0"/>
        <v>0</v>
      </c>
      <c r="AY6" s="267">
        <f t="shared" si="0"/>
        <v>0</v>
      </c>
      <c r="AZ6" s="267">
        <f t="shared" si="0"/>
        <v>2519.2199999999998</v>
      </c>
      <c r="BA6" s="267">
        <f t="shared" si="0"/>
        <v>0</v>
      </c>
      <c r="BB6" s="267">
        <f t="shared" si="0"/>
        <v>0</v>
      </c>
      <c r="BC6" s="267">
        <f t="shared" si="0"/>
        <v>0</v>
      </c>
      <c r="BD6" s="267">
        <f t="shared" si="0"/>
        <v>0</v>
      </c>
      <c r="BE6" s="267">
        <f t="shared" si="0"/>
        <v>26636364.995581325</v>
      </c>
      <c r="BF6" s="267"/>
      <c r="BG6" s="267">
        <f t="shared" si="0"/>
        <v>29520221.329107102</v>
      </c>
      <c r="BH6" s="267"/>
      <c r="BI6" s="267"/>
      <c r="BJ6" s="267">
        <f>SUM(BJ9:BJ55)</f>
        <v>0</v>
      </c>
      <c r="BK6" s="267">
        <f>SUM(BK9:BK55)</f>
        <v>0</v>
      </c>
      <c r="BL6" s="267">
        <f>SUM(BL9:BL55)</f>
        <v>0</v>
      </c>
      <c r="BM6" s="268">
        <f>SUM(BM9:BM55)</f>
        <v>0</v>
      </c>
      <c r="BN6" s="267"/>
      <c r="BO6" s="267"/>
      <c r="BP6" s="267">
        <f>SUM(BP9:BP55)</f>
        <v>29520221.329107102</v>
      </c>
      <c r="BQ6" s="267">
        <f>SUM(BQ9:BQ55)</f>
        <v>0</v>
      </c>
      <c r="BR6" s="267">
        <f>SUM(BR9:BR55)</f>
        <v>0</v>
      </c>
      <c r="BS6" s="267">
        <f>SUM(BS9:BS55)</f>
        <v>0</v>
      </c>
      <c r="BT6" s="268">
        <f>SUM(BT9:BT55)</f>
        <v>0</v>
      </c>
      <c r="BU6" s="267"/>
      <c r="BV6" s="267">
        <f>SUM(BV9:BV55)</f>
        <v>0</v>
      </c>
      <c r="BW6" s="267">
        <f>SUM(BW9:BW55)</f>
        <v>0</v>
      </c>
      <c r="BX6" s="267">
        <f>SUM(BX9:BX55)</f>
        <v>0</v>
      </c>
      <c r="BY6" s="267">
        <f>SUM(BY9:BY55)</f>
        <v>0</v>
      </c>
      <c r="BZ6" s="269">
        <f>SUM(BZ9:BZ55)</f>
        <v>0</v>
      </c>
      <c r="CA6" s="267"/>
      <c r="CB6" s="267"/>
      <c r="CC6" s="267">
        <f>SUM(CC9:CC55)</f>
        <v>0</v>
      </c>
      <c r="CD6" s="267">
        <f>SUM(CD9:CD55)</f>
        <v>0</v>
      </c>
      <c r="CE6" s="267">
        <f>SUM(CE9:CE55)</f>
        <v>0</v>
      </c>
      <c r="CF6" s="267">
        <f>SUM(CF9:CF55)</f>
        <v>0</v>
      </c>
      <c r="CG6" s="268">
        <f>SUM(CG9:CG55)</f>
        <v>0</v>
      </c>
      <c r="CH6" s="267"/>
      <c r="CI6" s="267"/>
      <c r="CJ6" s="267">
        <f>SUM(CJ9:CJ55)</f>
        <v>0</v>
      </c>
      <c r="CK6" s="267">
        <f>SUM(CK9:CK55)</f>
        <v>0</v>
      </c>
      <c r="CL6" s="267">
        <f>SUM(CL9:CL55)</f>
        <v>0</v>
      </c>
      <c r="CM6" s="267">
        <f>SUM(CM9:CM55)</f>
        <v>0</v>
      </c>
      <c r="CN6" s="269">
        <f>SUM(CN9:CN55)</f>
        <v>26636364.995581325</v>
      </c>
      <c r="CO6" s="267"/>
      <c r="CP6" s="267"/>
      <c r="CQ6" s="267"/>
      <c r="CR6" s="267"/>
      <c r="CS6" s="267"/>
      <c r="CT6" s="267"/>
      <c r="CU6" s="267"/>
      <c r="CV6" s="267"/>
      <c r="CW6" s="267"/>
      <c r="CX6" s="267"/>
      <c r="CY6" s="267"/>
      <c r="CZ6" s="267"/>
      <c r="DA6" s="267"/>
      <c r="DB6" s="267"/>
      <c r="DC6" s="267"/>
      <c r="DD6" s="267"/>
      <c r="DE6" s="267"/>
      <c r="DF6" s="267"/>
      <c r="DG6" s="267"/>
      <c r="DH6" s="267"/>
      <c r="DI6" s="267"/>
      <c r="DJ6" s="267"/>
      <c r="DK6" s="267"/>
      <c r="DL6" s="267"/>
      <c r="DM6" s="267"/>
      <c r="DN6" s="267"/>
      <c r="DO6" s="267"/>
      <c r="DP6" s="267"/>
    </row>
    <row r="7" spans="1:147" ht="20.25" x14ac:dyDescent="0.3">
      <c r="A7" s="23"/>
      <c r="B7" s="1072"/>
      <c r="C7" s="1072"/>
      <c r="D7" s="1072"/>
      <c r="E7" s="1072"/>
      <c r="F7" s="1072"/>
      <c r="G7" s="1072"/>
      <c r="H7" s="1072"/>
      <c r="I7" s="1072"/>
      <c r="J7" s="1072"/>
      <c r="K7" s="23"/>
      <c r="L7" s="981"/>
      <c r="M7" s="981"/>
      <c r="N7" s="981"/>
      <c r="O7" s="926"/>
      <c r="P7" s="26"/>
      <c r="Q7" s="23">
        <v>2</v>
      </c>
      <c r="R7" s="23"/>
      <c r="S7" s="12" t="s">
        <v>215</v>
      </c>
      <c r="T7" s="13">
        <v>67</v>
      </c>
      <c r="U7" s="13"/>
      <c r="V7" s="1073" t="s">
        <v>216</v>
      </c>
      <c r="W7" s="1073"/>
      <c r="X7" s="1073"/>
      <c r="Y7" s="1073"/>
      <c r="Z7" s="1040"/>
      <c r="AA7" s="12"/>
      <c r="AB7" s="12"/>
      <c r="AC7" s="12"/>
      <c r="AD7" s="12"/>
      <c r="AE7" s="12"/>
      <c r="AF7" s="12"/>
      <c r="AG7" s="1074" t="s">
        <v>217</v>
      </c>
      <c r="AH7" s="1075"/>
      <c r="AI7" s="1075"/>
      <c r="AJ7" s="1075"/>
      <c r="AK7" s="1076"/>
      <c r="AL7" s="14"/>
      <c r="AM7" s="1077" t="s">
        <v>218</v>
      </c>
      <c r="AN7" s="1078"/>
      <c r="AO7" s="1077" t="s">
        <v>219</v>
      </c>
      <c r="AP7" s="1078"/>
      <c r="AQ7" s="15"/>
      <c r="AR7" s="15"/>
      <c r="AS7" s="15"/>
      <c r="AT7" s="15"/>
      <c r="AU7" s="15"/>
      <c r="AV7" s="15"/>
      <c r="AW7" s="15"/>
      <c r="AX7" s="1060" t="s">
        <v>1147</v>
      </c>
      <c r="AY7" s="1060"/>
      <c r="AZ7" s="1060"/>
      <c r="BA7" s="1065" t="s">
        <v>220</v>
      </c>
      <c r="BB7" s="1066"/>
      <c r="BC7" s="1066"/>
      <c r="BD7" s="1066"/>
      <c r="BE7" s="1066"/>
      <c r="BF7" s="1067"/>
      <c r="BG7" s="1068"/>
      <c r="BH7" s="1069" t="s">
        <v>1148</v>
      </c>
      <c r="BI7" s="1070"/>
      <c r="BJ7" s="1070"/>
      <c r="BK7" s="1071"/>
      <c r="BL7" s="1061" t="s">
        <v>221</v>
      </c>
      <c r="BM7" s="1061"/>
      <c r="BN7" s="1061"/>
      <c r="BO7" s="1061"/>
      <c r="BP7" s="1061"/>
      <c r="BQ7" s="12"/>
      <c r="BR7" s="12"/>
      <c r="BS7" s="1062" t="s">
        <v>222</v>
      </c>
      <c r="BT7" s="1062"/>
      <c r="BU7" s="1062"/>
      <c r="BV7" s="1062"/>
      <c r="BW7" s="1062"/>
      <c r="BX7" s="12"/>
      <c r="BY7" s="1063" t="s">
        <v>223</v>
      </c>
      <c r="BZ7" s="1063"/>
      <c r="CA7" s="1063"/>
      <c r="CB7" s="1063"/>
      <c r="CC7" s="1063"/>
      <c r="CD7" s="12"/>
      <c r="CE7" s="12"/>
      <c r="CF7" s="1064" t="s">
        <v>224</v>
      </c>
      <c r="CG7" s="1064"/>
      <c r="CH7" s="1064"/>
      <c r="CI7" s="1064"/>
      <c r="CJ7" s="1064"/>
      <c r="CK7" s="12"/>
      <c r="CL7" s="12"/>
      <c r="CM7" s="1059" t="s">
        <v>225</v>
      </c>
      <c r="CN7" s="1059"/>
      <c r="CO7" s="1059"/>
      <c r="CP7" s="1059"/>
      <c r="CQ7" s="1059"/>
      <c r="CY7" s="32" t="s">
        <v>341</v>
      </c>
      <c r="DG7" s="32" t="s">
        <v>342</v>
      </c>
      <c r="DX7" s="32" t="s">
        <v>610</v>
      </c>
      <c r="EF7" s="32" t="s">
        <v>1077</v>
      </c>
    </row>
    <row r="8" spans="1:147" s="18" customFormat="1" ht="110.25" x14ac:dyDescent="0.25">
      <c r="A8" s="16" t="s">
        <v>226</v>
      </c>
      <c r="B8" s="17" t="s">
        <v>227</v>
      </c>
      <c r="C8" s="17" t="s">
        <v>1051</v>
      </c>
      <c r="D8" s="17" t="s">
        <v>228</v>
      </c>
      <c r="E8" s="17" t="s">
        <v>12</v>
      </c>
      <c r="F8" s="17" t="s">
        <v>1016</v>
      </c>
      <c r="G8" s="17" t="s">
        <v>513</v>
      </c>
      <c r="H8" s="17" t="s">
        <v>1014</v>
      </c>
      <c r="I8" s="17" t="s">
        <v>7</v>
      </c>
      <c r="J8" s="17" t="s">
        <v>514</v>
      </c>
      <c r="K8" s="17" t="s">
        <v>139</v>
      </c>
      <c r="L8" s="17" t="s">
        <v>1069</v>
      </c>
      <c r="M8" s="17" t="s">
        <v>1070</v>
      </c>
      <c r="N8" s="17" t="s">
        <v>352</v>
      </c>
      <c r="O8" s="17" t="s">
        <v>1016</v>
      </c>
      <c r="P8" s="17" t="s">
        <v>299</v>
      </c>
      <c r="Q8" s="17" t="s">
        <v>229</v>
      </c>
      <c r="R8" s="17" t="s">
        <v>230</v>
      </c>
      <c r="S8" s="17" t="s">
        <v>231</v>
      </c>
      <c r="T8" s="17" t="s">
        <v>232</v>
      </c>
      <c r="U8" s="17" t="s">
        <v>233</v>
      </c>
      <c r="V8" s="17" t="s">
        <v>234</v>
      </c>
      <c r="W8" s="17" t="s">
        <v>22</v>
      </c>
      <c r="X8" s="17" t="s">
        <v>23</v>
      </c>
      <c r="Y8" s="24" t="s">
        <v>235</v>
      </c>
      <c r="Z8" s="1041" t="s">
        <v>1155</v>
      </c>
      <c r="AA8" s="17" t="s">
        <v>236</v>
      </c>
      <c r="AB8" s="24" t="s">
        <v>237</v>
      </c>
      <c r="AC8" s="16" t="s">
        <v>296</v>
      </c>
      <c r="AD8" s="17" t="s">
        <v>238</v>
      </c>
      <c r="AE8" s="24" t="s">
        <v>239</v>
      </c>
      <c r="AF8" s="993" t="s">
        <v>240</v>
      </c>
      <c r="AG8" s="17" t="s">
        <v>16</v>
      </c>
      <c r="AH8" s="17" t="s">
        <v>241</v>
      </c>
      <c r="AI8" s="17" t="s">
        <v>242</v>
      </c>
      <c r="AJ8" s="17" t="s">
        <v>243</v>
      </c>
      <c r="AK8" s="17" t="s">
        <v>244</v>
      </c>
      <c r="AL8" s="24" t="s">
        <v>245</v>
      </c>
      <c r="AM8" s="16" t="s">
        <v>246</v>
      </c>
      <c r="AN8" s="24" t="s">
        <v>247</v>
      </c>
      <c r="AO8" s="16" t="s">
        <v>248</v>
      </c>
      <c r="AP8" s="24" t="s">
        <v>249</v>
      </c>
      <c r="AQ8" s="16" t="s">
        <v>250</v>
      </c>
      <c r="AR8" s="16" t="s">
        <v>251</v>
      </c>
      <c r="AS8" s="16" t="s">
        <v>252</v>
      </c>
      <c r="AT8" s="16" t="s">
        <v>253</v>
      </c>
      <c r="AU8" s="16" t="s">
        <v>254</v>
      </c>
      <c r="AV8" s="16" t="s">
        <v>255</v>
      </c>
      <c r="AW8" s="24" t="s">
        <v>256</v>
      </c>
      <c r="AX8" s="1003" t="s">
        <v>16</v>
      </c>
      <c r="AY8" s="1003" t="s">
        <v>22</v>
      </c>
      <c r="AZ8" s="1003" t="s">
        <v>23</v>
      </c>
      <c r="BA8" s="1015" t="s">
        <v>16</v>
      </c>
      <c r="BB8" s="1015" t="s">
        <v>257</v>
      </c>
      <c r="BC8" s="1015" t="s">
        <v>258</v>
      </c>
      <c r="BD8" s="1015" t="s">
        <v>259</v>
      </c>
      <c r="BE8" s="1015" t="s">
        <v>260</v>
      </c>
      <c r="BF8" s="1015" t="s">
        <v>235</v>
      </c>
      <c r="BG8" s="1015" t="s">
        <v>261</v>
      </c>
      <c r="BH8" s="995" t="s">
        <v>262</v>
      </c>
      <c r="BI8" s="995" t="s">
        <v>263</v>
      </c>
      <c r="BJ8" s="995" t="s">
        <v>264</v>
      </c>
      <c r="BK8" s="995" t="s">
        <v>265</v>
      </c>
      <c r="BL8" s="1016" t="s">
        <v>266</v>
      </c>
      <c r="BM8" s="1016" t="s">
        <v>267</v>
      </c>
      <c r="BN8" s="1016" t="s">
        <v>268</v>
      </c>
      <c r="BO8" s="1016" t="s">
        <v>269</v>
      </c>
      <c r="BP8" s="1016" t="s">
        <v>270</v>
      </c>
      <c r="BQ8" s="1018"/>
      <c r="BR8" s="1018"/>
      <c r="BS8" s="1017" t="s">
        <v>271</v>
      </c>
      <c r="BT8" s="1017" t="s">
        <v>272</v>
      </c>
      <c r="BU8" s="1017" t="s">
        <v>273</v>
      </c>
      <c r="BV8" s="1017" t="s">
        <v>274</v>
      </c>
      <c r="BW8" s="1017" t="s">
        <v>270</v>
      </c>
      <c r="BX8" s="1018"/>
      <c r="BY8" s="1015" t="s">
        <v>275</v>
      </c>
      <c r="BZ8" s="1015" t="s">
        <v>276</v>
      </c>
      <c r="CA8" s="1015" t="s">
        <v>277</v>
      </c>
      <c r="CB8" s="1015" t="s">
        <v>278</v>
      </c>
      <c r="CC8" s="1015" t="s">
        <v>270</v>
      </c>
      <c r="CD8" s="1018"/>
      <c r="CE8" s="1018"/>
      <c r="CF8" s="1019" t="s">
        <v>279</v>
      </c>
      <c r="CG8" s="1019" t="s">
        <v>280</v>
      </c>
      <c r="CH8" s="1019" t="s">
        <v>281</v>
      </c>
      <c r="CI8" s="1019" t="s">
        <v>282</v>
      </c>
      <c r="CJ8" s="1019" t="s">
        <v>270</v>
      </c>
      <c r="CK8" s="1018"/>
      <c r="CL8" s="1018"/>
      <c r="CM8" s="1016" t="s">
        <v>283</v>
      </c>
      <c r="CN8" s="1016" t="s">
        <v>284</v>
      </c>
      <c r="CO8" s="1016" t="s">
        <v>285</v>
      </c>
      <c r="CP8" s="1016" t="s">
        <v>286</v>
      </c>
      <c r="CQ8" s="1016" t="s">
        <v>270</v>
      </c>
      <c r="CR8" s="3" t="s">
        <v>328</v>
      </c>
      <c r="CS8" s="3" t="s">
        <v>316</v>
      </c>
      <c r="CT8" s="3" t="s">
        <v>306</v>
      </c>
      <c r="CU8" s="3" t="s">
        <v>307</v>
      </c>
      <c r="CV8" s="3" t="s">
        <v>308</v>
      </c>
      <c r="CW8" s="3" t="s">
        <v>317</v>
      </c>
      <c r="CX8" s="3" t="s">
        <v>318</v>
      </c>
      <c r="CY8" s="3" t="s">
        <v>311</v>
      </c>
      <c r="CZ8" s="3" t="s">
        <v>319</v>
      </c>
      <c r="DA8" s="3" t="s">
        <v>313</v>
      </c>
      <c r="DB8" s="3" t="s">
        <v>314</v>
      </c>
      <c r="DC8" s="31" t="s">
        <v>316</v>
      </c>
      <c r="DD8" s="31" t="s">
        <v>306</v>
      </c>
      <c r="DE8" s="31" t="s">
        <v>307</v>
      </c>
      <c r="DF8" s="31" t="s">
        <v>308</v>
      </c>
      <c r="DG8" s="31" t="s">
        <v>317</v>
      </c>
      <c r="DH8" s="31" t="s">
        <v>318</v>
      </c>
      <c r="DI8" s="31" t="s">
        <v>311</v>
      </c>
      <c r="DJ8" s="31" t="s">
        <v>319</v>
      </c>
      <c r="DK8" s="31" t="s">
        <v>313</v>
      </c>
      <c r="DL8" s="31" t="s">
        <v>314</v>
      </c>
      <c r="DM8" s="31" t="s">
        <v>503</v>
      </c>
      <c r="DN8" s="31" t="s">
        <v>1071</v>
      </c>
      <c r="DO8" s="31" t="s">
        <v>1072</v>
      </c>
      <c r="DP8" s="31" t="s">
        <v>505</v>
      </c>
      <c r="DQ8" s="31" t="s">
        <v>504</v>
      </c>
      <c r="DR8" s="989" t="s">
        <v>1101</v>
      </c>
      <c r="DS8" s="989" t="s">
        <v>1102</v>
      </c>
      <c r="DT8" s="989" t="s">
        <v>1103</v>
      </c>
      <c r="DU8" s="975" t="s">
        <v>1057</v>
      </c>
      <c r="DV8" s="975" t="s">
        <v>1058</v>
      </c>
      <c r="DW8" s="975" t="s">
        <v>1020</v>
      </c>
      <c r="DX8" s="975" t="s">
        <v>1059</v>
      </c>
      <c r="DY8" s="975" t="s">
        <v>1060</v>
      </c>
      <c r="DZ8" s="975" t="s">
        <v>1061</v>
      </c>
      <c r="EA8" s="975" t="s">
        <v>1040</v>
      </c>
      <c r="EB8" s="975" t="s">
        <v>1044</v>
      </c>
      <c r="EC8" s="975" t="s">
        <v>1045</v>
      </c>
      <c r="ED8" s="4" t="s">
        <v>1062</v>
      </c>
      <c r="EE8" s="4"/>
      <c r="EF8" s="985" t="s">
        <v>1078</v>
      </c>
      <c r="EG8" s="985" t="s">
        <v>1079</v>
      </c>
      <c r="EH8" s="994" t="s">
        <v>1124</v>
      </c>
      <c r="EI8" s="3" t="s">
        <v>16</v>
      </c>
      <c r="EJ8" s="3" t="s">
        <v>205</v>
      </c>
      <c r="EK8" s="3" t="s">
        <v>204</v>
      </c>
      <c r="EL8" s="3">
        <v>47</v>
      </c>
      <c r="EM8" s="3" t="s">
        <v>18</v>
      </c>
      <c r="EN8" s="3" t="s">
        <v>206</v>
      </c>
      <c r="EO8" s="3" t="s">
        <v>1167</v>
      </c>
      <c r="EP8" s="3" t="s">
        <v>1168</v>
      </c>
      <c r="EQ8" s="3" t="s">
        <v>21</v>
      </c>
    </row>
    <row r="9" spans="1:147" x14ac:dyDescent="0.2">
      <c r="A9">
        <f>IF(B9&gt;0,1,0)</f>
        <v>1</v>
      </c>
      <c r="B9" s="20" t="str">
        <f>RicusPolice!E6</f>
        <v>1595222</v>
      </c>
      <c r="C9" s="20">
        <f>RicusPolice!AL6</f>
        <v>0</v>
      </c>
      <c r="D9" s="20" t="str">
        <f>RicusPolice!F6</f>
        <v>כלל</v>
      </c>
      <c r="E9" s="20">
        <f>RicusPolice!R6</f>
        <v>0</v>
      </c>
      <c r="F9" s="20" t="str">
        <f>RicusPolice!N6</f>
        <v>מוקפא</v>
      </c>
      <c r="G9" s="20" t="str">
        <f>IFERROR(VLOOKUP($B9,PerutYitrot!$D$6:$P$100,4,FALSE),0)</f>
        <v>קצבה משלמת</v>
      </c>
      <c r="H9" s="20" t="str">
        <f>IF(G9="קצבה לא משלמת","ריסק/חיסכון",IF(G9="הון","ריסק/חיסכון",IF(G9="קצבה","ריסק/פנסיה",G9)))</f>
        <v>קצבה משלמת</v>
      </c>
      <c r="I9" s="20" t="str">
        <f>RicusPolice!L6</f>
        <v>עדיף</v>
      </c>
      <c r="J9" s="179" t="str">
        <f>IFERROR(VLOOKUP(TRIM(K9),MyData!$J$44:$K$50,2,FALSE),0)</f>
        <v>(מ)</v>
      </c>
      <c r="K9" s="20" t="str">
        <f>RicusPolice!M6</f>
        <v>שכיר</v>
      </c>
      <c r="L9" s="20">
        <f>RicusPolice!AM6</f>
        <v>1</v>
      </c>
      <c r="M9" s="20">
        <f>IF(B9&gt;0,RicusPolice!Y6," ")</f>
        <v>0</v>
      </c>
      <c r="N9" s="20" t="str">
        <f>IF(B9&gt;0,IF(OR(M9=1,M9="1"),"מבטיח תשאוה","משתתף ברווחים"),"")</f>
        <v>משתתף ברווחים</v>
      </c>
      <c r="O9" s="20" t="str">
        <f>RicusPolice!N6</f>
        <v>מוקפא</v>
      </c>
      <c r="P9" s="20" t="str">
        <f>IFERROR(VLOOKUP(B9,PerutMasluleiHashkaa!$D$6:$R$100,4,FALSE),0)</f>
        <v>קרן ט</v>
      </c>
      <c r="Q9" s="19"/>
      <c r="R9" s="1011" t="str">
        <f>IF(B9&gt;0,RicusPolice!P8," ")</f>
        <v>01/01/1900</v>
      </c>
      <c r="S9" s="20" t="str">
        <f>IFERROR(VLOOKUP($B9,'נתונים ידניים'!$B$9:$G$51,6,FALSE),0)</f>
        <v xml:space="preserve"> </v>
      </c>
      <c r="T9" s="21">
        <f>'נתונים ידניים'!J10</f>
        <v>0</v>
      </c>
      <c r="U9" s="21">
        <f>'נתונים ידניים'!K10</f>
        <v>0</v>
      </c>
      <c r="V9" s="20">
        <f>IFERROR(VLOOKUP($B9,PerutHafrashotLePolisa!$D$6:$N$50,2,FALSE),0)</f>
        <v>8.3299999237060547</v>
      </c>
      <c r="W9" s="20">
        <f>IFERROR(VLOOKUP($B9,PerutHafrashotLePolisa!$D$6:$N$50,4,FALSE),0)</f>
        <v>5</v>
      </c>
      <c r="X9" s="20">
        <f>IFERROR(VLOOKUP($B9,PerutHafrashotLePolisa!$D$6:$N$50,3,FALSE),0)</f>
        <v>5</v>
      </c>
      <c r="Y9">
        <f>VALUE(V9)+VALUE(W9)+VALUE(X9)</f>
        <v>18.329999923706055</v>
      </c>
      <c r="Z9">
        <f>RicusPolice!AP6</f>
        <v>0</v>
      </c>
      <c r="AA9">
        <f>IFERROR(VLOOKUP(B9,PirteiHaasaka!$D$6:$R$100,5,FALSE),0)</f>
        <v>0</v>
      </c>
      <c r="AC9">
        <f>IFERROR(VLOOKUP(B9,HafkadotMetchilatShanaAverages!$D$6:$E$100,2,FALSE),0)</f>
        <v>0</v>
      </c>
      <c r="AF9">
        <f>'נתונים ידניים'!L10</f>
        <v>0</v>
      </c>
      <c r="AG9">
        <f>IFERROR(VLOOKUP(B9,CrossTabYitraLeTkufa_till_2000!$D$6:$AB$100,6,FALSE),0)+IFERROR(VLOOKUP(B9,CrossTabYitraLeTkufa_after_2000!$D$6:$AB$100,6,FALSE),0)</f>
        <v>0</v>
      </c>
      <c r="AH9">
        <f>IFERROR(VLOOKUP(B9,CrossTabYitraLeTkufa_till_2000!$D$6:$AB$100,16,FALSE),0)</f>
        <v>0</v>
      </c>
      <c r="AI9">
        <f>IFERROR(VLOOKUP(B9,CrossTabYitraLeTkufa_after_2000!$D$6:$AB$100,16,FALSE),0)</f>
        <v>0</v>
      </c>
      <c r="AJ9">
        <f>IFERROR(VLOOKUP(B9,CrossTabYitraLeTkufa_till_2000!$D$6:$AB$100,17,FALSE),0)</f>
        <v>0</v>
      </c>
      <c r="AK9">
        <f>IFERROR(VLOOKUP(B9,CrossTabYitraLeTkufa_after_2000!$D$6:$AB$100,17,FALSE),0)</f>
        <v>0</v>
      </c>
      <c r="AL9" s="5">
        <f>SUM(AG9:AK9)</f>
        <v>0</v>
      </c>
      <c r="AO9">
        <f>IFERROR(VLOOKUP(B9,PirteiKisuiBeMutzar_procerur!$C$6:$AA$100,2,FALSE),0)</f>
        <v>0</v>
      </c>
      <c r="AQ9">
        <f>IFERROR(VLOOKUP($B9,PirteiKisuiBeMutzar_procerur!$C$6:$AA$100,5,FALSE),0)</f>
        <v>0</v>
      </c>
      <c r="AR9">
        <f>IFERROR(VLOOKUP($B9,PirteiKisuiBeMutzar_procerur!$C$6:$AA$100,3,FALSE),0)</f>
        <v>0</v>
      </c>
      <c r="AS9">
        <f>IFERROR(VLOOKUP($B9,PirteiKisuiBeMutzar_procerur!$C$6:$AA$100,6,FALSE),0)</f>
        <v>0</v>
      </c>
      <c r="AT9">
        <f>IFERROR(VLOOKUP($B9,PirteiKisuiBeMutzar_procerur!$C$6:$AA$100,7,FALSE),0)</f>
        <v>0</v>
      </c>
      <c r="AX9" s="997">
        <f>IFERROR(V9/Y9*AF9,0)</f>
        <v>0</v>
      </c>
      <c r="AY9" s="997">
        <f>IFERROR(W9/Y9*AF9,0)</f>
        <v>0</v>
      </c>
      <c r="AZ9" s="997">
        <f>IFERROR(X9/Y9*AF9,0)</f>
        <v>0</v>
      </c>
      <c r="BA9" s="997">
        <f>IFERROR(FV(S9/100/12,'נתוני יסוד'!$B$16*12,AX9,AG9)*(-1),0)</f>
        <v>0</v>
      </c>
      <c r="BB9" s="997">
        <f>IFERROR(FV(S9/100/12,'נתוני יסוד'!$B$16*12,0,AH9)*(-1),0)</f>
        <v>0</v>
      </c>
      <c r="BC9" s="997">
        <f>IFERROR(FV(S9/100/12,'נתוני יסוד'!$B$16*12,AY9,AI9)*(-1),0)</f>
        <v>0</v>
      </c>
      <c r="BD9" s="997">
        <f>IFERROR(FV(S9/100/12,'נתוני יסוד'!$B$16*12,0,AJ9)*(-1),0)</f>
        <v>0</v>
      </c>
      <c r="BE9" s="997">
        <f>IFERROR(FV(S9/100/12,'נתוני יסוד'!$B$16*12,AZ9,AK9)*(-1),0)</f>
        <v>0</v>
      </c>
      <c r="BF9" s="997">
        <f>SUM(BA9:BE9)</f>
        <v>0</v>
      </c>
      <c r="BG9" s="997">
        <f>IFERROR(FV(S9/100/12,'נתוני יסוד'!$B$16*12,AF9,AL9)*(-1),0)</f>
        <v>0</v>
      </c>
      <c r="BH9" s="997">
        <f>IF(EH9=2,BG9,0)</f>
        <v>0</v>
      </c>
      <c r="BI9" s="997">
        <f>IFERROR(IF(EH9=1,BG9,0),0)</f>
        <v>0</v>
      </c>
      <c r="BJ9" s="997">
        <f>IFERROR(IF(EH9=1,BG9/T9,0),0)</f>
        <v>0</v>
      </c>
      <c r="BK9" s="997">
        <f>IFERROR(IF(EH9=1,BG9/U9,0),0)</f>
        <v>0</v>
      </c>
      <c r="BL9" s="997">
        <f t="shared" ref="BL9:BL40" si="1">IFERROR(BM9/T9,0)</f>
        <v>0</v>
      </c>
      <c r="BM9" s="997">
        <f t="shared" ref="BM9:BM40" si="2">IF(EH9=1,BA9,0)</f>
        <v>0</v>
      </c>
      <c r="BN9" s="997">
        <f t="shared" ref="BN9:BN40" si="3">IF(EH9=2,BA9,0)</f>
        <v>0</v>
      </c>
      <c r="BO9" s="997">
        <f>BM9+BN9</f>
        <v>0</v>
      </c>
      <c r="BP9" s="997">
        <f t="shared" ref="BP9:BP40" si="4">BG9-BO9</f>
        <v>0</v>
      </c>
      <c r="BS9">
        <f t="shared" ref="BS9:BS40" si="5">IFERROR(BT9/T9,0)</f>
        <v>0</v>
      </c>
      <c r="BT9">
        <f t="shared" ref="BT9:BT40" si="6">IF(EH9=1,BB9,0)</f>
        <v>0</v>
      </c>
      <c r="BU9">
        <f t="shared" ref="BU9:BU40" si="7">IF(EH9=2,BB9,0)</f>
        <v>0</v>
      </c>
      <c r="BV9">
        <f>BU9+BT9</f>
        <v>0</v>
      </c>
      <c r="BW9">
        <f t="shared" ref="BW9:BW40" si="8">BB9-BV9</f>
        <v>0</v>
      </c>
      <c r="BY9" s="997">
        <f t="shared" ref="BY9:BY40" si="9">IFERROR(BZ9/T9,0)</f>
        <v>0</v>
      </c>
      <c r="BZ9" s="997">
        <f t="shared" ref="BZ9:BZ40" si="10">IF(EH9=1,BC9,0)</f>
        <v>0</v>
      </c>
      <c r="CA9" s="997">
        <f t="shared" ref="CA9:CA40" si="11">IF(EH9=2,BC9,0)</f>
        <v>0</v>
      </c>
      <c r="CB9" s="997">
        <f>CA9+BZ9</f>
        <v>0</v>
      </c>
      <c r="CC9" s="997">
        <f t="shared" ref="CC9:CC40" si="12">BC9-CB9</f>
        <v>0</v>
      </c>
      <c r="CD9" s="997">
        <f t="shared" ref="CD9:CD72" si="13">IFERROR(CE9/Y9,0)</f>
        <v>0</v>
      </c>
      <c r="CE9" s="997">
        <f t="shared" ref="CE9:CE72" si="14">IF(EM9=1,BH9,0)</f>
        <v>0</v>
      </c>
      <c r="CF9" s="997">
        <f t="shared" ref="CF9:CF72" si="15">IF(EM9=2,BH9,0)</f>
        <v>0</v>
      </c>
      <c r="CG9" s="997">
        <f t="shared" ref="CG9:CG72" si="16">CF9+CE9</f>
        <v>0</v>
      </c>
      <c r="CH9" s="997">
        <f t="shared" ref="CH9:CH72" si="17">BH9-CG9</f>
        <v>0</v>
      </c>
      <c r="CI9" s="997">
        <f t="shared" ref="CI9:CI72" si="18">IFERROR(CJ9/AE9,0)</f>
        <v>0</v>
      </c>
      <c r="CJ9" s="997">
        <f t="shared" ref="CJ9:CJ72" si="19">IF(ER9=1,BM9,0)</f>
        <v>0</v>
      </c>
      <c r="CK9" s="997"/>
      <c r="CL9" s="997"/>
      <c r="CM9" s="997">
        <f t="shared" ref="CM9:CM40" si="20">IFERROR(CN9/T9,0)</f>
        <v>0</v>
      </c>
      <c r="CN9" s="997">
        <f t="shared" ref="CN9:CN40" si="21">IF(EH9=1,BE9,0)</f>
        <v>0</v>
      </c>
      <c r="CO9" s="997">
        <f t="shared" ref="CO9:CO40" si="22">IF(EH9=1,BE9,0)</f>
        <v>0</v>
      </c>
      <c r="CP9" s="997">
        <f>CO9+CN9</f>
        <v>0</v>
      </c>
      <c r="CQ9" s="997">
        <f t="shared" ref="CQ9:CQ40" si="23">BE9-CP9</f>
        <v>0</v>
      </c>
      <c r="CR9" s="997">
        <f>IFERROR(VLOOKUP($B9,SchumeiBituahYesodi!$C$6:$AA$100,8,FALSE),0)</f>
        <v>0</v>
      </c>
      <c r="CS9" s="997">
        <f>IFERROR(VLOOKUP($B9,PirteiKisuiBeMutzar_procerur!$C$6:$AA$100,2,FALSE),0)</f>
        <v>0</v>
      </c>
      <c r="CT9" s="997">
        <f>IFERROR(VLOOKUP($B9,PirteiKisuiBeMutzar_procerur!$C$6:$AA$100,3,FALSE),0)</f>
        <v>0</v>
      </c>
      <c r="CU9" s="997">
        <f>IFERROR(VLOOKUP($B9,PirteiKisuiBeMutzar_procerur!$C$6:$AA$100,4,FALSE),0)</f>
        <v>0</v>
      </c>
      <c r="CV9" s="997">
        <f>IFERROR(VLOOKUP($B9,PirteiKisuiBeMutzar_procerur!$C$6:$AA$100,5,FALSE),0)</f>
        <v>0</v>
      </c>
      <c r="CW9" s="997">
        <f>IFERROR(VLOOKUP($B9,PirteiKisuiBeMutzar_procerur!$C$6:$AA$100,6,FALSE),0)</f>
        <v>0</v>
      </c>
      <c r="CX9" s="997">
        <f>IFERROR(VLOOKUP($B9,PirteiKisuiBeMutzar_procerur!$C$6:$AA$100,7,FALSE),0)</f>
        <v>0</v>
      </c>
      <c r="CY9" s="997">
        <f>IFERROR(VLOOKUP($B9,PirteiKisuiBeMutzar_procerur!$C$6:$AA$100,8,FALSE),0)</f>
        <v>0</v>
      </c>
      <c r="CZ9" s="997">
        <f>IFERROR(VLOOKUP($B9,PirteiKisuiBeMutzar_procerur!$C$6:$AA$100,9,FALSE),0)</f>
        <v>0</v>
      </c>
      <c r="DA9" s="997">
        <f>IFERROR(VLOOKUP($B9,PirteiKisuiBeMutzar_procerur!$C$6:$AA$100,10,FALSE),0)</f>
        <v>0</v>
      </c>
      <c r="DB9" s="997">
        <f>IFERROR(VLOOKUP($B9,PirteiKisuiBeMutzar_procerur!$C$6:$AA$100,11,FALSE),0)</f>
        <v>0</v>
      </c>
      <c r="DC9" s="997">
        <f>IFERROR(VLOOKUP($B9,PirteiKisuiBeMutzarPrmia!$C$6:$Z$100,2,FALSE),0)</f>
        <v>0</v>
      </c>
      <c r="DD9" s="997">
        <f>IFERROR(VLOOKUP($B9,PirteiKisuiBeMutzarPrmia!$C$6:$Z$100,3,FALSE),0)</f>
        <v>0</v>
      </c>
      <c r="DE9" s="997">
        <f>IFERROR(VLOOKUP($B9,PirteiKisuiBeMutzarPrmia!$C$6:$Z$100,4,FALSE),0)</f>
        <v>0</v>
      </c>
      <c r="DF9" s="997">
        <f>IFERROR(VLOOKUP($B9,PirteiKisuiBeMutzarPrmia!$C$6:$Z$100,5,FALSE),0)</f>
        <v>0</v>
      </c>
      <c r="DG9" s="997">
        <f>IFERROR(VLOOKUP($B9,PirteiKisuiBeMutzarPrmia!$C$6:$Z$100,6,FALSE),0)</f>
        <v>0</v>
      </c>
      <c r="DH9" s="997">
        <f>IFERROR(VLOOKUP($B9,PirteiKisuiBeMutzarPrmia!$C$6:$Z$100,7,FALSE),0)</f>
        <v>0</v>
      </c>
      <c r="DI9" s="997">
        <f>IFERROR(VLOOKUP($B9,PirteiKisuiBeMutzarPrmia!$C$6:$Z$100,8,FALSE),0)</f>
        <v>0</v>
      </c>
      <c r="DJ9" s="997">
        <f>IFERROR(VLOOKUP($B9,PirteiKisuiBeMutzarPrmia!$C$6:$Z$100,9,FALSE),0)</f>
        <v>0</v>
      </c>
      <c r="DK9" s="997">
        <f>IFERROR(VLOOKUP($B9,PirteiKisuiBeMutzarPrmia!$C$6:$Z$100,10,FALSE),0)</f>
        <v>0</v>
      </c>
      <c r="DL9" s="997">
        <f>IFERROR(VLOOKUP($B9,PirteiKisuiBeMutzarPrmia!$C$6:$Z$100,11,FALSE),0)</f>
        <v>0</v>
      </c>
      <c r="DM9" s="997">
        <f t="shared" ref="DM9:DM50" si="24">SUM(DC9:DL9)</f>
        <v>0</v>
      </c>
      <c r="DN9" s="997">
        <f t="shared" ref="DN9:DN40" si="25">IF(OR(L9=1,L9=3),DM9,0)</f>
        <v>0</v>
      </c>
      <c r="DO9" s="997">
        <f t="shared" ref="DO9:DO40" si="26">IF(OR(L9=2,L9=4,,L9=5),DM9,0)</f>
        <v>0</v>
      </c>
      <c r="DP9" s="997">
        <f t="shared" ref="DP9:DP50" si="27">AH9+AI9+AJ9+AK9</f>
        <v>0</v>
      </c>
      <c r="DQ9" s="997">
        <f t="shared" ref="DQ9:DQ40" si="28">DP9+AG9</f>
        <v>0</v>
      </c>
      <c r="DR9" s="997">
        <f>IF(OR(L9=1,L9=3),IFERROR(VLOOKUP($B9,PerutHafkadotMetchilatShanaAvgM!$C$6:$G$100,3,FALSE),0),0)</f>
        <v>0</v>
      </c>
      <c r="DS9" s="997">
        <f>IF(OR(L9=2,L9=4),IFERROR(VLOOKUP($B9,PerutHafkadotMetchilatShanaAvgM!$C$6:$G$100,3,FALSE),0),0)</f>
        <v>0</v>
      </c>
      <c r="DT9" s="997">
        <f>IFERROR(VLOOKUP($B9,PerutHafkadotMetchilatShanaAvgM!$C$6:$G$100,4,FALSE),0)</f>
        <v>0</v>
      </c>
      <c r="DU9" s="997">
        <f>IFERROR(VLOOKUP($B9,Kupa!$D$6:$AA$100,5,FALSE),0)</f>
        <v>0</v>
      </c>
      <c r="DV9" s="997">
        <f>IFERROR(VLOOKUP($B9,Kupa!$D$6:$AA$100,6,FALSE),0)</f>
        <v>0</v>
      </c>
      <c r="DW9" s="997">
        <f>IFERROR(VLOOKUP($B9,KisuiBKerenPensiaDBWithParams!$D$6:$AP$100,9,FALSE),0)</f>
        <v>0</v>
      </c>
      <c r="DX9" s="997">
        <f>IFERROR(VLOOKUP($B9,KisuiBKerenPensiaDBWithParams!$D$6:$AP$100,12,FALSE),0)</f>
        <v>0</v>
      </c>
      <c r="DY9" s="997">
        <f>IFERROR(VLOOKUP($B9,KisuiBKerenPensiaDBWithParams!$D$6:$AP$100,13,FALSE),0)</f>
        <v>0</v>
      </c>
      <c r="DZ9" s="997">
        <f>IFERROR(VLOOKUP($B9,KisuiBKerenPensiaDBWithParams!$D$6:$AP$100,7,FALSE),0)</f>
        <v>0</v>
      </c>
      <c r="EA9" s="997">
        <f>IFERROR(VLOOKUP($B9,KisuiBKerenPensiaDBWithParams!$D$6:$AP$100,17,FALSE),0)</f>
        <v>0</v>
      </c>
      <c r="EB9" s="997">
        <f>IFERROR(VLOOKUP($B9,KisuiBKerenPensiaDBWithParams!$D$6:$AP$100,20,FALSE),0)</f>
        <v>0</v>
      </c>
      <c r="EC9" s="997">
        <f>IFERROR(VLOOKUP($B9,KisuiBKerenPensiaDBWithParams!$D$6:$AP$100,21,FALSE),0)</f>
        <v>0</v>
      </c>
      <c r="ED9" s="997">
        <f>DW9+CW9</f>
        <v>0</v>
      </c>
      <c r="EE9" s="997"/>
      <c r="EF9" s="1020">
        <f>IFERROR(VLOOKUP($B9,KisuiBKerenPensiaDBWithParams!$D$6:$AP$100,21,FALSE),0)</f>
        <v>0</v>
      </c>
      <c r="EG9" s="1020">
        <f>IFERROR(VLOOKUP($B9,KisuiBKerenPensiaDBWithParams!$D$6:$AP$100,21,FALSE),0)</f>
        <v>0</v>
      </c>
      <c r="EH9">
        <f>IF(OR(G9=MyData!$J$51,G9=MyData!$J$52,G9=MyData!$J$53),1,IF(G9=MyData!$J$50,2,0))</f>
        <v>1</v>
      </c>
      <c r="EI9">
        <f>IFERROR(VLOOKUP($B9,CrosstabPerutYitrotDB!$C$6:$N$50,3,FALSE),0)</f>
        <v>816</v>
      </c>
      <c r="EJ9">
        <f>IFERROR(VLOOKUP($B9,CrosstabPerutYitrotDB!$C$6:$N$50,4,FALSE),0)</f>
        <v>1428</v>
      </c>
      <c r="EK9">
        <f>IFERROR(VLOOKUP($B9,CrosstabPerutYitrotDB!$C$6:$N$50,5,FALSE),0)</f>
        <v>1405</v>
      </c>
      <c r="EL9">
        <f>IFERROR(VLOOKUP($B9,CrosstabPerutYitrotDB!$C$6:$N$50,6,FALSE),0)</f>
        <v>0</v>
      </c>
      <c r="EM9">
        <f>IFERROR(VLOOKUP($B9,CrosstabPerutYitrotDB!$C$6:$N$50,7,FALSE),0)</f>
        <v>0</v>
      </c>
      <c r="EN9">
        <f>IFERROR(VLOOKUP($B9,CrosstabPerutYitrotDB!$C$6:$N$50,8,FALSE),0)</f>
        <v>0</v>
      </c>
      <c r="EO9">
        <f>IFERROR(VLOOKUP($B9,CrosstabPerutYitrotDB!$C$6:$N$50,9,FALSE),0)</f>
        <v>0</v>
      </c>
      <c r="EP9">
        <f>IFERROR(VLOOKUP($B9,CrosstabPerutYitrotDB!$C$6:$N$50,10,FALSE),0)</f>
        <v>0</v>
      </c>
      <c r="EQ9">
        <f>IFERROR(VLOOKUP($B9,CrosstabPerutYitrotDB!$C$6:$N$50,11,FALSE),0)</f>
        <v>0</v>
      </c>
    </row>
    <row r="10" spans="1:147" x14ac:dyDescent="0.2">
      <c r="A10">
        <f>IF(B10&gt;0,A9+1,0)</f>
        <v>2</v>
      </c>
      <c r="B10" s="20" t="str">
        <f>RicusPolice!E7</f>
        <v>1394362</v>
      </c>
      <c r="C10" s="20" t="str">
        <f>RicusPolice!AL7</f>
        <v>קופת גמל</v>
      </c>
      <c r="D10" s="20" t="str">
        <f>RicusPolice!F7</f>
        <v>ארם גמולים - חברה לניהול קופות גמל בע"מ</v>
      </c>
      <c r="E10" s="20" t="str">
        <f>RicusPolice!R7</f>
        <v>ארם-קופת גמל לתגמולים של ארגון הרופאים עובדי מדינה</v>
      </c>
      <c r="F10" s="20" t="str">
        <f>RicusPolice!N7</f>
        <v>פעיל</v>
      </c>
      <c r="G10" s="20" t="str">
        <f>IFERROR(VLOOKUP($B10,PerutYitrot!$D$6:$P$100,4,FALSE),0)</f>
        <v>הון</v>
      </c>
      <c r="H10" s="20" t="str">
        <f t="shared" ref="H10:H73" si="29">IF(G10="קצבה לא משלמת","ריסק/חיסכון",IF(G10="הון","ריסק/חיסכון",IF(G10="קצבה","ריסק/פנסיה",G10)))</f>
        <v>ריסק/חיסכון</v>
      </c>
      <c r="I10" s="20">
        <f>RicusPolice!L7</f>
        <v>0</v>
      </c>
      <c r="J10" s="179" t="str">
        <f>IFERROR(VLOOKUP(TRIM(K10),MyData!$J$44:$K$50,2,FALSE),0)</f>
        <v>(ת)</v>
      </c>
      <c r="K10" s="20" t="str">
        <f>RicusPolice!M7</f>
        <v>עצמאי</v>
      </c>
      <c r="L10" s="20">
        <f>RicusPolice!AM7</f>
        <v>2</v>
      </c>
      <c r="M10" s="20">
        <f>IF(B10&gt;0,RicusPolice!Y7," ")</f>
        <v>0</v>
      </c>
      <c r="N10" s="20" t="str">
        <f t="shared" ref="N10:N73" si="30">IF(B10&gt;0,IF(OR(M10=1,M10="1"),"מבטיח תשאוה","משתתף ברווחים"),"")</f>
        <v>משתתף ברווחים</v>
      </c>
      <c r="O10" s="20" t="str">
        <f>RicusPolice!N7</f>
        <v>פעיל</v>
      </c>
      <c r="P10" s="20" t="str">
        <f>IFERROR(VLOOKUP(B10,PerutMasluleiHashkaa!$D$6:$R$100,4,FALSE),0)</f>
        <v>ארם 50 עד 60</v>
      </c>
      <c r="Q10" s="19"/>
      <c r="R10" s="1011" t="str">
        <f>IF(B10&gt;0,RicusPolice!P9," ")</f>
        <v>01/11/2011</v>
      </c>
      <c r="S10" s="20">
        <f>IFERROR(VLOOKUP($B10,'נתונים ידניים'!$B$9:$G$51,6,FALSE),0)</f>
        <v>4</v>
      </c>
      <c r="T10" s="21">
        <f>'נתונים ידניים'!J11</f>
        <v>0</v>
      </c>
      <c r="U10" s="21">
        <f>'נתונים ידניים'!K11</f>
        <v>0</v>
      </c>
      <c r="V10" s="20">
        <f>IFERROR(VLOOKUP($B10,PerutHafrashotLePolisa!$D$6:$N$50,2,FALSE),0)</f>
        <v>0</v>
      </c>
      <c r="W10" s="20">
        <f>IFERROR(VLOOKUP($B10,PerutHafrashotLePolisa!$D$6:$N$50,4,FALSE),0)</f>
        <v>0</v>
      </c>
      <c r="X10" s="20">
        <f>IFERROR(VLOOKUP($B10,PerutHafrashotLePolisa!$D$6:$N$50,3,FALSE),0)</f>
        <v>0</v>
      </c>
      <c r="Y10">
        <f t="shared" ref="Y10:Y73" si="31">VALUE(V10)+VALUE(W10)+VALUE(X10)</f>
        <v>0</v>
      </c>
      <c r="Z10">
        <f>RicusPolice!AP7</f>
        <v>0</v>
      </c>
      <c r="AA10">
        <f>IFERROR(VLOOKUP(B10,PirteiHaasaka!$D$6:$R$100,5,FALSE),0)</f>
        <v>0</v>
      </c>
      <c r="AC10">
        <f>IFERROR(VLOOKUP(B10,HafkadotMetchilatShanaAverages!$D$6:$E$100,2,FALSE),0)</f>
        <v>0</v>
      </c>
      <c r="AF10">
        <f>'נתונים ידניים'!L11</f>
        <v>0</v>
      </c>
      <c r="AG10">
        <f>IFERROR(VLOOKUP(B10,CrossTabYitraLeTkufa_till_2000!$D$6:$AB$100,6,FALSE),0)+IFERROR(VLOOKUP(B10,CrossTabYitraLeTkufa_after_2000!$D$6:$AB$100,6,FALSE),0)</f>
        <v>0</v>
      </c>
      <c r="AH10">
        <f>IFERROR(VLOOKUP(B10,CrossTabYitraLeTkufa_till_2000!$D$6:$AB$100,16,FALSE),0)</f>
        <v>0</v>
      </c>
      <c r="AI10">
        <f>IFERROR(VLOOKUP(B10,CrossTabYitraLeTkufa_after_2000!$D$6:$AB$100,16,FALSE),0)</f>
        <v>0</v>
      </c>
      <c r="AJ10">
        <f>IFERROR(VLOOKUP(B10,CrossTabYitraLeTkufa_till_2000!$D$6:$AB$100,17,FALSE),0)</f>
        <v>0</v>
      </c>
      <c r="AK10">
        <f>IFERROR(VLOOKUP(B10,CrossTabYitraLeTkufa_after_2000!$D$6:$AB$100,17,FALSE),0)</f>
        <v>0</v>
      </c>
      <c r="AL10" s="5">
        <f t="shared" ref="AL10:AL73" si="32">SUM(AG10:AK10)</f>
        <v>0</v>
      </c>
      <c r="AO10">
        <f>IFERROR(VLOOKUP(B10,PirteiKisuiBeMutzar_procerur!$C$6:$AA$100,2,FALSE),0)</f>
        <v>0</v>
      </c>
      <c r="AQ10">
        <f>IFERROR(VLOOKUP($B10,PirteiKisuiBeMutzar_procerur!$C$6:$AA$100,5,FALSE),0)</f>
        <v>0</v>
      </c>
      <c r="AR10">
        <f>IFERROR(VLOOKUP($B10,PirteiKisuiBeMutzar_procerur!$C$6:$AA$100,3,FALSE),0)</f>
        <v>0</v>
      </c>
      <c r="AS10">
        <f>IFERROR(VLOOKUP($B10,PirteiKisuiBeMutzar_procerur!$C$6:$AA$100,6,FALSE),0)</f>
        <v>0</v>
      </c>
      <c r="AT10">
        <f>IFERROR(VLOOKUP($B10,PirteiKisuiBeMutzar_procerur!$C$6:$AA$100,7,FALSE),0)</f>
        <v>0</v>
      </c>
      <c r="AX10" s="997">
        <f t="shared" ref="AX10:AX73" si="33">IFERROR(V10/Y10*AF10,0)</f>
        <v>0</v>
      </c>
      <c r="AY10" s="997">
        <f t="shared" ref="AY10:AY73" si="34">IFERROR(W10/Y10*AF10,0)</f>
        <v>0</v>
      </c>
      <c r="AZ10" s="997">
        <f t="shared" ref="AZ10:AZ73" si="35">IFERROR(X10/Y10*AF10,0)</f>
        <v>0</v>
      </c>
      <c r="BA10" s="997">
        <f>IFERROR(FV(S10/100/12,'נתוני יסוד'!$B$16*12,AX10,AG10)*(-1),0)</f>
        <v>0</v>
      </c>
      <c r="BB10" s="997">
        <f>IFERROR(FV(S10/100/12,'נתוני יסוד'!$B$16*12,0,AH10)*(-1),0)</f>
        <v>0</v>
      </c>
      <c r="BC10" s="997">
        <f>IFERROR(FV(S10/100/12,'נתוני יסוד'!$B$16*12,AY10,AI10)*(-1),0)</f>
        <v>0</v>
      </c>
      <c r="BD10" s="997">
        <f>IFERROR(FV(S10/100/12,'נתוני יסוד'!$B$16*12,0,AJ10)*(-1),0)</f>
        <v>0</v>
      </c>
      <c r="BE10" s="997">
        <f>IFERROR(FV(S10/100/12,'נתוני יסוד'!$B$16*12,AZ10,AK10)*(-1),0)</f>
        <v>0</v>
      </c>
      <c r="BF10" s="997">
        <f t="shared" ref="BF10:BF73" si="36">SUM(BA10:BE10)</f>
        <v>0</v>
      </c>
      <c r="BG10" s="997">
        <f>IFERROR(FV(S10/100/12,'נתוני יסוד'!$B$16*12,AF10,AL10)*(-1),0)</f>
        <v>0</v>
      </c>
      <c r="BH10" s="997">
        <f t="shared" ref="BH10:BH73" si="37">IF(EH10=2,BG10,0)</f>
        <v>0</v>
      </c>
      <c r="BI10" s="997">
        <f t="shared" ref="BI10:BI73" si="38">IFERROR(IF(EH10=1,BG10,0),0)</f>
        <v>0</v>
      </c>
      <c r="BJ10" s="997">
        <f t="shared" ref="BJ10:BJ73" si="39">IFERROR(IF(EH10=1,BG10/T10,0),0)</f>
        <v>0</v>
      </c>
      <c r="BK10" s="997">
        <f t="shared" ref="BK10:BK73" si="40">IFERROR(IF(EH10=1,BG10/U10,0),0)</f>
        <v>0</v>
      </c>
      <c r="BL10" s="997">
        <f t="shared" si="1"/>
        <v>0</v>
      </c>
      <c r="BM10" s="997">
        <f t="shared" si="2"/>
        <v>0</v>
      </c>
      <c r="BN10" s="997">
        <f t="shared" si="3"/>
        <v>0</v>
      </c>
      <c r="BO10" s="997">
        <f t="shared" ref="BO10:BO73" si="41">BM10+BN10</f>
        <v>0</v>
      </c>
      <c r="BP10" s="997">
        <f t="shared" si="4"/>
        <v>0</v>
      </c>
      <c r="BS10">
        <f t="shared" si="5"/>
        <v>0</v>
      </c>
      <c r="BT10">
        <f t="shared" si="6"/>
        <v>0</v>
      </c>
      <c r="BU10">
        <f t="shared" si="7"/>
        <v>0</v>
      </c>
      <c r="BV10">
        <f t="shared" ref="BV10:BV73" si="42">BU10+BT10</f>
        <v>0</v>
      </c>
      <c r="BW10">
        <f t="shared" si="8"/>
        <v>0</v>
      </c>
      <c r="BY10" s="997">
        <f t="shared" si="9"/>
        <v>0</v>
      </c>
      <c r="BZ10" s="997">
        <f t="shared" si="10"/>
        <v>0</v>
      </c>
      <c r="CA10" s="997">
        <f t="shared" si="11"/>
        <v>0</v>
      </c>
      <c r="CB10" s="997">
        <f t="shared" ref="CB10:CB73" si="43">CA10+BZ10</f>
        <v>0</v>
      </c>
      <c r="CC10" s="997">
        <f t="shared" si="12"/>
        <v>0</v>
      </c>
      <c r="CD10" s="997">
        <f t="shared" si="13"/>
        <v>0</v>
      </c>
      <c r="CE10" s="997">
        <f t="shared" si="14"/>
        <v>0</v>
      </c>
      <c r="CF10" s="997">
        <f t="shared" si="15"/>
        <v>0</v>
      </c>
      <c r="CG10" s="997">
        <f t="shared" si="16"/>
        <v>0</v>
      </c>
      <c r="CH10" s="997">
        <f t="shared" si="17"/>
        <v>0</v>
      </c>
      <c r="CI10" s="997">
        <f t="shared" si="18"/>
        <v>0</v>
      </c>
      <c r="CJ10" s="997">
        <f t="shared" si="19"/>
        <v>0</v>
      </c>
      <c r="CK10" s="997"/>
      <c r="CL10" s="997"/>
      <c r="CM10" s="997">
        <f t="shared" si="20"/>
        <v>0</v>
      </c>
      <c r="CN10" s="997">
        <f t="shared" si="21"/>
        <v>0</v>
      </c>
      <c r="CO10" s="997">
        <f t="shared" si="22"/>
        <v>0</v>
      </c>
      <c r="CP10" s="997">
        <f t="shared" ref="CP10:CP73" si="44">CO10+CN10</f>
        <v>0</v>
      </c>
      <c r="CQ10" s="997">
        <f t="shared" si="23"/>
        <v>0</v>
      </c>
      <c r="CR10" s="997">
        <f>IFERROR(VLOOKUP($B10,SchumeiBituahYesodi!$C$6:$AA$100,8,FALSE),0)</f>
        <v>0</v>
      </c>
      <c r="CS10" s="997">
        <f>IFERROR(VLOOKUP($B10,PirteiKisuiBeMutzar_procerur!$C$6:$AA$100,2,FALSE),0)</f>
        <v>0</v>
      </c>
      <c r="CT10" s="997">
        <f>IFERROR(VLOOKUP($B10,PirteiKisuiBeMutzar_procerur!$C$6:$AA$100,3,FALSE),0)</f>
        <v>0</v>
      </c>
      <c r="CU10" s="997">
        <f>IFERROR(VLOOKUP($B10,PirteiKisuiBeMutzar_procerur!$C$6:$AA$100,4,FALSE),0)</f>
        <v>0</v>
      </c>
      <c r="CV10" s="997">
        <f>IFERROR(VLOOKUP($B10,PirteiKisuiBeMutzar_procerur!$C$6:$AA$100,5,FALSE),0)</f>
        <v>0</v>
      </c>
      <c r="CW10" s="997">
        <f>IFERROR(VLOOKUP($B10,PirteiKisuiBeMutzar_procerur!$C$6:$AA$100,6,FALSE),0)</f>
        <v>0</v>
      </c>
      <c r="CX10" s="997">
        <f>IFERROR(VLOOKUP($B10,PirteiKisuiBeMutzar_procerur!$C$6:$AA$100,7,FALSE),0)</f>
        <v>0</v>
      </c>
      <c r="CY10" s="997">
        <f>IFERROR(VLOOKUP($B10,PirteiKisuiBeMutzar_procerur!$C$6:$AA$100,8,FALSE),0)</f>
        <v>0</v>
      </c>
      <c r="CZ10" s="997">
        <f>IFERROR(VLOOKUP($B10,PirteiKisuiBeMutzar_procerur!$C$6:$AA$100,9,FALSE),0)</f>
        <v>0</v>
      </c>
      <c r="DA10" s="997">
        <f>IFERROR(VLOOKUP($B10,PirteiKisuiBeMutzar_procerur!$C$6:$AA$100,10,FALSE),0)</f>
        <v>0</v>
      </c>
      <c r="DB10" s="997">
        <f>IFERROR(VLOOKUP($B10,PirteiKisuiBeMutzar_procerur!$C$6:$AA$100,11,FALSE),0)</f>
        <v>0</v>
      </c>
      <c r="DC10" s="997">
        <f>IFERROR(VLOOKUP($B10,PirteiKisuiBeMutzarPrmia!$C$6:$Z$100,2,FALSE),0)</f>
        <v>0</v>
      </c>
      <c r="DD10" s="997">
        <f>IFERROR(VLOOKUP($B10,PirteiKisuiBeMutzarPrmia!$C$6:$Z$100,3,FALSE),0)</f>
        <v>0</v>
      </c>
      <c r="DE10" s="997">
        <f>IFERROR(VLOOKUP($B10,PirteiKisuiBeMutzarPrmia!$C$6:$Z$100,4,FALSE),0)</f>
        <v>0</v>
      </c>
      <c r="DF10" s="997">
        <f>IFERROR(VLOOKUP($B10,PirteiKisuiBeMutzarPrmia!$C$6:$Z$100,5,FALSE),0)</f>
        <v>0</v>
      </c>
      <c r="DG10" s="997">
        <f>IFERROR(VLOOKUP($B10,PirteiKisuiBeMutzarPrmia!$C$6:$Z$100,6,FALSE),0)</f>
        <v>0</v>
      </c>
      <c r="DH10" s="997">
        <f>IFERROR(VLOOKUP($B10,PirteiKisuiBeMutzarPrmia!$C$6:$Z$100,7,FALSE),0)</f>
        <v>0</v>
      </c>
      <c r="DI10" s="997">
        <f>IFERROR(VLOOKUP($B10,PirteiKisuiBeMutzarPrmia!$C$6:$Z$100,8,FALSE),0)</f>
        <v>0</v>
      </c>
      <c r="DJ10" s="997">
        <f>IFERROR(VLOOKUP($B10,PirteiKisuiBeMutzarPrmia!$C$6:$Z$100,9,FALSE),0)</f>
        <v>0</v>
      </c>
      <c r="DK10" s="997">
        <f>IFERROR(VLOOKUP($B10,PirteiKisuiBeMutzarPrmia!$C$6:$Z$100,10,FALSE),0)</f>
        <v>0</v>
      </c>
      <c r="DL10" s="997">
        <f>IFERROR(VLOOKUP($B10,PirteiKisuiBeMutzarPrmia!$C$6:$Z$100,11,FALSE),0)</f>
        <v>0</v>
      </c>
      <c r="DM10" s="997">
        <f t="shared" si="24"/>
        <v>0</v>
      </c>
      <c r="DN10" s="997">
        <f t="shared" si="25"/>
        <v>0</v>
      </c>
      <c r="DO10" s="997">
        <f t="shared" si="26"/>
        <v>0</v>
      </c>
      <c r="DP10" s="997">
        <f t="shared" si="27"/>
        <v>0</v>
      </c>
      <c r="DQ10" s="997">
        <f t="shared" si="28"/>
        <v>0</v>
      </c>
      <c r="DR10" s="997">
        <f>IF(OR(L10=1,L10=3),IFERROR(VLOOKUP($B10,PerutHafkadotMetchilatShanaAvgM!$C$6:$G$100,3,FALSE),0),0)</f>
        <v>0</v>
      </c>
      <c r="DS10" s="997">
        <f>IF(OR(L10=2,L10=4),IFERROR(VLOOKUP($B10,PerutHafkadotMetchilatShanaAvgM!$C$6:$G$100,3,FALSE),0),0)</f>
        <v>0</v>
      </c>
      <c r="DT10" s="997">
        <f>IFERROR(VLOOKUP($B10,PerutHafkadotMetchilatShanaAvgM!$C$6:$G$100,4,FALSE),0)</f>
        <v>0</v>
      </c>
      <c r="DU10" s="997">
        <f>IFERROR(VLOOKUP($B10,Kupa!$D$6:$AA$100,5,FALSE),0)</f>
        <v>0</v>
      </c>
      <c r="DV10" s="997">
        <f>IFERROR(VLOOKUP($B10,Kupa!$D$6:$AA$100,6,FALSE),0)</f>
        <v>0</v>
      </c>
      <c r="DW10" s="997">
        <f>IFERROR(VLOOKUP($B10,KisuiBKerenPensiaDBWithParams!$D$6:$AP$100,9,FALSE),0)</f>
        <v>0</v>
      </c>
      <c r="DX10" s="997">
        <f>IFERROR(VLOOKUP($B10,KisuiBKerenPensiaDBWithParams!$D$6:$AP$100,12,FALSE),0)</f>
        <v>0</v>
      </c>
      <c r="DY10" s="997">
        <f>IFERROR(VLOOKUP($B10,KisuiBKerenPensiaDBWithParams!$D$6:$AP$100,13,FALSE),0)</f>
        <v>0</v>
      </c>
      <c r="DZ10" s="997">
        <f>IFERROR(VLOOKUP($B10,KisuiBKerenPensiaDBWithParams!$D$6:$AP$100,7,FALSE),0)</f>
        <v>0</v>
      </c>
      <c r="EA10" s="997">
        <f>IFERROR(VLOOKUP($B10,KisuiBKerenPensiaDBWithParams!$D$6:$AP$100,17,FALSE),0)</f>
        <v>0</v>
      </c>
      <c r="EB10" s="997">
        <f>IFERROR(VLOOKUP($B10,KisuiBKerenPensiaDBWithParams!$D$6:$AP$100,20,FALSE),0)</f>
        <v>0</v>
      </c>
      <c r="EC10" s="997">
        <f>IFERROR(VLOOKUP($B10,KisuiBKerenPensiaDBWithParams!$D$6:$AP$100,21,FALSE),0)</f>
        <v>0</v>
      </c>
      <c r="ED10" s="997">
        <f t="shared" ref="ED10:ED73" si="45">DW10+CW10</f>
        <v>0</v>
      </c>
      <c r="EE10" s="997"/>
      <c r="EF10" s="1020">
        <f>IFERROR(VLOOKUP($B10,KisuiBKerenPensiaDBWithParams!$D$6:$AP$100,21,FALSE),0)</f>
        <v>0</v>
      </c>
      <c r="EG10" s="1020">
        <f>IFERROR(VLOOKUP($B10,KisuiBKerenPensiaDBWithParams!$D$6:$AP$100,21,FALSE),0)</f>
        <v>0</v>
      </c>
      <c r="EH10">
        <f>IF(OR(G10=MyData!$J$51,G10=MyData!$J$52,G10=MyData!$J$53),1,IF(G10=MyData!$J$50,2,0))</f>
        <v>2</v>
      </c>
      <c r="EI10">
        <f>IFERROR(VLOOKUP($B10,CrosstabPerutYitrotDB!$C$6:$N$50,3,FALSE),0)</f>
        <v>0</v>
      </c>
      <c r="EJ10">
        <f>IFERROR(VLOOKUP($B10,CrosstabPerutYitrotDB!$C$6:$N$50,4,FALSE),0)</f>
        <v>0</v>
      </c>
      <c r="EK10">
        <f>IFERROR(VLOOKUP($B10,CrosstabPerutYitrotDB!$C$6:$N$50,5,FALSE),0)</f>
        <v>0</v>
      </c>
      <c r="EL10">
        <f>IFERROR(VLOOKUP($B10,CrosstabPerutYitrotDB!$C$6:$N$50,6,FALSE),0)</f>
        <v>0</v>
      </c>
      <c r="EM10">
        <f>IFERROR(VLOOKUP($B10,CrosstabPerutYitrotDB!$C$6:$N$50,7,FALSE),0)</f>
        <v>0</v>
      </c>
      <c r="EN10">
        <f>IFERROR(VLOOKUP($B10,CrosstabPerutYitrotDB!$C$6:$N$50,8,FALSE),0)</f>
        <v>0</v>
      </c>
      <c r="EO10">
        <f>IFERROR(VLOOKUP($B10,CrosstabPerutYitrotDB!$C$6:$N$50,9,FALSE),0)</f>
        <v>0</v>
      </c>
      <c r="EP10">
        <f>IFERROR(VLOOKUP($B10,CrosstabPerutYitrotDB!$C$6:$N$50,10,FALSE),0)</f>
        <v>0</v>
      </c>
      <c r="EQ10">
        <f>IFERROR(VLOOKUP($B10,CrosstabPerutYitrotDB!$C$6:$N$50,11,FALSE),0)</f>
        <v>0</v>
      </c>
    </row>
    <row r="11" spans="1:147" x14ac:dyDescent="0.2">
      <c r="A11">
        <f t="shared" ref="A11:A74" si="46">IF(B11&gt;0,A10+1,0)</f>
        <v>3</v>
      </c>
      <c r="B11" s="20" t="str">
        <f>RicusPolice!E8</f>
        <v>1394370</v>
      </c>
      <c r="C11" s="20" t="str">
        <f>RicusPolice!AL8</f>
        <v>קופת גמל</v>
      </c>
      <c r="D11" s="20" t="str">
        <f>RicusPolice!F8</f>
        <v>ארם גמולים - חברה לניהול קופות גמל בע"מ</v>
      </c>
      <c r="E11" s="20" t="str">
        <f>RicusPolice!R8</f>
        <v>ארם-קופת גמל לתגמולים של ארגון הרופאים עובדי מדינה</v>
      </c>
      <c r="F11" s="20" t="str">
        <f>RicusPolice!N8</f>
        <v>פעיל</v>
      </c>
      <c r="G11" s="20" t="str">
        <f>IFERROR(VLOOKUP($B11,PerutYitrot!$D$6:$P$100,4,FALSE),0)</f>
        <v>הון</v>
      </c>
      <c r="H11" s="20" t="str">
        <f t="shared" si="29"/>
        <v>ריסק/חיסכון</v>
      </c>
      <c r="I11" s="20">
        <f>RicusPolice!L8</f>
        <v>0</v>
      </c>
      <c r="J11" s="179" t="str">
        <f>IFERROR(VLOOKUP(TRIM(K11),MyData!$J$44:$K$50,2,FALSE),0)</f>
        <v>(מ)</v>
      </c>
      <c r="K11" s="20" t="str">
        <f>RicusPolice!M8</f>
        <v>שכיר</v>
      </c>
      <c r="L11" s="20">
        <f>RicusPolice!AM8</f>
        <v>1</v>
      </c>
      <c r="M11" s="20">
        <f>IF(B11&gt;0,RicusPolice!Y8," ")</f>
        <v>0</v>
      </c>
      <c r="N11" s="20" t="str">
        <f t="shared" si="30"/>
        <v>משתתף ברווחים</v>
      </c>
      <c r="O11" s="20" t="str">
        <f>RicusPolice!N8</f>
        <v>פעיל</v>
      </c>
      <c r="P11" s="20" t="str">
        <f>IFERROR(VLOOKUP(B11,PerutMasluleiHashkaa!$D$6:$R$100,4,FALSE),0)</f>
        <v>ארם 50 עד 60</v>
      </c>
      <c r="Q11" s="19"/>
      <c r="R11" s="1011" t="str">
        <f>IF(B11&gt;0,RicusPolice!P10," ")</f>
        <v>02/03/2008</v>
      </c>
      <c r="S11" s="20">
        <f>IFERROR(VLOOKUP($B11,'נתונים ידניים'!$B$9:$G$51,6,FALSE),0)</f>
        <v>4</v>
      </c>
      <c r="T11" s="21">
        <f>'נתונים ידניים'!J12</f>
        <v>0</v>
      </c>
      <c r="U11" s="21">
        <f>'נתונים ידניים'!K12</f>
        <v>0</v>
      </c>
      <c r="V11" s="20">
        <f>IFERROR(VLOOKUP($B11,PerutHafrashotLePolisa!$D$6:$N$50,2,FALSE),0)</f>
        <v>0</v>
      </c>
      <c r="W11" s="20">
        <f>IFERROR(VLOOKUP($B11,PerutHafrashotLePolisa!$D$6:$N$50,4,FALSE),0)</f>
        <v>0</v>
      </c>
      <c r="X11" s="20">
        <f>IFERROR(VLOOKUP($B11,PerutHafrashotLePolisa!$D$6:$N$50,3,FALSE),0)</f>
        <v>0</v>
      </c>
      <c r="Y11">
        <f t="shared" si="31"/>
        <v>0</v>
      </c>
      <c r="Z11">
        <f>RicusPolice!AP8</f>
        <v>0</v>
      </c>
      <c r="AA11">
        <f>IFERROR(VLOOKUP(B11,PirteiHaasaka!$D$6:$R$100,5,FALSE),0)</f>
        <v>0</v>
      </c>
      <c r="AC11">
        <f>IFERROR(VLOOKUP(B11,HafkadotMetchilatShanaAverages!$D$6:$E$100,2,FALSE),0)</f>
        <v>0</v>
      </c>
      <c r="AF11">
        <f>'נתונים ידניים'!L12</f>
        <v>0</v>
      </c>
      <c r="AG11">
        <f>IFERROR(VLOOKUP(B11,CrossTabYitraLeTkufa_till_2000!$D$6:$AB$100,6,FALSE),0)+IFERROR(VLOOKUP(B11,CrossTabYitraLeTkufa_after_2000!$D$6:$AB$100,6,FALSE),0)</f>
        <v>0</v>
      </c>
      <c r="AH11">
        <f>IFERROR(VLOOKUP(B11,CrossTabYitraLeTkufa_till_2000!$D$6:$AB$100,16,FALSE),0)</f>
        <v>0</v>
      </c>
      <c r="AI11">
        <f>IFERROR(VLOOKUP(B11,CrossTabYitraLeTkufa_after_2000!$D$6:$AB$100,16,FALSE),0)</f>
        <v>0</v>
      </c>
      <c r="AJ11">
        <f>IFERROR(VLOOKUP(B11,CrossTabYitraLeTkufa_till_2000!$D$6:$AB$100,17,FALSE),0)</f>
        <v>0</v>
      </c>
      <c r="AK11">
        <f>IFERROR(VLOOKUP(B11,CrossTabYitraLeTkufa_after_2000!$D$6:$AB$100,17,FALSE),0)</f>
        <v>0</v>
      </c>
      <c r="AL11" s="5">
        <f t="shared" si="32"/>
        <v>0</v>
      </c>
      <c r="AO11">
        <f>IFERROR(VLOOKUP(B11,PirteiKisuiBeMutzar_procerur!$C$6:$AA$100,2,FALSE),0)</f>
        <v>0</v>
      </c>
      <c r="AQ11">
        <f>IFERROR(VLOOKUP($B11,PirteiKisuiBeMutzar_procerur!$C$6:$AA$100,5,FALSE),0)</f>
        <v>0</v>
      </c>
      <c r="AR11">
        <f>IFERROR(VLOOKUP($B11,PirteiKisuiBeMutzar_procerur!$C$6:$AA$100,3,FALSE),0)</f>
        <v>0</v>
      </c>
      <c r="AS11">
        <f>IFERROR(VLOOKUP($B11,PirteiKisuiBeMutzar_procerur!$C$6:$AA$100,6,FALSE),0)</f>
        <v>0</v>
      </c>
      <c r="AT11">
        <f>IFERROR(VLOOKUP($B11,PirteiKisuiBeMutzar_procerur!$C$6:$AA$100,7,FALSE),0)</f>
        <v>0</v>
      </c>
      <c r="AX11" s="997">
        <f t="shared" si="33"/>
        <v>0</v>
      </c>
      <c r="AY11" s="997">
        <f t="shared" si="34"/>
        <v>0</v>
      </c>
      <c r="AZ11" s="997">
        <f t="shared" si="35"/>
        <v>0</v>
      </c>
      <c r="BA11" s="997">
        <f>IFERROR(FV(S11/100/12,'נתוני יסוד'!$B$16*12,AX11,AG11)*(-1),0)</f>
        <v>0</v>
      </c>
      <c r="BB11" s="997">
        <f>IFERROR(FV(S11/100/12,'נתוני יסוד'!$B$16*12,0,AH11)*(-1),0)</f>
        <v>0</v>
      </c>
      <c r="BC11" s="997">
        <f>IFERROR(FV(S11/100/12,'נתוני יסוד'!$B$16*12,AY11,AI11)*(-1),0)</f>
        <v>0</v>
      </c>
      <c r="BD11" s="997">
        <f>IFERROR(FV(S11/100/12,'נתוני יסוד'!$B$16*12,0,AJ11)*(-1),0)</f>
        <v>0</v>
      </c>
      <c r="BE11" s="997">
        <f>IFERROR(FV(S11/100/12,'נתוני יסוד'!$B$16*12,AZ11,AK11)*(-1),0)</f>
        <v>0</v>
      </c>
      <c r="BF11" s="997">
        <f t="shared" si="36"/>
        <v>0</v>
      </c>
      <c r="BG11" s="997">
        <f>IFERROR(FV(S11/100/12,'נתוני יסוד'!$B$16*12,AF11,AL11)*(-1),0)</f>
        <v>0</v>
      </c>
      <c r="BH11" s="997">
        <f t="shared" si="37"/>
        <v>0</v>
      </c>
      <c r="BI11" s="997">
        <f t="shared" si="38"/>
        <v>0</v>
      </c>
      <c r="BJ11" s="997">
        <f t="shared" si="39"/>
        <v>0</v>
      </c>
      <c r="BK11" s="997">
        <f t="shared" si="40"/>
        <v>0</v>
      </c>
      <c r="BL11" s="997">
        <f t="shared" si="1"/>
        <v>0</v>
      </c>
      <c r="BM11" s="997">
        <f t="shared" si="2"/>
        <v>0</v>
      </c>
      <c r="BN11" s="997">
        <f t="shared" si="3"/>
        <v>0</v>
      </c>
      <c r="BO11" s="997">
        <f t="shared" si="41"/>
        <v>0</v>
      </c>
      <c r="BP11" s="997">
        <f t="shared" si="4"/>
        <v>0</v>
      </c>
      <c r="BS11">
        <f t="shared" si="5"/>
        <v>0</v>
      </c>
      <c r="BT11">
        <f t="shared" si="6"/>
        <v>0</v>
      </c>
      <c r="BU11">
        <f t="shared" si="7"/>
        <v>0</v>
      </c>
      <c r="BV11">
        <f t="shared" si="42"/>
        <v>0</v>
      </c>
      <c r="BW11">
        <f t="shared" si="8"/>
        <v>0</v>
      </c>
      <c r="BY11" s="997">
        <f t="shared" si="9"/>
        <v>0</v>
      </c>
      <c r="BZ11" s="997">
        <f t="shared" si="10"/>
        <v>0</v>
      </c>
      <c r="CA11" s="997">
        <f t="shared" si="11"/>
        <v>0</v>
      </c>
      <c r="CB11" s="997">
        <f t="shared" si="43"/>
        <v>0</v>
      </c>
      <c r="CC11" s="997">
        <f t="shared" si="12"/>
        <v>0</v>
      </c>
      <c r="CD11" s="997">
        <f t="shared" si="13"/>
        <v>0</v>
      </c>
      <c r="CE11" s="997">
        <f t="shared" si="14"/>
        <v>0</v>
      </c>
      <c r="CF11" s="997">
        <f t="shared" si="15"/>
        <v>0</v>
      </c>
      <c r="CG11" s="997">
        <f t="shared" si="16"/>
        <v>0</v>
      </c>
      <c r="CH11" s="997">
        <f t="shared" si="17"/>
        <v>0</v>
      </c>
      <c r="CI11" s="997">
        <f t="shared" si="18"/>
        <v>0</v>
      </c>
      <c r="CJ11" s="997">
        <f t="shared" si="19"/>
        <v>0</v>
      </c>
      <c r="CK11" s="997"/>
      <c r="CL11" s="997"/>
      <c r="CM11" s="997">
        <f t="shared" si="20"/>
        <v>0</v>
      </c>
      <c r="CN11" s="997">
        <f t="shared" si="21"/>
        <v>0</v>
      </c>
      <c r="CO11" s="997">
        <f t="shared" si="22"/>
        <v>0</v>
      </c>
      <c r="CP11" s="997">
        <f t="shared" si="44"/>
        <v>0</v>
      </c>
      <c r="CQ11" s="997">
        <f t="shared" si="23"/>
        <v>0</v>
      </c>
      <c r="CR11" s="997">
        <f>IFERROR(VLOOKUP($B11,SchumeiBituahYesodi!$C$6:$AA$100,8,FALSE),0)</f>
        <v>0</v>
      </c>
      <c r="CS11" s="997">
        <f>IFERROR(VLOOKUP($B11,PirteiKisuiBeMutzar_procerur!$C$6:$AA$100,2,FALSE),0)</f>
        <v>0</v>
      </c>
      <c r="CT11" s="997">
        <f>IFERROR(VLOOKUP($B11,PirteiKisuiBeMutzar_procerur!$C$6:$AA$100,3,FALSE),0)</f>
        <v>0</v>
      </c>
      <c r="CU11" s="997">
        <f>IFERROR(VLOOKUP($B11,PirteiKisuiBeMutzar_procerur!$C$6:$AA$100,4,FALSE),0)</f>
        <v>0</v>
      </c>
      <c r="CV11" s="997">
        <f>IFERROR(VLOOKUP($B11,PirteiKisuiBeMutzar_procerur!$C$6:$AA$100,5,FALSE),0)</f>
        <v>0</v>
      </c>
      <c r="CW11" s="997">
        <f>IFERROR(VLOOKUP($B11,PirteiKisuiBeMutzar_procerur!$C$6:$AA$100,6,FALSE),0)</f>
        <v>0</v>
      </c>
      <c r="CX11" s="997">
        <f>IFERROR(VLOOKUP($B11,PirteiKisuiBeMutzar_procerur!$C$6:$AA$100,7,FALSE),0)</f>
        <v>0</v>
      </c>
      <c r="CY11" s="997">
        <f>IFERROR(VLOOKUP($B11,PirteiKisuiBeMutzar_procerur!$C$6:$AA$100,8,FALSE),0)</f>
        <v>0</v>
      </c>
      <c r="CZ11" s="997">
        <f>IFERROR(VLOOKUP($B11,PirteiKisuiBeMutzar_procerur!$C$6:$AA$100,9,FALSE),0)</f>
        <v>0</v>
      </c>
      <c r="DA11" s="997">
        <f>IFERROR(VLOOKUP($B11,PirteiKisuiBeMutzar_procerur!$C$6:$AA$100,10,FALSE),0)</f>
        <v>0</v>
      </c>
      <c r="DB11" s="997">
        <f>IFERROR(VLOOKUP($B11,PirteiKisuiBeMutzar_procerur!$C$6:$AA$100,11,FALSE),0)</f>
        <v>0</v>
      </c>
      <c r="DC11" s="997">
        <f>IFERROR(VLOOKUP($B11,PirteiKisuiBeMutzarPrmia!$C$6:$Z$100,2,FALSE),0)</f>
        <v>0</v>
      </c>
      <c r="DD11" s="997">
        <f>IFERROR(VLOOKUP($B11,PirteiKisuiBeMutzarPrmia!$C$6:$Z$100,3,FALSE),0)</f>
        <v>0</v>
      </c>
      <c r="DE11" s="997">
        <f>IFERROR(VLOOKUP($B11,PirteiKisuiBeMutzarPrmia!$C$6:$Z$100,4,FALSE),0)</f>
        <v>0</v>
      </c>
      <c r="DF11" s="997">
        <f>IFERROR(VLOOKUP($B11,PirteiKisuiBeMutzarPrmia!$C$6:$Z$100,5,FALSE),0)</f>
        <v>0</v>
      </c>
      <c r="DG11" s="997">
        <f>IFERROR(VLOOKUP($B11,PirteiKisuiBeMutzarPrmia!$C$6:$Z$100,6,FALSE),0)</f>
        <v>0</v>
      </c>
      <c r="DH11" s="997">
        <f>IFERROR(VLOOKUP($B11,PirteiKisuiBeMutzarPrmia!$C$6:$Z$100,7,FALSE),0)</f>
        <v>0</v>
      </c>
      <c r="DI11" s="997">
        <f>IFERROR(VLOOKUP($B11,PirteiKisuiBeMutzarPrmia!$C$6:$Z$100,8,FALSE),0)</f>
        <v>0</v>
      </c>
      <c r="DJ11" s="997">
        <f>IFERROR(VLOOKUP($B11,PirteiKisuiBeMutzarPrmia!$C$6:$Z$100,9,FALSE),0)</f>
        <v>0</v>
      </c>
      <c r="DK11" s="997">
        <f>IFERROR(VLOOKUP($B11,PirteiKisuiBeMutzarPrmia!$C$6:$Z$100,10,FALSE),0)</f>
        <v>0</v>
      </c>
      <c r="DL11" s="997">
        <f>IFERROR(VLOOKUP($B11,PirteiKisuiBeMutzarPrmia!$C$6:$Z$100,11,FALSE),0)</f>
        <v>0</v>
      </c>
      <c r="DM11" s="997">
        <f t="shared" si="24"/>
        <v>0</v>
      </c>
      <c r="DN11" s="997">
        <f t="shared" si="25"/>
        <v>0</v>
      </c>
      <c r="DO11" s="997">
        <f t="shared" si="26"/>
        <v>0</v>
      </c>
      <c r="DP11" s="997">
        <f t="shared" si="27"/>
        <v>0</v>
      </c>
      <c r="DQ11" s="997">
        <f t="shared" si="28"/>
        <v>0</v>
      </c>
      <c r="DR11" s="997">
        <f>IF(OR(L11=1,L11=3),IFERROR(VLOOKUP($B11,PerutHafkadotMetchilatShanaAvgM!$C$6:$G$100,3,FALSE),0),0)</f>
        <v>0</v>
      </c>
      <c r="DS11" s="997">
        <f>IF(OR(L11=2,L11=4),IFERROR(VLOOKUP($B11,PerutHafkadotMetchilatShanaAvgM!$C$6:$G$100,3,FALSE),0),0)</f>
        <v>0</v>
      </c>
      <c r="DT11" s="997">
        <f>IFERROR(VLOOKUP($B11,PerutHafkadotMetchilatShanaAvgM!$C$6:$G$100,4,FALSE),0)</f>
        <v>0</v>
      </c>
      <c r="DU11" s="997">
        <f>IFERROR(VLOOKUP($B11,Kupa!$D$6:$AA$100,5,FALSE),0)</f>
        <v>0</v>
      </c>
      <c r="DV11" s="997">
        <f>IFERROR(VLOOKUP($B11,Kupa!$D$6:$AA$100,6,FALSE),0)</f>
        <v>0</v>
      </c>
      <c r="DW11" s="997">
        <f>IFERROR(VLOOKUP($B11,KisuiBKerenPensiaDBWithParams!$D$6:$AP$100,9,FALSE),0)</f>
        <v>0</v>
      </c>
      <c r="DX11" s="997">
        <f>IFERROR(VLOOKUP($B11,KisuiBKerenPensiaDBWithParams!$D$6:$AP$100,12,FALSE),0)</f>
        <v>0</v>
      </c>
      <c r="DY11" s="997">
        <f>IFERROR(VLOOKUP($B11,KisuiBKerenPensiaDBWithParams!$D$6:$AP$100,13,FALSE),0)</f>
        <v>0</v>
      </c>
      <c r="DZ11" s="997">
        <f>IFERROR(VLOOKUP($B11,KisuiBKerenPensiaDBWithParams!$D$6:$AP$100,7,FALSE),0)</f>
        <v>0</v>
      </c>
      <c r="EA11" s="997">
        <f>IFERROR(VLOOKUP($B11,KisuiBKerenPensiaDBWithParams!$D$6:$AP$100,17,FALSE),0)</f>
        <v>0</v>
      </c>
      <c r="EB11" s="997">
        <f>IFERROR(VLOOKUP($B11,KisuiBKerenPensiaDBWithParams!$D$6:$AP$100,20,FALSE),0)</f>
        <v>0</v>
      </c>
      <c r="EC11" s="997">
        <f>IFERROR(VLOOKUP($B11,KisuiBKerenPensiaDBWithParams!$D$6:$AP$100,21,FALSE),0)</f>
        <v>0</v>
      </c>
      <c r="ED11" s="997">
        <f t="shared" si="45"/>
        <v>0</v>
      </c>
      <c r="EE11" s="997"/>
      <c r="EF11" s="1020">
        <f>IFERROR(VLOOKUP($B11,KisuiBKerenPensiaDBWithParams!$D$6:$AP$100,21,FALSE),0)</f>
        <v>0</v>
      </c>
      <c r="EG11" s="1020">
        <f>IFERROR(VLOOKUP($B11,KisuiBKerenPensiaDBWithParams!$D$6:$AP$100,21,FALSE),0)</f>
        <v>0</v>
      </c>
      <c r="EH11">
        <f>IF(OR(G11=MyData!$J$51,G11=MyData!$J$52,G11=MyData!$J$53),1,IF(G11=MyData!$J$50,2,0))</f>
        <v>2</v>
      </c>
      <c r="EI11">
        <f>IFERROR(VLOOKUP($B11,CrosstabPerutYitrotDB!$C$6:$N$50,3,FALSE),0)</f>
        <v>0</v>
      </c>
      <c r="EJ11">
        <f>IFERROR(VLOOKUP($B11,CrosstabPerutYitrotDB!$C$6:$N$50,4,FALSE),0)</f>
        <v>0</v>
      </c>
      <c r="EK11">
        <f>IFERROR(VLOOKUP($B11,CrosstabPerutYitrotDB!$C$6:$N$50,5,FALSE),0)</f>
        <v>0</v>
      </c>
      <c r="EL11">
        <f>IFERROR(VLOOKUP($B11,CrosstabPerutYitrotDB!$C$6:$N$50,6,FALSE),0)</f>
        <v>0</v>
      </c>
      <c r="EM11">
        <f>IFERROR(VLOOKUP($B11,CrosstabPerutYitrotDB!$C$6:$N$50,7,FALSE),0)</f>
        <v>0</v>
      </c>
      <c r="EN11">
        <f>IFERROR(VLOOKUP($B11,CrosstabPerutYitrotDB!$C$6:$N$50,8,FALSE),0)</f>
        <v>0</v>
      </c>
      <c r="EO11">
        <f>IFERROR(VLOOKUP($B11,CrosstabPerutYitrotDB!$C$6:$N$50,9,FALSE),0)</f>
        <v>0</v>
      </c>
      <c r="EP11">
        <f>IFERROR(VLOOKUP($B11,CrosstabPerutYitrotDB!$C$6:$N$50,10,FALSE),0)</f>
        <v>0</v>
      </c>
      <c r="EQ11">
        <f>IFERROR(VLOOKUP($B11,CrosstabPerutYitrotDB!$C$6:$N$50,11,FALSE),0)</f>
        <v>0</v>
      </c>
    </row>
    <row r="12" spans="1:147" x14ac:dyDescent="0.2">
      <c r="A12">
        <f t="shared" si="46"/>
        <v>4</v>
      </c>
      <c r="B12" s="20" t="str">
        <f>RicusPolice!E9</f>
        <v>630251455</v>
      </c>
      <c r="C12" s="20" t="str">
        <f>RicusPolice!AL9</f>
        <v>קרן פנסיה</v>
      </c>
      <c r="D12" s="20" t="str">
        <f>RicusPolice!F9</f>
        <v>מגדל מקפת פנסיה וגמל</v>
      </c>
      <c r="E12" s="20" t="str">
        <f>RicusPolice!R9</f>
        <v>מקפת אישית</v>
      </c>
      <c r="F12" s="20" t="str">
        <f>RicusPolice!N9</f>
        <v>פעיל</v>
      </c>
      <c r="G12" s="20" t="str">
        <f>IFERROR(VLOOKUP($B12,PerutYitrot!$D$6:$P$100,4,FALSE),0)</f>
        <v>קצבה משלמת</v>
      </c>
      <c r="H12" s="20" t="str">
        <f t="shared" si="29"/>
        <v>קצבה משלמת</v>
      </c>
      <c r="I12" s="20">
        <f>RicusPolice!L9</f>
        <v>0</v>
      </c>
      <c r="J12" s="179" t="str">
        <f>IFERROR(VLOOKUP(TRIM(K12),MyData!$J$44:$K$50,2,FALSE),0)</f>
        <v>(מ)</v>
      </c>
      <c r="K12" s="20" t="str">
        <f>RicusPolice!M9</f>
        <v>שכיר</v>
      </c>
      <c r="L12" s="20">
        <f>RicusPolice!AM9</f>
        <v>1</v>
      </c>
      <c r="M12" s="20">
        <f>IF(B12&gt;0,RicusPolice!Y9," ")</f>
        <v>2</v>
      </c>
      <c r="N12" s="20" t="str">
        <f t="shared" si="30"/>
        <v>משתתף ברווחים</v>
      </c>
      <c r="O12" s="20" t="str">
        <f>RicusPolice!N9</f>
        <v>פעיל</v>
      </c>
      <c r="P12" s="20" t="str">
        <f>IFERROR(VLOOKUP(B12,PerutMasluleiHashkaa!$D$6:$R$100,4,FALSE),0)</f>
        <v>כללי</v>
      </c>
      <c r="Q12" s="19"/>
      <c r="R12" s="1011" t="str">
        <f>IF(B12&gt;0,RicusPolice!P11," ")</f>
        <v>02/03/2008</v>
      </c>
      <c r="S12" s="20">
        <f>IFERROR(VLOOKUP($B12,'נתונים ידניים'!$B$9:$G$51,6,FALSE),0)</f>
        <v>2.5</v>
      </c>
      <c r="T12" s="21">
        <f>'נתונים ידניים'!J13</f>
        <v>0</v>
      </c>
      <c r="U12" s="21">
        <f>'נתונים ידניים'!K13</f>
        <v>0</v>
      </c>
      <c r="V12" s="20">
        <f>IFERROR(VLOOKUP($B12,PerutHafrashotLePolisa!$D$6:$N$50,2,FALSE),0)</f>
        <v>0</v>
      </c>
      <c r="W12" s="20">
        <f>IFERROR(VLOOKUP($B12,PerutHafrashotLePolisa!$D$6:$N$50,4,FALSE),0)</f>
        <v>0</v>
      </c>
      <c r="X12" s="20">
        <f>IFERROR(VLOOKUP($B12,PerutHafrashotLePolisa!$D$6:$N$50,3,FALSE),0)</f>
        <v>5.75</v>
      </c>
      <c r="Y12">
        <f t="shared" si="31"/>
        <v>5.75</v>
      </c>
      <c r="Z12">
        <f>RicusPolice!AP9</f>
        <v>129.94999999999999</v>
      </c>
      <c r="AA12">
        <f>IFERROR(VLOOKUP(B12,PirteiHaasaka!$D$6:$R$100,5,FALSE),0)</f>
        <v>884.21</v>
      </c>
      <c r="AC12">
        <f>IFERROR(VLOOKUP(B12,HafkadotMetchilatShanaAverages!$D$6:$E$100,2,FALSE),0)</f>
        <v>0</v>
      </c>
      <c r="AF12">
        <f>'נתונים ידניים'!L13</f>
        <v>0</v>
      </c>
      <c r="AG12">
        <f>IFERROR(VLOOKUP(B12,CrossTabYitraLeTkufa_till_2000!$D$6:$AB$100,6,FALSE),0)+IFERROR(VLOOKUP(B12,CrossTabYitraLeTkufa_after_2000!$D$6:$AB$100,6,FALSE),0)</f>
        <v>0</v>
      </c>
      <c r="AH12">
        <f>IFERROR(VLOOKUP(B12,CrossTabYitraLeTkufa_till_2000!$D$6:$AB$100,16,FALSE),0)</f>
        <v>0</v>
      </c>
      <c r="AI12">
        <f>IFERROR(VLOOKUP(B12,CrossTabYitraLeTkufa_after_2000!$D$6:$AB$100,16,FALSE),0)</f>
        <v>0</v>
      </c>
      <c r="AJ12">
        <f>IFERROR(VLOOKUP(B12,CrossTabYitraLeTkufa_till_2000!$D$6:$AB$100,17,FALSE),0)</f>
        <v>0</v>
      </c>
      <c r="AK12">
        <f>IFERROR(VLOOKUP(B12,CrossTabYitraLeTkufa_after_2000!$D$6:$AB$100,17,FALSE),0)</f>
        <v>0</v>
      </c>
      <c r="AL12" s="5">
        <f t="shared" si="32"/>
        <v>0</v>
      </c>
      <c r="AO12">
        <f>IFERROR(VLOOKUP(B12,PirteiKisuiBeMutzar_procerur!$C$6:$AA$100,2,FALSE),0)</f>
        <v>0</v>
      </c>
      <c r="AQ12">
        <f>IFERROR(VLOOKUP($B12,PirteiKisuiBeMutzar_procerur!$C$6:$AA$100,5,FALSE),0)</f>
        <v>0</v>
      </c>
      <c r="AR12">
        <f>IFERROR(VLOOKUP($B12,PirteiKisuiBeMutzar_procerur!$C$6:$AA$100,3,FALSE),0)</f>
        <v>0</v>
      </c>
      <c r="AS12">
        <f>IFERROR(VLOOKUP($B12,PirteiKisuiBeMutzar_procerur!$C$6:$AA$100,6,FALSE),0)</f>
        <v>0</v>
      </c>
      <c r="AT12">
        <f>IFERROR(VLOOKUP($B12,PirteiKisuiBeMutzar_procerur!$C$6:$AA$100,7,FALSE),0)</f>
        <v>0</v>
      </c>
      <c r="AX12" s="997">
        <f t="shared" si="33"/>
        <v>0</v>
      </c>
      <c r="AY12" s="997">
        <f t="shared" si="34"/>
        <v>0</v>
      </c>
      <c r="AZ12" s="997">
        <f t="shared" si="35"/>
        <v>0</v>
      </c>
      <c r="BA12" s="997">
        <f>IFERROR(FV(S12/100/12,'נתוני יסוד'!$B$16*12,AX12,AG12)*(-1),0)</f>
        <v>0</v>
      </c>
      <c r="BB12" s="997">
        <f>IFERROR(FV(S12/100/12,'נתוני יסוד'!$B$16*12,0,AH12)*(-1),0)</f>
        <v>0</v>
      </c>
      <c r="BC12" s="997">
        <f>IFERROR(FV(S12/100/12,'נתוני יסוד'!$B$16*12,AY12,AI12)*(-1),0)</f>
        <v>0</v>
      </c>
      <c r="BD12" s="997">
        <f>IFERROR(FV(S12/100/12,'נתוני יסוד'!$B$16*12,0,AJ12)*(-1),0)</f>
        <v>0</v>
      </c>
      <c r="BE12" s="997">
        <f>IFERROR(FV(S12/100/12,'נתוני יסוד'!$B$16*12,AZ12,AK12)*(-1),0)</f>
        <v>0</v>
      </c>
      <c r="BF12" s="997">
        <f t="shared" si="36"/>
        <v>0</v>
      </c>
      <c r="BG12" s="997">
        <f>IFERROR(FV(S12/100/12,'נתוני יסוד'!$B$16*12,AF12,AL12)*(-1),0)</f>
        <v>0</v>
      </c>
      <c r="BH12" s="997">
        <f t="shared" si="37"/>
        <v>0</v>
      </c>
      <c r="BI12" s="997">
        <f t="shared" si="38"/>
        <v>0</v>
      </c>
      <c r="BJ12" s="997">
        <f t="shared" si="39"/>
        <v>0</v>
      </c>
      <c r="BK12" s="997">
        <f t="shared" si="40"/>
        <v>0</v>
      </c>
      <c r="BL12" s="997">
        <f t="shared" si="1"/>
        <v>0</v>
      </c>
      <c r="BM12" s="997">
        <f t="shared" si="2"/>
        <v>0</v>
      </c>
      <c r="BN12" s="997">
        <f t="shared" si="3"/>
        <v>0</v>
      </c>
      <c r="BO12" s="997">
        <f t="shared" si="41"/>
        <v>0</v>
      </c>
      <c r="BP12" s="997">
        <f t="shared" si="4"/>
        <v>0</v>
      </c>
      <c r="BS12">
        <f t="shared" si="5"/>
        <v>0</v>
      </c>
      <c r="BT12">
        <f t="shared" si="6"/>
        <v>0</v>
      </c>
      <c r="BU12">
        <f t="shared" si="7"/>
        <v>0</v>
      </c>
      <c r="BV12">
        <f t="shared" si="42"/>
        <v>0</v>
      </c>
      <c r="BW12">
        <f t="shared" si="8"/>
        <v>0</v>
      </c>
      <c r="BY12" s="997">
        <f t="shared" si="9"/>
        <v>0</v>
      </c>
      <c r="BZ12" s="997">
        <f t="shared" si="10"/>
        <v>0</v>
      </c>
      <c r="CA12" s="997">
        <f t="shared" si="11"/>
        <v>0</v>
      </c>
      <c r="CB12" s="997">
        <f t="shared" si="43"/>
        <v>0</v>
      </c>
      <c r="CC12" s="997">
        <f t="shared" si="12"/>
        <v>0</v>
      </c>
      <c r="CD12" s="997">
        <f t="shared" si="13"/>
        <v>0</v>
      </c>
      <c r="CE12" s="997">
        <f t="shared" si="14"/>
        <v>0</v>
      </c>
      <c r="CF12" s="997">
        <f t="shared" si="15"/>
        <v>0</v>
      </c>
      <c r="CG12" s="997">
        <f t="shared" si="16"/>
        <v>0</v>
      </c>
      <c r="CH12" s="997">
        <f t="shared" si="17"/>
        <v>0</v>
      </c>
      <c r="CI12" s="997">
        <f t="shared" si="18"/>
        <v>0</v>
      </c>
      <c r="CJ12" s="997">
        <f t="shared" si="19"/>
        <v>0</v>
      </c>
      <c r="CK12" s="997"/>
      <c r="CL12" s="997"/>
      <c r="CM12" s="997">
        <f t="shared" si="20"/>
        <v>0</v>
      </c>
      <c r="CN12" s="997">
        <f t="shared" si="21"/>
        <v>0</v>
      </c>
      <c r="CO12" s="997">
        <f t="shared" si="22"/>
        <v>0</v>
      </c>
      <c r="CP12" s="997">
        <f t="shared" si="44"/>
        <v>0</v>
      </c>
      <c r="CQ12" s="997">
        <f t="shared" si="23"/>
        <v>0</v>
      </c>
      <c r="CR12" s="997">
        <f>IFERROR(VLOOKUP($B12,SchumeiBituahYesodi!$C$6:$AA$100,8,FALSE),0)</f>
        <v>0</v>
      </c>
      <c r="CS12" s="997">
        <f>IFERROR(VLOOKUP($B12,PirteiKisuiBeMutzar_procerur!$C$6:$AA$100,2,FALSE),0)</f>
        <v>0</v>
      </c>
      <c r="CT12" s="997">
        <f>IFERROR(VLOOKUP($B12,PirteiKisuiBeMutzar_procerur!$C$6:$AA$100,3,FALSE),0)</f>
        <v>0</v>
      </c>
      <c r="CU12" s="997">
        <f>IFERROR(VLOOKUP($B12,PirteiKisuiBeMutzar_procerur!$C$6:$AA$100,4,FALSE),0)</f>
        <v>0</v>
      </c>
      <c r="CV12" s="997">
        <f>IFERROR(VLOOKUP($B12,PirteiKisuiBeMutzar_procerur!$C$6:$AA$100,5,FALSE),0)</f>
        <v>0</v>
      </c>
      <c r="CW12" s="997">
        <f>IFERROR(VLOOKUP($B12,PirteiKisuiBeMutzar_procerur!$C$6:$AA$100,6,FALSE),0)</f>
        <v>0</v>
      </c>
      <c r="CX12" s="997">
        <f>IFERROR(VLOOKUP($B12,PirteiKisuiBeMutzar_procerur!$C$6:$AA$100,7,FALSE),0)</f>
        <v>0</v>
      </c>
      <c r="CY12" s="997">
        <f>IFERROR(VLOOKUP($B12,PirteiKisuiBeMutzar_procerur!$C$6:$AA$100,8,FALSE),0)</f>
        <v>0</v>
      </c>
      <c r="CZ12" s="997">
        <f>IFERROR(VLOOKUP($B12,PirteiKisuiBeMutzar_procerur!$C$6:$AA$100,9,FALSE),0)</f>
        <v>0</v>
      </c>
      <c r="DA12" s="997">
        <f>IFERROR(VLOOKUP($B12,PirteiKisuiBeMutzar_procerur!$C$6:$AA$100,10,FALSE),0)</f>
        <v>0</v>
      </c>
      <c r="DB12" s="997">
        <f>IFERROR(VLOOKUP($B12,PirteiKisuiBeMutzar_procerur!$C$6:$AA$100,11,FALSE),0)</f>
        <v>0</v>
      </c>
      <c r="DC12" s="997">
        <f>IFERROR(VLOOKUP($B12,PirteiKisuiBeMutzarPrmia!$C$6:$Z$100,2,FALSE),0)</f>
        <v>0</v>
      </c>
      <c r="DD12" s="997">
        <f>IFERROR(VLOOKUP($B12,PirteiKisuiBeMutzarPrmia!$C$6:$Z$100,3,FALSE),0)</f>
        <v>0</v>
      </c>
      <c r="DE12" s="997">
        <f>IFERROR(VLOOKUP($B12,PirteiKisuiBeMutzarPrmia!$C$6:$Z$100,4,FALSE),0)</f>
        <v>0</v>
      </c>
      <c r="DF12" s="997">
        <f>IFERROR(VLOOKUP($B12,PirteiKisuiBeMutzarPrmia!$C$6:$Z$100,5,FALSE),0)</f>
        <v>0</v>
      </c>
      <c r="DG12" s="997">
        <f>IFERROR(VLOOKUP($B12,PirteiKisuiBeMutzarPrmia!$C$6:$Z$100,6,FALSE),0)</f>
        <v>0</v>
      </c>
      <c r="DH12" s="997">
        <f>IFERROR(VLOOKUP($B12,PirteiKisuiBeMutzarPrmia!$C$6:$Z$100,7,FALSE),0)</f>
        <v>0</v>
      </c>
      <c r="DI12" s="997">
        <f>IFERROR(VLOOKUP($B12,PirteiKisuiBeMutzarPrmia!$C$6:$Z$100,8,FALSE),0)</f>
        <v>0</v>
      </c>
      <c r="DJ12" s="997">
        <f>IFERROR(VLOOKUP($B12,PirteiKisuiBeMutzarPrmia!$C$6:$Z$100,9,FALSE),0)</f>
        <v>0</v>
      </c>
      <c r="DK12" s="997">
        <f>IFERROR(VLOOKUP($B12,PirteiKisuiBeMutzarPrmia!$C$6:$Z$100,10,FALSE),0)</f>
        <v>0</v>
      </c>
      <c r="DL12" s="997">
        <f>IFERROR(VLOOKUP($B12,PirteiKisuiBeMutzarPrmia!$C$6:$Z$100,11,FALSE),0)</f>
        <v>0</v>
      </c>
      <c r="DM12" s="997">
        <f t="shared" si="24"/>
        <v>0</v>
      </c>
      <c r="DN12" s="997">
        <f t="shared" si="25"/>
        <v>0</v>
      </c>
      <c r="DO12" s="997">
        <f t="shared" si="26"/>
        <v>0</v>
      </c>
      <c r="DP12" s="997">
        <f t="shared" si="27"/>
        <v>0</v>
      </c>
      <c r="DQ12" s="997">
        <f t="shared" si="28"/>
        <v>0</v>
      </c>
      <c r="DR12" s="997">
        <f>IF(OR(L12=1,L12=3),IFERROR(VLOOKUP($B12,PerutHafkadotMetchilatShanaAvgM!$C$6:$G$100,3,FALSE),0),0)</f>
        <v>178.37400000000002</v>
      </c>
      <c r="DS12" s="997">
        <f>IF(OR(L12=2,L12=4),IFERROR(VLOOKUP($B12,PerutHafkadotMetchilatShanaAvgM!$C$6:$G$100,3,FALSE),0),0)</f>
        <v>0</v>
      </c>
      <c r="DT12" s="997">
        <f>IFERROR(VLOOKUP($B12,PerutHafkadotMetchilatShanaAvgM!$C$6:$G$100,4,FALSE),0)</f>
        <v>376.48</v>
      </c>
      <c r="DU12" s="997">
        <f>IFERROR(VLOOKUP($B12,Kupa!$D$6:$AA$100,5,FALSE),0)</f>
        <v>0.66</v>
      </c>
      <c r="DV12" s="997">
        <f>IFERROR(VLOOKUP($B12,Kupa!$D$6:$AA$100,6,FALSE),0)</f>
        <v>75</v>
      </c>
      <c r="DW12" s="997">
        <f>IFERROR(VLOOKUP($B12,KisuiBKerenPensiaDBWithParams!$D$6:$AP$100,9,FALSE),0)</f>
        <v>713.34</v>
      </c>
      <c r="DX12" s="997">
        <f>IFERROR(VLOOKUP($B12,KisuiBKerenPensiaDBWithParams!$D$6:$AP$100,12,FALSE),0)</f>
        <v>423.25</v>
      </c>
      <c r="DY12" s="997">
        <f>IFERROR(VLOOKUP($B12,KisuiBKerenPensiaDBWithParams!$D$6:$AP$100,13,FALSE),0)</f>
        <v>211.62</v>
      </c>
      <c r="DZ12" s="997">
        <f>IFERROR(VLOOKUP($B12,KisuiBKerenPensiaDBWithParams!$D$6:$AP$100,7,FALSE),0)</f>
        <v>951.12</v>
      </c>
      <c r="EA12" s="997">
        <f>IFERROR(VLOOKUP($B12,KisuiBKerenPensiaDBWithParams!$D$6:$AP$100,17,FALSE),0)</f>
        <v>67</v>
      </c>
      <c r="EB12" s="997">
        <f>IFERROR(VLOOKUP($B12,KisuiBKerenPensiaDBWithParams!$D$6:$AP$100,20,FALSE),0)</f>
        <v>0</v>
      </c>
      <c r="EC12" s="997">
        <f>IFERROR(VLOOKUP($B12,KisuiBKerenPensiaDBWithParams!$D$6:$AP$100,21,FALSE),0)</f>
        <v>0</v>
      </c>
      <c r="ED12" s="997">
        <f t="shared" si="45"/>
        <v>713.34</v>
      </c>
      <c r="EE12" s="997"/>
      <c r="EF12" s="1020">
        <f>IFERROR(VLOOKUP($B12,KisuiBKerenPensiaDBWithParams!$D$6:$AP$100,21,FALSE),0)</f>
        <v>0</v>
      </c>
      <c r="EG12" s="1020">
        <f>IFERROR(VLOOKUP($B12,KisuiBKerenPensiaDBWithParams!$D$6:$AP$100,21,FALSE),0)</f>
        <v>0</v>
      </c>
      <c r="EH12">
        <f>IF(OR(G12=MyData!$J$51,G12=MyData!$J$52,G12=MyData!$J$53),1,IF(G12=MyData!$J$50,2,0))</f>
        <v>1</v>
      </c>
      <c r="EI12">
        <f>IFERROR(VLOOKUP($B12,CrosstabPerutYitrotDB!$C$6:$N$50,3,FALSE),0)</f>
        <v>2389</v>
      </c>
      <c r="EJ12">
        <f>IFERROR(VLOOKUP($B12,CrosstabPerutYitrotDB!$C$6:$N$50,4,FALSE),0)</f>
        <v>1795</v>
      </c>
      <c r="EK12">
        <f>IFERROR(VLOOKUP($B12,CrosstabPerutYitrotDB!$C$6:$N$50,5,FALSE),0)</f>
        <v>1899</v>
      </c>
      <c r="EL12">
        <f>IFERROR(VLOOKUP($B12,CrosstabPerutYitrotDB!$C$6:$N$50,6,FALSE),0)</f>
        <v>0</v>
      </c>
      <c r="EM12">
        <f>IFERROR(VLOOKUP($B12,CrosstabPerutYitrotDB!$C$6:$N$50,7,FALSE),0)</f>
        <v>0</v>
      </c>
      <c r="EN12">
        <f>IFERROR(VLOOKUP($B12,CrosstabPerutYitrotDB!$C$6:$N$50,8,FALSE),0)</f>
        <v>0</v>
      </c>
      <c r="EO12">
        <f>IFERROR(VLOOKUP($B12,CrosstabPerutYitrotDB!$C$6:$N$50,9,FALSE),0)</f>
        <v>0</v>
      </c>
      <c r="EP12">
        <f>IFERROR(VLOOKUP($B12,CrosstabPerutYitrotDB!$C$6:$N$50,10,FALSE),0)</f>
        <v>0</v>
      </c>
      <c r="EQ12">
        <f>IFERROR(VLOOKUP($B12,CrosstabPerutYitrotDB!$C$6:$N$50,11,FALSE),0)</f>
        <v>0</v>
      </c>
    </row>
    <row r="13" spans="1:147" x14ac:dyDescent="0.2">
      <c r="A13">
        <f t="shared" si="46"/>
        <v>5</v>
      </c>
      <c r="B13" s="20" t="str">
        <f>RicusPolice!E10</f>
        <v>20047373</v>
      </c>
      <c r="C13" s="20" t="str">
        <f>RicusPolice!AL10</f>
        <v>קופת גמל</v>
      </c>
      <c r="D13" s="20" t="str">
        <f>RicusPolice!F10</f>
        <v>מנורה מבטחים פנסיה וגמל בעמ</v>
      </c>
      <c r="E13" s="20" t="str">
        <f>RicusPolice!R10</f>
        <v>מנורה מבטחים אמיר כללי</v>
      </c>
      <c r="F13" s="20" t="str">
        <f>RicusPolice!N10</f>
        <v>מוקפא</v>
      </c>
      <c r="G13" s="20" t="str">
        <f>IFERROR(VLOOKUP($B13,PerutYitrot!$D$6:$P$100,4,FALSE),0)</f>
        <v>קצבה לא משלמת</v>
      </c>
      <c r="H13" s="20" t="str">
        <f t="shared" si="29"/>
        <v>ריסק/חיסכון</v>
      </c>
      <c r="I13" s="20">
        <f>RicusPolice!L10</f>
        <v>0</v>
      </c>
      <c r="J13" s="179" t="str">
        <f>IFERROR(VLOOKUP(TRIM(K13),MyData!$J$44:$K$50,2,FALSE),0)</f>
        <v>(מ)</v>
      </c>
      <c r="K13" s="20" t="str">
        <f>RicusPolice!M10</f>
        <v>שכיר</v>
      </c>
      <c r="L13" s="20">
        <f>RicusPolice!AM10</f>
        <v>1</v>
      </c>
      <c r="M13" s="20">
        <f>IF(B13&gt;0,RicusPolice!Y10," ")</f>
        <v>0</v>
      </c>
      <c r="N13" s="20" t="str">
        <f t="shared" si="30"/>
        <v>משתתף ברווחים</v>
      </c>
      <c r="O13" s="20" t="str">
        <f>RicusPolice!N10</f>
        <v>מוקפא</v>
      </c>
      <c r="P13" s="20" t="str">
        <f>IFERROR(VLOOKUP(B13,PerutMasluleiHashkaa!$D$6:$R$100,4,FALSE),0)</f>
        <v>מנורה מבטחים אמיר כללי</v>
      </c>
      <c r="Q13" s="19"/>
      <c r="R13" s="1011" t="str">
        <f>IF(B13&gt;0,RicusPolice!P12," ")</f>
        <v>01/02/2005</v>
      </c>
      <c r="S13" s="20">
        <f>IFERROR(VLOOKUP($B13,'נתונים ידניים'!$B$9:$G$51,6,FALSE),0)</f>
        <v>2.5</v>
      </c>
      <c r="T13" s="21">
        <f>'נתונים ידניים'!J14</f>
        <v>0</v>
      </c>
      <c r="U13" s="21">
        <f>'נתונים ידניים'!K14</f>
        <v>0</v>
      </c>
      <c r="V13" s="20">
        <f>IFERROR(VLOOKUP($B13,PerutHafrashotLePolisa!$D$6:$N$50,2,FALSE),0)</f>
        <v>0</v>
      </c>
      <c r="W13" s="20">
        <f>IFERROR(VLOOKUP($B13,PerutHafrashotLePolisa!$D$6:$N$50,4,FALSE),0)</f>
        <v>0</v>
      </c>
      <c r="X13" s="20">
        <f>IFERROR(VLOOKUP($B13,PerutHafrashotLePolisa!$D$6:$N$50,3,FALSE),0)</f>
        <v>0</v>
      </c>
      <c r="Y13">
        <f t="shared" si="31"/>
        <v>0</v>
      </c>
      <c r="Z13">
        <f>RicusPolice!AP10</f>
        <v>0</v>
      </c>
      <c r="AA13">
        <f>IFERROR(VLOOKUP(B13,PirteiHaasaka!$D$6:$R$100,5,FALSE),0)</f>
        <v>0</v>
      </c>
      <c r="AC13">
        <f>IFERROR(VLOOKUP(B13,HafkadotMetchilatShanaAverages!$D$6:$E$100,2,FALSE),0)</f>
        <v>0</v>
      </c>
      <c r="AF13">
        <f>'נתונים ידניים'!L14</f>
        <v>0</v>
      </c>
      <c r="AG13">
        <f>IFERROR(VLOOKUP(B13,CrossTabYitraLeTkufa_till_2000!$D$6:$AB$100,6,FALSE),0)+IFERROR(VLOOKUP(B13,CrossTabYitraLeTkufa_after_2000!$D$6:$AB$100,6,FALSE),0)</f>
        <v>0</v>
      </c>
      <c r="AH13">
        <f>IFERROR(VLOOKUP(B13,CrossTabYitraLeTkufa_till_2000!$D$6:$AB$100,16,FALSE),0)</f>
        <v>0</v>
      </c>
      <c r="AI13">
        <f>IFERROR(VLOOKUP(B13,CrossTabYitraLeTkufa_after_2000!$D$6:$AB$100,16,FALSE),0)</f>
        <v>0</v>
      </c>
      <c r="AJ13">
        <f>IFERROR(VLOOKUP(B13,CrossTabYitraLeTkufa_till_2000!$D$6:$AB$100,17,FALSE),0)</f>
        <v>0</v>
      </c>
      <c r="AK13">
        <f>IFERROR(VLOOKUP(B13,CrossTabYitraLeTkufa_after_2000!$D$6:$AB$100,17,FALSE),0)</f>
        <v>0</v>
      </c>
      <c r="AL13" s="5">
        <f t="shared" si="32"/>
        <v>0</v>
      </c>
      <c r="AO13">
        <f>IFERROR(VLOOKUP(B13,PirteiKisuiBeMutzar_procerur!$C$6:$AA$100,2,FALSE),0)</f>
        <v>0</v>
      </c>
      <c r="AQ13">
        <f>IFERROR(VLOOKUP($B13,PirteiKisuiBeMutzar_procerur!$C$6:$AA$100,5,FALSE),0)</f>
        <v>0</v>
      </c>
      <c r="AR13">
        <f>IFERROR(VLOOKUP($B13,PirteiKisuiBeMutzar_procerur!$C$6:$AA$100,3,FALSE),0)</f>
        <v>0</v>
      </c>
      <c r="AS13">
        <f>IFERROR(VLOOKUP($B13,PirteiKisuiBeMutzar_procerur!$C$6:$AA$100,6,FALSE),0)</f>
        <v>0</v>
      </c>
      <c r="AT13">
        <f>IFERROR(VLOOKUP($B13,PirteiKisuiBeMutzar_procerur!$C$6:$AA$100,7,FALSE),0)</f>
        <v>0</v>
      </c>
      <c r="AX13" s="997">
        <f t="shared" si="33"/>
        <v>0</v>
      </c>
      <c r="AY13" s="997">
        <f t="shared" si="34"/>
        <v>0</v>
      </c>
      <c r="AZ13" s="997">
        <f t="shared" si="35"/>
        <v>0</v>
      </c>
      <c r="BA13" s="997">
        <f>IFERROR(FV(S13/100/12,'נתוני יסוד'!$B$16*12,AX13,AG13)*(-1),0)</f>
        <v>0</v>
      </c>
      <c r="BB13" s="997">
        <f>IFERROR(FV(S13/100/12,'נתוני יסוד'!$B$16*12,0,AH13)*(-1),0)</f>
        <v>0</v>
      </c>
      <c r="BC13" s="997">
        <f>IFERROR(FV(S13/100/12,'נתוני יסוד'!$B$16*12,AY13,AI13)*(-1),0)</f>
        <v>0</v>
      </c>
      <c r="BD13" s="997">
        <f>IFERROR(FV(S13/100/12,'נתוני יסוד'!$B$16*12,0,AJ13)*(-1),0)</f>
        <v>0</v>
      </c>
      <c r="BE13" s="997">
        <f>IFERROR(FV(S13/100/12,'נתוני יסוד'!$B$16*12,AZ13,AK13)*(-1),0)</f>
        <v>0</v>
      </c>
      <c r="BF13" s="997">
        <f t="shared" si="36"/>
        <v>0</v>
      </c>
      <c r="BG13" s="997">
        <f>IFERROR(FV(S13/100/12,'נתוני יסוד'!$B$16*12,AF13,AL13)*(-1),0)</f>
        <v>0</v>
      </c>
      <c r="BH13" s="997">
        <f t="shared" si="37"/>
        <v>0</v>
      </c>
      <c r="BI13" s="997">
        <f t="shared" si="38"/>
        <v>0</v>
      </c>
      <c r="BJ13" s="997">
        <f t="shared" si="39"/>
        <v>0</v>
      </c>
      <c r="BK13" s="997">
        <f t="shared" si="40"/>
        <v>0</v>
      </c>
      <c r="BL13" s="997">
        <f t="shared" si="1"/>
        <v>0</v>
      </c>
      <c r="BM13" s="997">
        <f t="shared" si="2"/>
        <v>0</v>
      </c>
      <c r="BN13" s="997">
        <f t="shared" si="3"/>
        <v>0</v>
      </c>
      <c r="BO13" s="997">
        <f t="shared" si="41"/>
        <v>0</v>
      </c>
      <c r="BP13" s="997">
        <f t="shared" si="4"/>
        <v>0</v>
      </c>
      <c r="BS13">
        <f t="shared" si="5"/>
        <v>0</v>
      </c>
      <c r="BT13">
        <f t="shared" si="6"/>
        <v>0</v>
      </c>
      <c r="BU13">
        <f t="shared" si="7"/>
        <v>0</v>
      </c>
      <c r="BV13">
        <f t="shared" si="42"/>
        <v>0</v>
      </c>
      <c r="BW13">
        <f t="shared" si="8"/>
        <v>0</v>
      </c>
      <c r="BY13" s="997">
        <f t="shared" si="9"/>
        <v>0</v>
      </c>
      <c r="BZ13" s="997">
        <f t="shared" si="10"/>
        <v>0</v>
      </c>
      <c r="CA13" s="997">
        <f t="shared" si="11"/>
        <v>0</v>
      </c>
      <c r="CB13" s="997">
        <f t="shared" si="43"/>
        <v>0</v>
      </c>
      <c r="CC13" s="997">
        <f t="shared" si="12"/>
        <v>0</v>
      </c>
      <c r="CD13" s="997">
        <f t="shared" si="13"/>
        <v>0</v>
      </c>
      <c r="CE13" s="997">
        <f t="shared" si="14"/>
        <v>0</v>
      </c>
      <c r="CF13" s="997">
        <f t="shared" si="15"/>
        <v>0</v>
      </c>
      <c r="CG13" s="997">
        <f t="shared" si="16"/>
        <v>0</v>
      </c>
      <c r="CH13" s="997">
        <f t="shared" si="17"/>
        <v>0</v>
      </c>
      <c r="CI13" s="997">
        <f t="shared" si="18"/>
        <v>0</v>
      </c>
      <c r="CJ13" s="997">
        <f t="shared" si="19"/>
        <v>0</v>
      </c>
      <c r="CK13" s="997"/>
      <c r="CL13" s="997"/>
      <c r="CM13" s="997">
        <f t="shared" si="20"/>
        <v>0</v>
      </c>
      <c r="CN13" s="997">
        <f t="shared" si="21"/>
        <v>0</v>
      </c>
      <c r="CO13" s="997">
        <f t="shared" si="22"/>
        <v>0</v>
      </c>
      <c r="CP13" s="997">
        <f t="shared" si="44"/>
        <v>0</v>
      </c>
      <c r="CQ13" s="997">
        <f t="shared" si="23"/>
        <v>0</v>
      </c>
      <c r="CR13" s="997">
        <f>IFERROR(VLOOKUP($B13,SchumeiBituahYesodi!$C$6:$AA$100,8,FALSE),0)</f>
        <v>0</v>
      </c>
      <c r="CS13" s="997">
        <f>IFERROR(VLOOKUP($B13,PirteiKisuiBeMutzar_procerur!$C$6:$AA$100,2,FALSE),0)</f>
        <v>0</v>
      </c>
      <c r="CT13" s="997">
        <f>IFERROR(VLOOKUP($B13,PirteiKisuiBeMutzar_procerur!$C$6:$AA$100,3,FALSE),0)</f>
        <v>0</v>
      </c>
      <c r="CU13" s="997">
        <f>IFERROR(VLOOKUP($B13,PirteiKisuiBeMutzar_procerur!$C$6:$AA$100,4,FALSE),0)</f>
        <v>0</v>
      </c>
      <c r="CV13" s="997">
        <f>IFERROR(VLOOKUP($B13,PirteiKisuiBeMutzar_procerur!$C$6:$AA$100,5,FALSE),0)</f>
        <v>0</v>
      </c>
      <c r="CW13" s="997">
        <f>IFERROR(VLOOKUP($B13,PirteiKisuiBeMutzar_procerur!$C$6:$AA$100,6,FALSE),0)</f>
        <v>0</v>
      </c>
      <c r="CX13" s="997">
        <f>IFERROR(VLOOKUP($B13,PirteiKisuiBeMutzar_procerur!$C$6:$AA$100,7,FALSE),0)</f>
        <v>0</v>
      </c>
      <c r="CY13" s="997">
        <f>IFERROR(VLOOKUP($B13,PirteiKisuiBeMutzar_procerur!$C$6:$AA$100,8,FALSE),0)</f>
        <v>0</v>
      </c>
      <c r="CZ13" s="997">
        <f>IFERROR(VLOOKUP($B13,PirteiKisuiBeMutzar_procerur!$C$6:$AA$100,9,FALSE),0)</f>
        <v>0</v>
      </c>
      <c r="DA13" s="997">
        <f>IFERROR(VLOOKUP($B13,PirteiKisuiBeMutzar_procerur!$C$6:$AA$100,10,FALSE),0)</f>
        <v>0</v>
      </c>
      <c r="DB13" s="997">
        <f>IFERROR(VLOOKUP($B13,PirteiKisuiBeMutzar_procerur!$C$6:$AA$100,11,FALSE),0)</f>
        <v>0</v>
      </c>
      <c r="DC13" s="997">
        <f>IFERROR(VLOOKUP($B13,PirteiKisuiBeMutzarPrmia!$C$6:$Z$100,2,FALSE),0)</f>
        <v>0</v>
      </c>
      <c r="DD13" s="997">
        <f>IFERROR(VLOOKUP($B13,PirteiKisuiBeMutzarPrmia!$C$6:$Z$100,3,FALSE),0)</f>
        <v>0</v>
      </c>
      <c r="DE13" s="997">
        <f>IFERROR(VLOOKUP($B13,PirteiKisuiBeMutzarPrmia!$C$6:$Z$100,4,FALSE),0)</f>
        <v>0</v>
      </c>
      <c r="DF13" s="997">
        <f>IFERROR(VLOOKUP($B13,PirteiKisuiBeMutzarPrmia!$C$6:$Z$100,5,FALSE),0)</f>
        <v>0</v>
      </c>
      <c r="DG13" s="997">
        <f>IFERROR(VLOOKUP($B13,PirteiKisuiBeMutzarPrmia!$C$6:$Z$100,6,FALSE),0)</f>
        <v>0</v>
      </c>
      <c r="DH13" s="997">
        <f>IFERROR(VLOOKUP($B13,PirteiKisuiBeMutzarPrmia!$C$6:$Z$100,7,FALSE),0)</f>
        <v>0</v>
      </c>
      <c r="DI13" s="997">
        <f>IFERROR(VLOOKUP($B13,PirteiKisuiBeMutzarPrmia!$C$6:$Z$100,8,FALSE),0)</f>
        <v>0</v>
      </c>
      <c r="DJ13" s="997">
        <f>IFERROR(VLOOKUP($B13,PirteiKisuiBeMutzarPrmia!$C$6:$Z$100,9,FALSE),0)</f>
        <v>0</v>
      </c>
      <c r="DK13" s="997">
        <f>IFERROR(VLOOKUP($B13,PirteiKisuiBeMutzarPrmia!$C$6:$Z$100,10,FALSE),0)</f>
        <v>0</v>
      </c>
      <c r="DL13" s="997">
        <f>IFERROR(VLOOKUP($B13,PirteiKisuiBeMutzarPrmia!$C$6:$Z$100,11,FALSE),0)</f>
        <v>0</v>
      </c>
      <c r="DM13" s="997">
        <f t="shared" si="24"/>
        <v>0</v>
      </c>
      <c r="DN13" s="997">
        <f t="shared" si="25"/>
        <v>0</v>
      </c>
      <c r="DO13" s="997">
        <f t="shared" si="26"/>
        <v>0</v>
      </c>
      <c r="DP13" s="997">
        <f t="shared" si="27"/>
        <v>0</v>
      </c>
      <c r="DQ13" s="997">
        <f t="shared" si="28"/>
        <v>0</v>
      </c>
      <c r="DR13" s="997">
        <f>IF(OR(L13=1,L13=3),IFERROR(VLOOKUP($B13,PerutHafkadotMetchilatShanaAvgM!$C$6:$G$100,3,FALSE),0),0)</f>
        <v>0</v>
      </c>
      <c r="DS13" s="997">
        <f>IF(OR(L13=2,L13=4),IFERROR(VLOOKUP($B13,PerutHafkadotMetchilatShanaAvgM!$C$6:$G$100,3,FALSE),0),0)</f>
        <v>0</v>
      </c>
      <c r="DT13" s="997">
        <f>IFERROR(VLOOKUP($B13,PerutHafkadotMetchilatShanaAvgM!$C$6:$G$100,4,FALSE),0)</f>
        <v>0</v>
      </c>
      <c r="DU13" s="997">
        <f>IFERROR(VLOOKUP($B13,Kupa!$D$6:$AA$100,5,FALSE),0)</f>
        <v>0</v>
      </c>
      <c r="DV13" s="997">
        <f>IFERROR(VLOOKUP($B13,Kupa!$D$6:$AA$100,6,FALSE),0)</f>
        <v>0</v>
      </c>
      <c r="DW13" s="997">
        <f>IFERROR(VLOOKUP($B13,KisuiBKerenPensiaDBWithParams!$D$6:$AP$100,9,FALSE),0)</f>
        <v>0</v>
      </c>
      <c r="DX13" s="997">
        <f>IFERROR(VLOOKUP($B13,KisuiBKerenPensiaDBWithParams!$D$6:$AP$100,12,FALSE),0)</f>
        <v>0</v>
      </c>
      <c r="DY13" s="997">
        <f>IFERROR(VLOOKUP($B13,KisuiBKerenPensiaDBWithParams!$D$6:$AP$100,13,FALSE),0)</f>
        <v>0</v>
      </c>
      <c r="DZ13" s="997">
        <f>IFERROR(VLOOKUP($B13,KisuiBKerenPensiaDBWithParams!$D$6:$AP$100,7,FALSE),0)</f>
        <v>0</v>
      </c>
      <c r="EA13" s="997">
        <f>IFERROR(VLOOKUP($B13,KisuiBKerenPensiaDBWithParams!$D$6:$AP$100,17,FALSE),0)</f>
        <v>0</v>
      </c>
      <c r="EB13" s="997">
        <f>IFERROR(VLOOKUP($B13,KisuiBKerenPensiaDBWithParams!$D$6:$AP$100,20,FALSE),0)</f>
        <v>0</v>
      </c>
      <c r="EC13" s="997">
        <f>IFERROR(VLOOKUP($B13,KisuiBKerenPensiaDBWithParams!$D$6:$AP$100,21,FALSE),0)</f>
        <v>0</v>
      </c>
      <c r="ED13" s="997">
        <f t="shared" si="45"/>
        <v>0</v>
      </c>
      <c r="EE13" s="997"/>
      <c r="EF13" s="1020">
        <f>IFERROR(VLOOKUP($B13,KisuiBKerenPensiaDBWithParams!$D$6:$AP$100,21,FALSE),0)</f>
        <v>0</v>
      </c>
      <c r="EG13" s="1020">
        <f>IFERROR(VLOOKUP($B13,KisuiBKerenPensiaDBWithParams!$D$6:$AP$100,21,FALSE),0)</f>
        <v>0</v>
      </c>
      <c r="EH13">
        <f>IF(OR(G13=MyData!$J$51,G13=MyData!$J$52,G13=MyData!$J$53),1,IF(G13=MyData!$J$50,2,0))</f>
        <v>1</v>
      </c>
      <c r="EI13">
        <f>IFERROR(VLOOKUP($B13,CrosstabPerutYitrotDB!$C$6:$N$50,3,FALSE),0)</f>
        <v>0</v>
      </c>
      <c r="EJ13">
        <f>IFERROR(VLOOKUP($B13,CrosstabPerutYitrotDB!$C$6:$N$50,4,FALSE),0)</f>
        <v>8525.33</v>
      </c>
      <c r="EK13">
        <f>IFERROR(VLOOKUP($B13,CrosstabPerutYitrotDB!$C$6:$N$50,5,FALSE),0)</f>
        <v>9134.31</v>
      </c>
      <c r="EL13">
        <f>IFERROR(VLOOKUP($B13,CrosstabPerutYitrotDB!$C$6:$N$50,6,FALSE),0)</f>
        <v>0</v>
      </c>
      <c r="EM13">
        <f>IFERROR(VLOOKUP($B13,CrosstabPerutYitrotDB!$C$6:$N$50,7,FALSE),0)</f>
        <v>0</v>
      </c>
      <c r="EN13">
        <f>IFERROR(VLOOKUP($B13,CrosstabPerutYitrotDB!$C$6:$N$50,8,FALSE),0)</f>
        <v>0</v>
      </c>
      <c r="EO13">
        <f>IFERROR(VLOOKUP($B13,CrosstabPerutYitrotDB!$C$6:$N$50,9,FALSE),0)</f>
        <v>0</v>
      </c>
      <c r="EP13">
        <f>IFERROR(VLOOKUP($B13,CrosstabPerutYitrotDB!$C$6:$N$50,10,FALSE),0)</f>
        <v>0</v>
      </c>
      <c r="EQ13">
        <f>IFERROR(VLOOKUP($B13,CrosstabPerutYitrotDB!$C$6:$N$50,11,FALSE),0)</f>
        <v>0</v>
      </c>
    </row>
    <row r="14" spans="1:147" x14ac:dyDescent="0.2">
      <c r="A14">
        <f t="shared" si="46"/>
        <v>6</v>
      </c>
      <c r="B14" s="20" t="str">
        <f>RicusPolice!E11</f>
        <v>2296587</v>
      </c>
      <c r="C14" s="20" t="str">
        <f>RicusPolice!AL11</f>
        <v>קופת גמל</v>
      </c>
      <c r="D14" s="20" t="str">
        <f>RicusPolice!F11</f>
        <v>מנורה מבטחים פנסיה וגמל בעמ</v>
      </c>
      <c r="E14" s="20" t="str">
        <f>RicusPolice!R11</f>
        <v>מנורה מבטחים תגמולים</v>
      </c>
      <c r="F14" s="20" t="str">
        <f>RicusPolice!N11</f>
        <v>מוקפא</v>
      </c>
      <c r="G14" s="20" t="str">
        <f>IFERROR(VLOOKUP($B14,PerutYitrot!$D$6:$P$100,4,FALSE),0)</f>
        <v>קצבה לא משלמת</v>
      </c>
      <c r="H14" s="20" t="str">
        <f t="shared" si="29"/>
        <v>ריסק/חיסכון</v>
      </c>
      <c r="I14" s="20">
        <f>RicusPolice!L11</f>
        <v>0</v>
      </c>
      <c r="J14" s="179" t="str">
        <f>IFERROR(VLOOKUP(TRIM(K14),MyData!$J$44:$K$50,2,FALSE),0)</f>
        <v>(מ)</v>
      </c>
      <c r="K14" s="20" t="str">
        <f>RicusPolice!M11</f>
        <v>שכיר</v>
      </c>
      <c r="L14" s="20">
        <f>RicusPolice!AM11</f>
        <v>1</v>
      </c>
      <c r="M14" s="20">
        <f>IF(B14&gt;0,RicusPolice!Y11," ")</f>
        <v>0</v>
      </c>
      <c r="N14" s="20" t="str">
        <f t="shared" si="30"/>
        <v>משתתף ברווחים</v>
      </c>
      <c r="O14" s="20" t="str">
        <f>RicusPolice!N11</f>
        <v>מוקפא</v>
      </c>
      <c r="P14" s="20" t="str">
        <f>IFERROR(VLOOKUP(B14,PerutMasluleiHashkaa!$D$6:$R$100,4,FALSE),0)</f>
        <v>מנורה מבטחים תגמולים ופיצויים שקלי טווח קצר</v>
      </c>
      <c r="Q14" s="19"/>
      <c r="R14" s="1011" t="str">
        <f>IF(B14&gt;0,RicusPolice!P13," ")</f>
        <v>02/01/2005</v>
      </c>
      <c r="S14" s="20">
        <f>IFERROR(VLOOKUP($B14,'נתונים ידניים'!$B$9:$G$51,6,FALSE),0)</f>
        <v>2.5</v>
      </c>
      <c r="T14" s="21">
        <f>'נתונים ידניים'!J15</f>
        <v>0</v>
      </c>
      <c r="U14" s="21">
        <f>'נתונים ידניים'!K15</f>
        <v>0</v>
      </c>
      <c r="V14" s="20">
        <f>IFERROR(VLOOKUP($B14,PerutHafrashotLePolisa!$D$6:$N$50,2,FALSE),0)</f>
        <v>0</v>
      </c>
      <c r="W14" s="20">
        <f>IFERROR(VLOOKUP($B14,PerutHafrashotLePolisa!$D$6:$N$50,4,FALSE),0)</f>
        <v>0</v>
      </c>
      <c r="X14" s="20">
        <f>IFERROR(VLOOKUP($B14,PerutHafrashotLePolisa!$D$6:$N$50,3,FALSE),0)</f>
        <v>0</v>
      </c>
      <c r="Y14">
        <f t="shared" si="31"/>
        <v>0</v>
      </c>
      <c r="Z14">
        <f>RicusPolice!AP11</f>
        <v>0</v>
      </c>
      <c r="AA14">
        <f>IFERROR(VLOOKUP(B14,PirteiHaasaka!$D$6:$R$100,5,FALSE),0)</f>
        <v>0</v>
      </c>
      <c r="AC14">
        <f>IFERROR(VLOOKUP(B14,HafkadotMetchilatShanaAverages!$D$6:$E$100,2,FALSE),0)</f>
        <v>0</v>
      </c>
      <c r="AF14">
        <f>'נתונים ידניים'!L15</f>
        <v>0</v>
      </c>
      <c r="AG14">
        <f>IFERROR(VLOOKUP(B14,CrossTabYitraLeTkufa_till_2000!$D$6:$AB$100,6,FALSE),0)+IFERROR(VLOOKUP(B14,CrossTabYitraLeTkufa_after_2000!$D$6:$AB$100,6,FALSE),0)</f>
        <v>0</v>
      </c>
      <c r="AH14">
        <f>IFERROR(VLOOKUP(B14,CrossTabYitraLeTkufa_till_2000!$D$6:$AB$100,16,FALSE),0)</f>
        <v>0</v>
      </c>
      <c r="AI14">
        <f>IFERROR(VLOOKUP(B14,CrossTabYitraLeTkufa_after_2000!$D$6:$AB$100,16,FALSE),0)</f>
        <v>0</v>
      </c>
      <c r="AJ14">
        <f>IFERROR(VLOOKUP(B14,CrossTabYitraLeTkufa_till_2000!$D$6:$AB$100,17,FALSE),0)</f>
        <v>0</v>
      </c>
      <c r="AK14">
        <f>IFERROR(VLOOKUP(B14,CrossTabYitraLeTkufa_after_2000!$D$6:$AB$100,17,FALSE),0)</f>
        <v>0</v>
      </c>
      <c r="AL14" s="5">
        <f t="shared" si="32"/>
        <v>0</v>
      </c>
      <c r="AO14">
        <f>IFERROR(VLOOKUP(B14,PirteiKisuiBeMutzar_procerur!$C$6:$AA$100,2,FALSE),0)</f>
        <v>0</v>
      </c>
      <c r="AQ14">
        <f>IFERROR(VLOOKUP($B14,PirteiKisuiBeMutzar_procerur!$C$6:$AA$100,5,FALSE),0)</f>
        <v>0</v>
      </c>
      <c r="AR14">
        <f>IFERROR(VLOOKUP($B14,PirteiKisuiBeMutzar_procerur!$C$6:$AA$100,3,FALSE),0)</f>
        <v>0</v>
      </c>
      <c r="AS14">
        <f>IFERROR(VLOOKUP($B14,PirteiKisuiBeMutzar_procerur!$C$6:$AA$100,6,FALSE),0)</f>
        <v>0</v>
      </c>
      <c r="AT14">
        <f>IFERROR(VLOOKUP($B14,PirteiKisuiBeMutzar_procerur!$C$6:$AA$100,7,FALSE),0)</f>
        <v>0</v>
      </c>
      <c r="AX14" s="997">
        <f t="shared" si="33"/>
        <v>0</v>
      </c>
      <c r="AY14" s="997">
        <f t="shared" si="34"/>
        <v>0</v>
      </c>
      <c r="AZ14" s="997">
        <f t="shared" si="35"/>
        <v>0</v>
      </c>
      <c r="BA14" s="997">
        <f>IFERROR(FV(S14/100/12,'נתוני יסוד'!$B$16*12,AX14,AG14)*(-1),0)</f>
        <v>0</v>
      </c>
      <c r="BB14" s="997">
        <f>IFERROR(FV(S14/100/12,'נתוני יסוד'!$B$16*12,0,AH14)*(-1),0)</f>
        <v>0</v>
      </c>
      <c r="BC14" s="997">
        <f>IFERROR(FV(S14/100/12,'נתוני יסוד'!$B$16*12,AY14,AI14)*(-1),0)</f>
        <v>0</v>
      </c>
      <c r="BD14" s="997">
        <f>IFERROR(FV(S14/100/12,'נתוני יסוד'!$B$16*12,0,AJ14)*(-1),0)</f>
        <v>0</v>
      </c>
      <c r="BE14" s="997">
        <f>IFERROR(FV(S14/100/12,'נתוני יסוד'!$B$16*12,AZ14,AK14)*(-1),0)</f>
        <v>0</v>
      </c>
      <c r="BF14" s="997">
        <f t="shared" si="36"/>
        <v>0</v>
      </c>
      <c r="BG14" s="997">
        <f>IFERROR(FV(S14/100/12,'נתוני יסוד'!$B$16*12,AF14,AL14)*(-1),0)</f>
        <v>0</v>
      </c>
      <c r="BH14" s="997">
        <f t="shared" si="37"/>
        <v>0</v>
      </c>
      <c r="BI14" s="997">
        <f t="shared" si="38"/>
        <v>0</v>
      </c>
      <c r="BJ14" s="997">
        <f t="shared" si="39"/>
        <v>0</v>
      </c>
      <c r="BK14" s="997">
        <f t="shared" si="40"/>
        <v>0</v>
      </c>
      <c r="BL14" s="997">
        <f t="shared" si="1"/>
        <v>0</v>
      </c>
      <c r="BM14" s="997">
        <f t="shared" si="2"/>
        <v>0</v>
      </c>
      <c r="BN14" s="997">
        <f t="shared" si="3"/>
        <v>0</v>
      </c>
      <c r="BO14" s="997">
        <f t="shared" si="41"/>
        <v>0</v>
      </c>
      <c r="BP14" s="997">
        <f t="shared" si="4"/>
        <v>0</v>
      </c>
      <c r="BS14">
        <f t="shared" si="5"/>
        <v>0</v>
      </c>
      <c r="BT14">
        <f t="shared" si="6"/>
        <v>0</v>
      </c>
      <c r="BU14">
        <f t="shared" si="7"/>
        <v>0</v>
      </c>
      <c r="BV14">
        <f t="shared" si="42"/>
        <v>0</v>
      </c>
      <c r="BW14">
        <f t="shared" si="8"/>
        <v>0</v>
      </c>
      <c r="BY14" s="997">
        <f t="shared" si="9"/>
        <v>0</v>
      </c>
      <c r="BZ14" s="997">
        <f t="shared" si="10"/>
        <v>0</v>
      </c>
      <c r="CA14" s="997">
        <f t="shared" si="11"/>
        <v>0</v>
      </c>
      <c r="CB14" s="997">
        <f t="shared" si="43"/>
        <v>0</v>
      </c>
      <c r="CC14" s="997">
        <f t="shared" si="12"/>
        <v>0</v>
      </c>
      <c r="CD14" s="997">
        <f t="shared" si="13"/>
        <v>0</v>
      </c>
      <c r="CE14" s="997">
        <f t="shared" si="14"/>
        <v>0</v>
      </c>
      <c r="CF14" s="997">
        <f t="shared" si="15"/>
        <v>0</v>
      </c>
      <c r="CG14" s="997">
        <f t="shared" si="16"/>
        <v>0</v>
      </c>
      <c r="CH14" s="997">
        <f t="shared" si="17"/>
        <v>0</v>
      </c>
      <c r="CI14" s="997">
        <f t="shared" si="18"/>
        <v>0</v>
      </c>
      <c r="CJ14" s="997">
        <f t="shared" si="19"/>
        <v>0</v>
      </c>
      <c r="CK14" s="997"/>
      <c r="CL14" s="997"/>
      <c r="CM14" s="997">
        <f t="shared" si="20"/>
        <v>0</v>
      </c>
      <c r="CN14" s="997">
        <f t="shared" si="21"/>
        <v>0</v>
      </c>
      <c r="CO14" s="997">
        <f t="shared" si="22"/>
        <v>0</v>
      </c>
      <c r="CP14" s="997">
        <f t="shared" si="44"/>
        <v>0</v>
      </c>
      <c r="CQ14" s="997">
        <f t="shared" si="23"/>
        <v>0</v>
      </c>
      <c r="CR14" s="997">
        <f>IFERROR(VLOOKUP($B14,SchumeiBituahYesodi!$C$6:$AA$100,8,FALSE),0)</f>
        <v>0</v>
      </c>
      <c r="CS14" s="997">
        <f>IFERROR(VLOOKUP($B14,PirteiKisuiBeMutzar_procerur!$C$6:$AA$100,2,FALSE),0)</f>
        <v>0</v>
      </c>
      <c r="CT14" s="997">
        <f>IFERROR(VLOOKUP($B14,PirteiKisuiBeMutzar_procerur!$C$6:$AA$100,3,FALSE),0)</f>
        <v>0</v>
      </c>
      <c r="CU14" s="997">
        <f>IFERROR(VLOOKUP($B14,PirteiKisuiBeMutzar_procerur!$C$6:$AA$100,4,FALSE),0)</f>
        <v>0</v>
      </c>
      <c r="CV14" s="997">
        <f>IFERROR(VLOOKUP($B14,PirteiKisuiBeMutzar_procerur!$C$6:$AA$100,5,FALSE),0)</f>
        <v>0</v>
      </c>
      <c r="CW14" s="997">
        <f>IFERROR(VLOOKUP($B14,PirteiKisuiBeMutzar_procerur!$C$6:$AA$100,6,FALSE),0)</f>
        <v>0</v>
      </c>
      <c r="CX14" s="997">
        <f>IFERROR(VLOOKUP($B14,PirteiKisuiBeMutzar_procerur!$C$6:$AA$100,7,FALSE),0)</f>
        <v>0</v>
      </c>
      <c r="CY14" s="997">
        <f>IFERROR(VLOOKUP($B14,PirteiKisuiBeMutzar_procerur!$C$6:$AA$100,8,FALSE),0)</f>
        <v>0</v>
      </c>
      <c r="CZ14" s="997">
        <f>IFERROR(VLOOKUP($B14,PirteiKisuiBeMutzar_procerur!$C$6:$AA$100,9,FALSE),0)</f>
        <v>0</v>
      </c>
      <c r="DA14" s="997">
        <f>IFERROR(VLOOKUP($B14,PirteiKisuiBeMutzar_procerur!$C$6:$AA$100,10,FALSE),0)</f>
        <v>0</v>
      </c>
      <c r="DB14" s="997">
        <f>IFERROR(VLOOKUP($B14,PirteiKisuiBeMutzar_procerur!$C$6:$AA$100,11,FALSE),0)</f>
        <v>0</v>
      </c>
      <c r="DC14" s="997">
        <f>IFERROR(VLOOKUP($B14,PirteiKisuiBeMutzarPrmia!$C$6:$Z$100,2,FALSE),0)</f>
        <v>0</v>
      </c>
      <c r="DD14" s="997">
        <f>IFERROR(VLOOKUP($B14,PirteiKisuiBeMutzarPrmia!$C$6:$Z$100,3,FALSE),0)</f>
        <v>0</v>
      </c>
      <c r="DE14" s="997">
        <f>IFERROR(VLOOKUP($B14,PirteiKisuiBeMutzarPrmia!$C$6:$Z$100,4,FALSE),0)</f>
        <v>0</v>
      </c>
      <c r="DF14" s="997">
        <f>IFERROR(VLOOKUP($B14,PirteiKisuiBeMutzarPrmia!$C$6:$Z$100,5,FALSE),0)</f>
        <v>0</v>
      </c>
      <c r="DG14" s="997">
        <f>IFERROR(VLOOKUP($B14,PirteiKisuiBeMutzarPrmia!$C$6:$Z$100,6,FALSE),0)</f>
        <v>0</v>
      </c>
      <c r="DH14" s="997">
        <f>IFERROR(VLOOKUP($B14,PirteiKisuiBeMutzarPrmia!$C$6:$Z$100,7,FALSE),0)</f>
        <v>0</v>
      </c>
      <c r="DI14" s="997">
        <f>IFERROR(VLOOKUP($B14,PirteiKisuiBeMutzarPrmia!$C$6:$Z$100,8,FALSE),0)</f>
        <v>0</v>
      </c>
      <c r="DJ14" s="997">
        <f>IFERROR(VLOOKUP($B14,PirteiKisuiBeMutzarPrmia!$C$6:$Z$100,9,FALSE),0)</f>
        <v>0</v>
      </c>
      <c r="DK14" s="997">
        <f>IFERROR(VLOOKUP($B14,PirteiKisuiBeMutzarPrmia!$C$6:$Z$100,10,FALSE),0)</f>
        <v>0</v>
      </c>
      <c r="DL14" s="997">
        <f>IFERROR(VLOOKUP($B14,PirteiKisuiBeMutzarPrmia!$C$6:$Z$100,11,FALSE),0)</f>
        <v>0</v>
      </c>
      <c r="DM14" s="997">
        <f t="shared" si="24"/>
        <v>0</v>
      </c>
      <c r="DN14" s="997">
        <f t="shared" si="25"/>
        <v>0</v>
      </c>
      <c r="DO14" s="997">
        <f t="shared" si="26"/>
        <v>0</v>
      </c>
      <c r="DP14" s="997">
        <f t="shared" si="27"/>
        <v>0</v>
      </c>
      <c r="DQ14" s="997">
        <f t="shared" si="28"/>
        <v>0</v>
      </c>
      <c r="DR14" s="997">
        <f>IF(OR(L14=1,L14=3),IFERROR(VLOOKUP($B14,PerutHafkadotMetchilatShanaAvgM!$C$6:$G$100,3,FALSE),0),0)</f>
        <v>0</v>
      </c>
      <c r="DS14" s="997">
        <f>IF(OR(L14=2,L14=4),IFERROR(VLOOKUP($B14,PerutHafkadotMetchilatShanaAvgM!$C$6:$G$100,3,FALSE),0),0)</f>
        <v>0</v>
      </c>
      <c r="DT14" s="997">
        <f>IFERROR(VLOOKUP($B14,PerutHafkadotMetchilatShanaAvgM!$C$6:$G$100,4,FALSE),0)</f>
        <v>0</v>
      </c>
      <c r="DU14" s="997">
        <f>IFERROR(VLOOKUP($B14,Kupa!$D$6:$AA$100,5,FALSE),0)</f>
        <v>0</v>
      </c>
      <c r="DV14" s="997">
        <f>IFERROR(VLOOKUP($B14,Kupa!$D$6:$AA$100,6,FALSE),0)</f>
        <v>0</v>
      </c>
      <c r="DW14" s="997">
        <f>IFERROR(VLOOKUP($B14,KisuiBKerenPensiaDBWithParams!$D$6:$AP$100,9,FALSE),0)</f>
        <v>0</v>
      </c>
      <c r="DX14" s="997">
        <f>IFERROR(VLOOKUP($B14,KisuiBKerenPensiaDBWithParams!$D$6:$AP$100,12,FALSE),0)</f>
        <v>0</v>
      </c>
      <c r="DY14" s="997">
        <f>IFERROR(VLOOKUP($B14,KisuiBKerenPensiaDBWithParams!$D$6:$AP$100,13,FALSE),0)</f>
        <v>0</v>
      </c>
      <c r="DZ14" s="997">
        <f>IFERROR(VLOOKUP($B14,KisuiBKerenPensiaDBWithParams!$D$6:$AP$100,7,FALSE),0)</f>
        <v>0</v>
      </c>
      <c r="EA14" s="997">
        <f>IFERROR(VLOOKUP($B14,KisuiBKerenPensiaDBWithParams!$D$6:$AP$100,17,FALSE),0)</f>
        <v>0</v>
      </c>
      <c r="EB14" s="997">
        <f>IFERROR(VLOOKUP($B14,KisuiBKerenPensiaDBWithParams!$D$6:$AP$100,20,FALSE),0)</f>
        <v>0</v>
      </c>
      <c r="EC14" s="997">
        <f>IFERROR(VLOOKUP($B14,KisuiBKerenPensiaDBWithParams!$D$6:$AP$100,21,FALSE),0)</f>
        <v>0</v>
      </c>
      <c r="ED14" s="997">
        <f t="shared" si="45"/>
        <v>0</v>
      </c>
      <c r="EE14" s="997"/>
      <c r="EF14" s="1020">
        <f>IFERROR(VLOOKUP($B14,KisuiBKerenPensiaDBWithParams!$D$6:$AP$100,21,FALSE),0)</f>
        <v>0</v>
      </c>
      <c r="EG14" s="1020">
        <f>IFERROR(VLOOKUP($B14,KisuiBKerenPensiaDBWithParams!$D$6:$AP$100,21,FALSE),0)</f>
        <v>0</v>
      </c>
      <c r="EH14">
        <f>IF(OR(G14=MyData!$J$51,G14=MyData!$J$52,G14=MyData!$J$53),1,IF(G14=MyData!$J$50,2,0))</f>
        <v>1</v>
      </c>
      <c r="EI14">
        <f>IFERROR(VLOOKUP($B14,CrosstabPerutYitrotDB!$C$6:$N$50,3,FALSE),0)</f>
        <v>0</v>
      </c>
      <c r="EJ14">
        <f>IFERROR(VLOOKUP($B14,CrosstabPerutYitrotDB!$C$6:$N$50,4,FALSE),0)</f>
        <v>4150.92</v>
      </c>
      <c r="EK14">
        <f>IFERROR(VLOOKUP($B14,CrosstabPerutYitrotDB!$C$6:$N$50,5,FALSE),0)</f>
        <v>4447.38</v>
      </c>
      <c r="EL14">
        <f>IFERROR(VLOOKUP($B14,CrosstabPerutYitrotDB!$C$6:$N$50,6,FALSE),0)</f>
        <v>0</v>
      </c>
      <c r="EM14">
        <f>IFERROR(VLOOKUP($B14,CrosstabPerutYitrotDB!$C$6:$N$50,7,FALSE),0)</f>
        <v>0</v>
      </c>
      <c r="EN14">
        <f>IFERROR(VLOOKUP($B14,CrosstabPerutYitrotDB!$C$6:$N$50,8,FALSE),0)</f>
        <v>0</v>
      </c>
      <c r="EO14">
        <f>IFERROR(VLOOKUP($B14,CrosstabPerutYitrotDB!$C$6:$N$50,9,FALSE),0)</f>
        <v>0</v>
      </c>
      <c r="EP14">
        <f>IFERROR(VLOOKUP($B14,CrosstabPerutYitrotDB!$C$6:$N$50,10,FALSE),0)</f>
        <v>0</v>
      </c>
      <c r="EQ14">
        <f>IFERROR(VLOOKUP($B14,CrosstabPerutYitrotDB!$C$6:$N$50,11,FALSE),0)</f>
        <v>0</v>
      </c>
    </row>
    <row r="15" spans="1:147" x14ac:dyDescent="0.2">
      <c r="A15">
        <f t="shared" si="46"/>
        <v>7</v>
      </c>
      <c r="B15" s="20" t="str">
        <f>RicusPolice!E12</f>
        <v>56078603</v>
      </c>
      <c r="C15" s="20" t="str">
        <f>RicusPolice!AL12</f>
        <v>קרן פנסיה</v>
      </c>
      <c r="D15" s="20" t="str">
        <f>RicusPolice!F12</f>
        <v>מנורה מבטחים פנסיה וגמל בעמ</v>
      </c>
      <c r="E15" s="20" t="str">
        <f>RicusPolice!R12</f>
        <v>מבטחים החדשה פלוס</v>
      </c>
      <c r="F15" s="20" t="str">
        <f>RicusPolice!N12</f>
        <v>מוקפא</v>
      </c>
      <c r="G15" s="20" t="str">
        <f>IFERROR(VLOOKUP($B15,PerutYitrot!$D$6:$P$100,4,FALSE),0)</f>
        <v>קצבה משלמת</v>
      </c>
      <c r="H15" s="20" t="str">
        <f t="shared" si="29"/>
        <v>קצבה משלמת</v>
      </c>
      <c r="I15" s="20">
        <f>RicusPolice!L12</f>
        <v>0</v>
      </c>
      <c r="J15" s="179" t="str">
        <f>IFERROR(VLOOKUP(TRIM(K15),MyData!$J$44:$K$50,2,FALSE),0)</f>
        <v>(מ)</v>
      </c>
      <c r="K15" s="20" t="str">
        <f>RicusPolice!M12</f>
        <v>שכיר</v>
      </c>
      <c r="L15" s="20">
        <f>RicusPolice!AM12</f>
        <v>1</v>
      </c>
      <c r="M15" s="20">
        <f>IF(B15&gt;0,RicusPolice!Y12," ")</f>
        <v>2</v>
      </c>
      <c r="N15" s="20" t="str">
        <f t="shared" si="30"/>
        <v>משתתף ברווחים</v>
      </c>
      <c r="O15" s="20" t="str">
        <f>RicusPolice!N12</f>
        <v>מוקפא</v>
      </c>
      <c r="P15" s="20" t="str">
        <f>IFERROR(VLOOKUP(B15,PerutMasluleiHashkaa!$D$6:$R$100,4,FALSE),0)</f>
        <v>פנסיה משלימה</v>
      </c>
      <c r="Q15" s="19"/>
      <c r="R15" s="1011" t="str">
        <f>IF(B15&gt;0,RicusPolice!P14," ")</f>
        <v>16/08/1994</v>
      </c>
      <c r="S15" s="20">
        <f>IFERROR(VLOOKUP($B15,'נתונים ידניים'!$B$9:$G$51,6,FALSE),0)</f>
        <v>2.5</v>
      </c>
      <c r="T15" s="21">
        <f>'נתונים ידניים'!J16</f>
        <v>0</v>
      </c>
      <c r="U15" s="21">
        <f>'נתונים ידניים'!K16</f>
        <v>0</v>
      </c>
      <c r="V15" s="20">
        <f>IFERROR(VLOOKUP($B15,PerutHafrashotLePolisa!$D$6:$N$50,2,FALSE),0)</f>
        <v>6</v>
      </c>
      <c r="W15" s="20">
        <f>IFERROR(VLOOKUP($B15,PerutHafrashotLePolisa!$D$6:$N$50,4,FALSE),0)</f>
        <v>6</v>
      </c>
      <c r="X15" s="20">
        <f>IFERROR(VLOOKUP($B15,PerutHafrashotLePolisa!$D$6:$N$50,3,FALSE),0)</f>
        <v>5.5</v>
      </c>
      <c r="Y15">
        <f t="shared" si="31"/>
        <v>17.5</v>
      </c>
      <c r="Z15">
        <f>RicusPolice!AP12</f>
        <v>0</v>
      </c>
      <c r="AA15">
        <f>IFERROR(VLOOKUP(B15,PirteiHaasaka!$D$6:$R$100,5,FALSE),0)</f>
        <v>0</v>
      </c>
      <c r="AC15">
        <f>IFERROR(VLOOKUP(B15,HafkadotMetchilatShanaAverages!$D$6:$E$100,2,FALSE),0)</f>
        <v>0</v>
      </c>
      <c r="AF15">
        <f>'נתונים ידניים'!L16</f>
        <v>0</v>
      </c>
      <c r="AG15">
        <f>IFERROR(VLOOKUP(B15,CrossTabYitraLeTkufa_till_2000!$D$6:$AB$100,6,FALSE),0)+IFERROR(VLOOKUP(B15,CrossTabYitraLeTkufa_after_2000!$D$6:$AB$100,6,FALSE),0)</f>
        <v>0</v>
      </c>
      <c r="AH15">
        <f>IFERROR(VLOOKUP(B15,CrossTabYitraLeTkufa_till_2000!$D$6:$AB$100,16,FALSE),0)</f>
        <v>0</v>
      </c>
      <c r="AI15">
        <f>IFERROR(VLOOKUP(B15,CrossTabYitraLeTkufa_after_2000!$D$6:$AB$100,16,FALSE),0)</f>
        <v>0</v>
      </c>
      <c r="AJ15">
        <f>IFERROR(VLOOKUP(B15,CrossTabYitraLeTkufa_till_2000!$D$6:$AB$100,17,FALSE),0)</f>
        <v>0</v>
      </c>
      <c r="AK15">
        <f>IFERROR(VLOOKUP(B15,CrossTabYitraLeTkufa_after_2000!$D$6:$AB$100,17,FALSE),0)</f>
        <v>0</v>
      </c>
      <c r="AL15" s="5">
        <f t="shared" si="32"/>
        <v>0</v>
      </c>
      <c r="AO15">
        <f>IFERROR(VLOOKUP(B15,PirteiKisuiBeMutzar_procerur!$C$6:$AA$100,2,FALSE),0)</f>
        <v>0</v>
      </c>
      <c r="AQ15">
        <f>IFERROR(VLOOKUP($B15,PirteiKisuiBeMutzar_procerur!$C$6:$AA$100,5,FALSE),0)</f>
        <v>0</v>
      </c>
      <c r="AR15">
        <f>IFERROR(VLOOKUP($B15,PirteiKisuiBeMutzar_procerur!$C$6:$AA$100,3,FALSE),0)</f>
        <v>0</v>
      </c>
      <c r="AS15">
        <f>IFERROR(VLOOKUP($B15,PirteiKisuiBeMutzar_procerur!$C$6:$AA$100,6,FALSE),0)</f>
        <v>0</v>
      </c>
      <c r="AT15">
        <f>IFERROR(VLOOKUP($B15,PirteiKisuiBeMutzar_procerur!$C$6:$AA$100,7,FALSE),0)</f>
        <v>0</v>
      </c>
      <c r="AX15" s="997">
        <f t="shared" si="33"/>
        <v>0</v>
      </c>
      <c r="AY15" s="997">
        <f t="shared" si="34"/>
        <v>0</v>
      </c>
      <c r="AZ15" s="997">
        <f t="shared" si="35"/>
        <v>0</v>
      </c>
      <c r="BA15" s="997">
        <f>IFERROR(FV(S15/100/12,'נתוני יסוד'!$B$16*12,AX15,AG15)*(-1),0)</f>
        <v>0</v>
      </c>
      <c r="BB15" s="997">
        <f>IFERROR(FV(S15/100/12,'נתוני יסוד'!$B$16*12,0,AH15)*(-1),0)</f>
        <v>0</v>
      </c>
      <c r="BC15" s="997">
        <f>IFERROR(FV(S15/100/12,'נתוני יסוד'!$B$16*12,AY15,AI15)*(-1),0)</f>
        <v>0</v>
      </c>
      <c r="BD15" s="997">
        <f>IFERROR(FV(S15/100/12,'נתוני יסוד'!$B$16*12,0,AJ15)*(-1),0)</f>
        <v>0</v>
      </c>
      <c r="BE15" s="997">
        <f>IFERROR(FV(S15/100/12,'נתוני יסוד'!$B$16*12,AZ15,AK15)*(-1),0)</f>
        <v>0</v>
      </c>
      <c r="BF15" s="997">
        <f t="shared" si="36"/>
        <v>0</v>
      </c>
      <c r="BG15" s="997">
        <f>IFERROR(FV(S15/100/12,'נתוני יסוד'!$B$16*12,AF15,AL15)*(-1),0)</f>
        <v>0</v>
      </c>
      <c r="BH15" s="997">
        <f t="shared" si="37"/>
        <v>0</v>
      </c>
      <c r="BI15" s="997">
        <f t="shared" si="38"/>
        <v>0</v>
      </c>
      <c r="BJ15" s="997">
        <f t="shared" si="39"/>
        <v>0</v>
      </c>
      <c r="BK15" s="997">
        <f t="shared" si="40"/>
        <v>0</v>
      </c>
      <c r="BL15" s="997">
        <f t="shared" si="1"/>
        <v>0</v>
      </c>
      <c r="BM15" s="997">
        <f t="shared" si="2"/>
        <v>0</v>
      </c>
      <c r="BN15" s="997">
        <f t="shared" si="3"/>
        <v>0</v>
      </c>
      <c r="BO15" s="997">
        <f t="shared" si="41"/>
        <v>0</v>
      </c>
      <c r="BP15" s="997">
        <f t="shared" si="4"/>
        <v>0</v>
      </c>
      <c r="BS15">
        <f t="shared" si="5"/>
        <v>0</v>
      </c>
      <c r="BT15">
        <f t="shared" si="6"/>
        <v>0</v>
      </c>
      <c r="BU15">
        <f t="shared" si="7"/>
        <v>0</v>
      </c>
      <c r="BV15">
        <f t="shared" si="42"/>
        <v>0</v>
      </c>
      <c r="BW15">
        <f t="shared" si="8"/>
        <v>0</v>
      </c>
      <c r="BY15" s="997">
        <f t="shared" si="9"/>
        <v>0</v>
      </c>
      <c r="BZ15" s="997">
        <f t="shared" si="10"/>
        <v>0</v>
      </c>
      <c r="CA15" s="997">
        <f t="shared" si="11"/>
        <v>0</v>
      </c>
      <c r="CB15" s="997">
        <f t="shared" si="43"/>
        <v>0</v>
      </c>
      <c r="CC15" s="997">
        <f t="shared" si="12"/>
        <v>0</v>
      </c>
      <c r="CD15" s="997">
        <f t="shared" si="13"/>
        <v>0</v>
      </c>
      <c r="CE15" s="997">
        <f t="shared" si="14"/>
        <v>0</v>
      </c>
      <c r="CF15" s="997">
        <f t="shared" si="15"/>
        <v>0</v>
      </c>
      <c r="CG15" s="997">
        <f t="shared" si="16"/>
        <v>0</v>
      </c>
      <c r="CH15" s="997">
        <f t="shared" si="17"/>
        <v>0</v>
      </c>
      <c r="CI15" s="997">
        <f t="shared" si="18"/>
        <v>0</v>
      </c>
      <c r="CJ15" s="997">
        <f t="shared" si="19"/>
        <v>0</v>
      </c>
      <c r="CK15" s="997"/>
      <c r="CL15" s="997"/>
      <c r="CM15" s="997">
        <f t="shared" si="20"/>
        <v>0</v>
      </c>
      <c r="CN15" s="997">
        <f t="shared" si="21"/>
        <v>0</v>
      </c>
      <c r="CO15" s="997">
        <f t="shared" si="22"/>
        <v>0</v>
      </c>
      <c r="CP15" s="997">
        <f t="shared" si="44"/>
        <v>0</v>
      </c>
      <c r="CQ15" s="997">
        <f t="shared" si="23"/>
        <v>0</v>
      </c>
      <c r="CR15" s="997">
        <f>IFERROR(VLOOKUP($B15,SchumeiBituahYesodi!$C$6:$AA$100,8,FALSE),0)</f>
        <v>0</v>
      </c>
      <c r="CS15" s="997">
        <f>IFERROR(VLOOKUP($B15,PirteiKisuiBeMutzar_procerur!$C$6:$AA$100,2,FALSE),0)</f>
        <v>0</v>
      </c>
      <c r="CT15" s="997">
        <f>IFERROR(VLOOKUP($B15,PirteiKisuiBeMutzar_procerur!$C$6:$AA$100,3,FALSE),0)</f>
        <v>0</v>
      </c>
      <c r="CU15" s="997">
        <f>IFERROR(VLOOKUP($B15,PirteiKisuiBeMutzar_procerur!$C$6:$AA$100,4,FALSE),0)</f>
        <v>0</v>
      </c>
      <c r="CV15" s="997">
        <f>IFERROR(VLOOKUP($B15,PirteiKisuiBeMutzar_procerur!$C$6:$AA$100,5,FALSE),0)</f>
        <v>0</v>
      </c>
      <c r="CW15" s="997">
        <f>IFERROR(VLOOKUP($B15,PirteiKisuiBeMutzar_procerur!$C$6:$AA$100,6,FALSE),0)</f>
        <v>0</v>
      </c>
      <c r="CX15" s="997">
        <f>IFERROR(VLOOKUP($B15,PirteiKisuiBeMutzar_procerur!$C$6:$AA$100,7,FALSE),0)</f>
        <v>0</v>
      </c>
      <c r="CY15" s="997">
        <f>IFERROR(VLOOKUP($B15,PirteiKisuiBeMutzar_procerur!$C$6:$AA$100,8,FALSE),0)</f>
        <v>0</v>
      </c>
      <c r="CZ15" s="997">
        <f>IFERROR(VLOOKUP($B15,PirteiKisuiBeMutzar_procerur!$C$6:$AA$100,9,FALSE),0)</f>
        <v>0</v>
      </c>
      <c r="DA15" s="997">
        <f>IFERROR(VLOOKUP($B15,PirteiKisuiBeMutzar_procerur!$C$6:$AA$100,10,FALSE),0)</f>
        <v>0</v>
      </c>
      <c r="DB15" s="997">
        <f>IFERROR(VLOOKUP($B15,PirteiKisuiBeMutzar_procerur!$C$6:$AA$100,11,FALSE),0)</f>
        <v>0</v>
      </c>
      <c r="DC15" s="997">
        <f>IFERROR(VLOOKUP($B15,PirteiKisuiBeMutzarPrmia!$C$6:$Z$100,2,FALSE),0)</f>
        <v>0</v>
      </c>
      <c r="DD15" s="997">
        <f>IFERROR(VLOOKUP($B15,PirteiKisuiBeMutzarPrmia!$C$6:$Z$100,3,FALSE),0)</f>
        <v>0</v>
      </c>
      <c r="DE15" s="997">
        <f>IFERROR(VLOOKUP($B15,PirteiKisuiBeMutzarPrmia!$C$6:$Z$100,4,FALSE),0)</f>
        <v>0</v>
      </c>
      <c r="DF15" s="997">
        <f>IFERROR(VLOOKUP($B15,PirteiKisuiBeMutzarPrmia!$C$6:$Z$100,5,FALSE),0)</f>
        <v>0</v>
      </c>
      <c r="DG15" s="997">
        <f>IFERROR(VLOOKUP($B15,PirteiKisuiBeMutzarPrmia!$C$6:$Z$100,6,FALSE),0)</f>
        <v>0</v>
      </c>
      <c r="DH15" s="997">
        <f>IFERROR(VLOOKUP($B15,PirteiKisuiBeMutzarPrmia!$C$6:$Z$100,7,FALSE),0)</f>
        <v>0</v>
      </c>
      <c r="DI15" s="997">
        <f>IFERROR(VLOOKUP($B15,PirteiKisuiBeMutzarPrmia!$C$6:$Z$100,8,FALSE),0)</f>
        <v>0</v>
      </c>
      <c r="DJ15" s="997">
        <f>IFERROR(VLOOKUP($B15,PirteiKisuiBeMutzarPrmia!$C$6:$Z$100,9,FALSE),0)</f>
        <v>0</v>
      </c>
      <c r="DK15" s="997">
        <f>IFERROR(VLOOKUP($B15,PirteiKisuiBeMutzarPrmia!$C$6:$Z$100,10,FALSE),0)</f>
        <v>0</v>
      </c>
      <c r="DL15" s="997">
        <f>IFERROR(VLOOKUP($B15,PirteiKisuiBeMutzarPrmia!$C$6:$Z$100,11,FALSE),0)</f>
        <v>0</v>
      </c>
      <c r="DM15" s="997">
        <f t="shared" si="24"/>
        <v>0</v>
      </c>
      <c r="DN15" s="997">
        <f t="shared" si="25"/>
        <v>0</v>
      </c>
      <c r="DO15" s="997">
        <f t="shared" si="26"/>
        <v>0</v>
      </c>
      <c r="DP15" s="997">
        <f t="shared" si="27"/>
        <v>0</v>
      </c>
      <c r="DQ15" s="997">
        <f t="shared" si="28"/>
        <v>0</v>
      </c>
      <c r="DR15" s="997">
        <f>IF(OR(L15=1,L15=3),IFERROR(VLOOKUP($B15,PerutHafkadotMetchilatShanaAvgM!$C$6:$G$100,3,FALSE),0),0)</f>
        <v>0</v>
      </c>
      <c r="DS15" s="997">
        <f>IF(OR(L15=2,L15=4),IFERROR(VLOOKUP($B15,PerutHafkadotMetchilatShanaAvgM!$C$6:$G$100,3,FALSE),0),0)</f>
        <v>0</v>
      </c>
      <c r="DT15" s="997">
        <f>IFERROR(VLOOKUP($B15,PerutHafkadotMetchilatShanaAvgM!$C$6:$G$100,4,FALSE),0)</f>
        <v>0</v>
      </c>
      <c r="DU15" s="997">
        <f>IFERROR(VLOOKUP($B15,Kupa!$D$6:$AA$100,5,FALSE),0)</f>
        <v>0</v>
      </c>
      <c r="DV15" s="997">
        <f>IFERROR(VLOOKUP($B15,Kupa!$D$6:$AA$100,6,FALSE),0)</f>
        <v>0</v>
      </c>
      <c r="DW15" s="997">
        <f>IFERROR(VLOOKUP($B15,KisuiBKerenPensiaDBWithParams!$D$6:$AP$100,9,FALSE),0)</f>
        <v>0</v>
      </c>
      <c r="DX15" s="997">
        <f>IFERROR(VLOOKUP($B15,KisuiBKerenPensiaDBWithParams!$D$6:$AP$100,12,FALSE),0)</f>
        <v>0</v>
      </c>
      <c r="DY15" s="997">
        <f>IFERROR(VLOOKUP($B15,KisuiBKerenPensiaDBWithParams!$D$6:$AP$100,13,FALSE),0)</f>
        <v>0</v>
      </c>
      <c r="DZ15" s="997">
        <f>IFERROR(VLOOKUP($B15,KisuiBKerenPensiaDBWithParams!$D$6:$AP$100,7,FALSE),0)</f>
        <v>0</v>
      </c>
      <c r="EA15" s="997">
        <f>IFERROR(VLOOKUP($B15,KisuiBKerenPensiaDBWithParams!$D$6:$AP$100,17,FALSE),0)</f>
        <v>67</v>
      </c>
      <c r="EB15" s="997">
        <f>IFERROR(VLOOKUP($B15,KisuiBKerenPensiaDBWithParams!$D$6:$AP$100,20,FALSE),0)</f>
        <v>0</v>
      </c>
      <c r="EC15" s="997">
        <f>IFERROR(VLOOKUP($B15,KisuiBKerenPensiaDBWithParams!$D$6:$AP$100,21,FALSE),0)</f>
        <v>0</v>
      </c>
      <c r="ED15" s="997">
        <f t="shared" si="45"/>
        <v>0</v>
      </c>
      <c r="EE15" s="997"/>
      <c r="EF15" s="1020">
        <f>IFERROR(VLOOKUP($B15,KisuiBKerenPensiaDBWithParams!$D$6:$AP$100,21,FALSE),0)</f>
        <v>0</v>
      </c>
      <c r="EG15" s="1020">
        <f>IFERROR(VLOOKUP($B15,KisuiBKerenPensiaDBWithParams!$D$6:$AP$100,21,FALSE),0)</f>
        <v>0</v>
      </c>
      <c r="EH15">
        <f>IF(OR(G15=MyData!$J$51,G15=MyData!$J$52,G15=MyData!$J$53),1,IF(G15=MyData!$J$50,2,0))</f>
        <v>1</v>
      </c>
      <c r="EI15">
        <f>IFERROR(VLOOKUP($B15,CrosstabPerutYitrotDB!$C$6:$N$50,3,FALSE),0)</f>
        <v>9420.16</v>
      </c>
      <c r="EJ15">
        <f>IFERROR(VLOOKUP($B15,CrosstabPerutYitrotDB!$C$6:$N$50,4,FALSE),0)</f>
        <v>8635.18</v>
      </c>
      <c r="EK15">
        <f>IFERROR(VLOOKUP($B15,CrosstabPerutYitrotDB!$C$6:$N$50,5,FALSE),0)</f>
        <v>9420.16</v>
      </c>
      <c r="EL15">
        <f>IFERROR(VLOOKUP($B15,CrosstabPerutYitrotDB!$C$6:$N$50,6,FALSE),0)</f>
        <v>0</v>
      </c>
      <c r="EM15">
        <f>IFERROR(VLOOKUP($B15,CrosstabPerutYitrotDB!$C$6:$N$50,7,FALSE),0)</f>
        <v>0</v>
      </c>
      <c r="EN15">
        <f>IFERROR(VLOOKUP($B15,CrosstabPerutYitrotDB!$C$6:$N$50,8,FALSE),0)</f>
        <v>0</v>
      </c>
      <c r="EO15">
        <f>IFERROR(VLOOKUP($B15,CrosstabPerutYitrotDB!$C$6:$N$50,9,FALSE),0)</f>
        <v>0</v>
      </c>
      <c r="EP15">
        <f>IFERROR(VLOOKUP($B15,CrosstabPerutYitrotDB!$C$6:$N$50,10,FALSE),0)</f>
        <v>0</v>
      </c>
      <c r="EQ15">
        <f>IFERROR(VLOOKUP($B15,CrosstabPerutYitrotDB!$C$6:$N$50,11,FALSE),0)</f>
        <v>0</v>
      </c>
    </row>
    <row r="16" spans="1:147" x14ac:dyDescent="0.2">
      <c r="A16">
        <f t="shared" si="46"/>
        <v>8</v>
      </c>
      <c r="B16" s="20" t="str">
        <f>RicusPolice!E13</f>
        <v>4355788</v>
      </c>
      <c r="C16" s="20" t="str">
        <f>RicusPolice!AL13</f>
        <v>קופת גמל</v>
      </c>
      <c r="D16" s="20" t="str">
        <f>RicusPolice!F13</f>
        <v xml:space="preserve">אלטשולר שחם  גמל ופנסיה </v>
      </c>
      <c r="E16" s="20" t="str">
        <f>RicusPolice!R13</f>
        <v>אלטשולר שחם גמל</v>
      </c>
      <c r="F16" s="20" t="str">
        <f>RicusPolice!N13</f>
        <v>מוקפא</v>
      </c>
      <c r="G16" s="20" t="str">
        <f>IFERROR(VLOOKUP($B16,PerutYitrot!$D$6:$P$100,4,FALSE),0)</f>
        <v>הון</v>
      </c>
      <c r="H16" s="20" t="str">
        <f t="shared" si="29"/>
        <v>ריסק/חיסכון</v>
      </c>
      <c r="I16" s="20">
        <f>RicusPolice!L13</f>
        <v>0</v>
      </c>
      <c r="J16" s="179" t="str">
        <f>IFERROR(VLOOKUP(TRIM(K16),MyData!$J$44:$K$50,2,FALSE),0)</f>
        <v>(מ)</v>
      </c>
      <c r="K16" s="20" t="str">
        <f>RicusPolice!M13</f>
        <v>שכיר</v>
      </c>
      <c r="L16" s="20">
        <f>RicusPolice!AM13</f>
        <v>1</v>
      </c>
      <c r="M16" s="20">
        <f>IF(B16&gt;0,RicusPolice!Y13," ")</f>
        <v>0</v>
      </c>
      <c r="N16" s="20" t="str">
        <f t="shared" si="30"/>
        <v>משתתף ברווחים</v>
      </c>
      <c r="O16" s="20" t="str">
        <f>RicusPolice!N13</f>
        <v>מוקפא</v>
      </c>
      <c r="P16" s="20" t="str">
        <f>IFERROR(VLOOKUP(B16,PerutMasluleiHashkaa!$D$6:$R$100,4,FALSE),0)</f>
        <v>בני 50 עד 60</v>
      </c>
      <c r="Q16" s="19"/>
      <c r="R16" s="1011" t="str">
        <f>IF(B16&gt;0,RicusPolice!P15," ")</f>
        <v>01/01/2007</v>
      </c>
      <c r="S16" s="20">
        <f>IFERROR(VLOOKUP($B16,'נתונים ידניים'!$B$9:$G$51,6,FALSE),0)</f>
        <v>2.5</v>
      </c>
      <c r="T16" s="21">
        <f>'נתונים ידניים'!J17</f>
        <v>0</v>
      </c>
      <c r="U16" s="21">
        <f>'נתונים ידניים'!K17</f>
        <v>0</v>
      </c>
      <c r="V16" s="20">
        <f>IFERROR(VLOOKUP($B16,PerutHafrashotLePolisa!$D$6:$N$50,2,FALSE),0)</f>
        <v>0</v>
      </c>
      <c r="W16" s="20">
        <f>IFERROR(VLOOKUP($B16,PerutHafrashotLePolisa!$D$6:$N$50,4,FALSE),0)</f>
        <v>0</v>
      </c>
      <c r="X16" s="20">
        <f>IFERROR(VLOOKUP($B16,PerutHafrashotLePolisa!$D$6:$N$50,3,FALSE),0)</f>
        <v>0</v>
      </c>
      <c r="Y16">
        <f t="shared" si="31"/>
        <v>0</v>
      </c>
      <c r="Z16">
        <f>RicusPolice!AP13</f>
        <v>0</v>
      </c>
      <c r="AA16">
        <f>IFERROR(VLOOKUP(B16,PirteiHaasaka!$D$6:$R$100,5,FALSE),0)</f>
        <v>1</v>
      </c>
      <c r="AC16">
        <f>IFERROR(VLOOKUP(B16,HafkadotMetchilatShanaAverages!$D$6:$E$100,2,FALSE),0)</f>
        <v>0</v>
      </c>
      <c r="AF16">
        <f>'נתונים ידניים'!L17</f>
        <v>0</v>
      </c>
      <c r="AG16">
        <f>IFERROR(VLOOKUP(B16,CrossTabYitraLeTkufa_till_2000!$D$6:$AB$100,6,FALSE),0)+IFERROR(VLOOKUP(B16,CrossTabYitraLeTkufa_after_2000!$D$6:$AB$100,6,FALSE),0)</f>
        <v>0</v>
      </c>
      <c r="AH16">
        <f>IFERROR(VLOOKUP(B16,CrossTabYitraLeTkufa_till_2000!$D$6:$AB$100,16,FALSE),0)</f>
        <v>0</v>
      </c>
      <c r="AI16">
        <f>IFERROR(VLOOKUP(B16,CrossTabYitraLeTkufa_after_2000!$D$6:$AB$100,16,FALSE),0)</f>
        <v>0</v>
      </c>
      <c r="AJ16">
        <f>IFERROR(VLOOKUP(B16,CrossTabYitraLeTkufa_till_2000!$D$6:$AB$100,17,FALSE),0)</f>
        <v>0</v>
      </c>
      <c r="AK16">
        <f>IFERROR(VLOOKUP(B16,CrossTabYitraLeTkufa_after_2000!$D$6:$AB$100,17,FALSE),0)</f>
        <v>0</v>
      </c>
      <c r="AL16" s="5">
        <f t="shared" si="32"/>
        <v>0</v>
      </c>
      <c r="AO16">
        <f>IFERROR(VLOOKUP(B16,PirteiKisuiBeMutzar_procerur!$C$6:$AA$100,2,FALSE),0)</f>
        <v>1</v>
      </c>
      <c r="AQ16">
        <f>IFERROR(VLOOKUP($B16,PirteiKisuiBeMutzar_procerur!$C$6:$AA$100,5,FALSE),0)</f>
        <v>0</v>
      </c>
      <c r="AR16">
        <f>IFERROR(VLOOKUP($B16,PirteiKisuiBeMutzar_procerur!$C$6:$AA$100,3,FALSE),0)</f>
        <v>0</v>
      </c>
      <c r="AS16">
        <f>IFERROR(VLOOKUP($B16,PirteiKisuiBeMutzar_procerur!$C$6:$AA$100,6,FALSE),0)</f>
        <v>0</v>
      </c>
      <c r="AT16">
        <f>IFERROR(VLOOKUP($B16,PirteiKisuiBeMutzar_procerur!$C$6:$AA$100,7,FALSE),0)</f>
        <v>0</v>
      </c>
      <c r="AX16" s="997">
        <f t="shared" si="33"/>
        <v>0</v>
      </c>
      <c r="AY16" s="997">
        <f t="shared" si="34"/>
        <v>0</v>
      </c>
      <c r="AZ16" s="997">
        <f t="shared" si="35"/>
        <v>0</v>
      </c>
      <c r="BA16" s="997">
        <f>IFERROR(FV(S16/100/12,'נתוני יסוד'!$B$16*12,AX16,AG16)*(-1),0)</f>
        <v>0</v>
      </c>
      <c r="BB16" s="997">
        <f>IFERROR(FV(S16/100/12,'נתוני יסוד'!$B$16*12,0,AH16)*(-1),0)</f>
        <v>0</v>
      </c>
      <c r="BC16" s="997">
        <f>IFERROR(FV(S16/100/12,'נתוני יסוד'!$B$16*12,AY16,AI16)*(-1),0)</f>
        <v>0</v>
      </c>
      <c r="BD16" s="997">
        <f>IFERROR(FV(S16/100/12,'נתוני יסוד'!$B$16*12,0,AJ16)*(-1),0)</f>
        <v>0</v>
      </c>
      <c r="BE16" s="997">
        <f>IFERROR(FV(S16/100/12,'נתוני יסוד'!$B$16*12,AZ16,AK16)*(-1),0)</f>
        <v>0</v>
      </c>
      <c r="BF16" s="997">
        <f t="shared" si="36"/>
        <v>0</v>
      </c>
      <c r="BG16" s="997">
        <f>IFERROR(FV(S16/100/12,'נתוני יסוד'!$B$16*12,AF16,AL16)*(-1),0)</f>
        <v>0</v>
      </c>
      <c r="BH16" s="997">
        <f t="shared" si="37"/>
        <v>0</v>
      </c>
      <c r="BI16" s="997">
        <f t="shared" si="38"/>
        <v>0</v>
      </c>
      <c r="BJ16" s="997">
        <f t="shared" si="39"/>
        <v>0</v>
      </c>
      <c r="BK16" s="997">
        <f t="shared" si="40"/>
        <v>0</v>
      </c>
      <c r="BL16" s="997">
        <f t="shared" si="1"/>
        <v>0</v>
      </c>
      <c r="BM16" s="997">
        <f t="shared" si="2"/>
        <v>0</v>
      </c>
      <c r="BN16" s="997">
        <f t="shared" si="3"/>
        <v>0</v>
      </c>
      <c r="BO16" s="997">
        <f t="shared" si="41"/>
        <v>0</v>
      </c>
      <c r="BP16" s="997">
        <f t="shared" si="4"/>
        <v>0</v>
      </c>
      <c r="BS16">
        <f t="shared" si="5"/>
        <v>0</v>
      </c>
      <c r="BT16">
        <f t="shared" si="6"/>
        <v>0</v>
      </c>
      <c r="BU16">
        <f t="shared" si="7"/>
        <v>0</v>
      </c>
      <c r="BV16">
        <f t="shared" si="42"/>
        <v>0</v>
      </c>
      <c r="BW16">
        <f t="shared" si="8"/>
        <v>0</v>
      </c>
      <c r="BY16" s="997">
        <f t="shared" si="9"/>
        <v>0</v>
      </c>
      <c r="BZ16" s="997">
        <f t="shared" si="10"/>
        <v>0</v>
      </c>
      <c r="CA16" s="997">
        <f t="shared" si="11"/>
        <v>0</v>
      </c>
      <c r="CB16" s="997">
        <f t="shared" si="43"/>
        <v>0</v>
      </c>
      <c r="CC16" s="997">
        <f t="shared" si="12"/>
        <v>0</v>
      </c>
      <c r="CD16" s="997">
        <f t="shared" si="13"/>
        <v>0</v>
      </c>
      <c r="CE16" s="997">
        <f t="shared" si="14"/>
        <v>0</v>
      </c>
      <c r="CF16" s="997">
        <f t="shared" si="15"/>
        <v>0</v>
      </c>
      <c r="CG16" s="997">
        <f t="shared" si="16"/>
        <v>0</v>
      </c>
      <c r="CH16" s="997">
        <f t="shared" si="17"/>
        <v>0</v>
      </c>
      <c r="CI16" s="997">
        <f t="shared" si="18"/>
        <v>0</v>
      </c>
      <c r="CJ16" s="997">
        <f t="shared" si="19"/>
        <v>0</v>
      </c>
      <c r="CK16" s="997"/>
      <c r="CL16" s="997"/>
      <c r="CM16" s="997">
        <f t="shared" si="20"/>
        <v>0</v>
      </c>
      <c r="CN16" s="997">
        <f t="shared" si="21"/>
        <v>0</v>
      </c>
      <c r="CO16" s="997">
        <f t="shared" si="22"/>
        <v>0</v>
      </c>
      <c r="CP16" s="997">
        <f t="shared" si="44"/>
        <v>0</v>
      </c>
      <c r="CQ16" s="997">
        <f t="shared" si="23"/>
        <v>0</v>
      </c>
      <c r="CR16" s="997">
        <f>IFERROR(VLOOKUP($B16,SchumeiBituahYesodi!$C$6:$AA$100,8,FALSE),0)</f>
        <v>0</v>
      </c>
      <c r="CS16" s="997">
        <f>IFERROR(VLOOKUP($B16,PirteiKisuiBeMutzar_procerur!$C$6:$AA$100,2,FALSE),0)</f>
        <v>1</v>
      </c>
      <c r="CT16" s="997">
        <f>IFERROR(VLOOKUP($B16,PirteiKisuiBeMutzar_procerur!$C$6:$AA$100,3,FALSE),0)</f>
        <v>0</v>
      </c>
      <c r="CU16" s="997">
        <f>IFERROR(VLOOKUP($B16,PirteiKisuiBeMutzar_procerur!$C$6:$AA$100,4,FALSE),0)</f>
        <v>0</v>
      </c>
      <c r="CV16" s="997">
        <f>IFERROR(VLOOKUP($B16,PirteiKisuiBeMutzar_procerur!$C$6:$AA$100,5,FALSE),0)</f>
        <v>0</v>
      </c>
      <c r="CW16" s="997">
        <f>IFERROR(VLOOKUP($B16,PirteiKisuiBeMutzar_procerur!$C$6:$AA$100,6,FALSE),0)</f>
        <v>0</v>
      </c>
      <c r="CX16" s="997">
        <f>IFERROR(VLOOKUP($B16,PirteiKisuiBeMutzar_procerur!$C$6:$AA$100,7,FALSE),0)</f>
        <v>0</v>
      </c>
      <c r="CY16" s="997">
        <f>IFERROR(VLOOKUP($B16,PirteiKisuiBeMutzar_procerur!$C$6:$AA$100,8,FALSE),0)</f>
        <v>0</v>
      </c>
      <c r="CZ16" s="997">
        <f>IFERROR(VLOOKUP($B16,PirteiKisuiBeMutzar_procerur!$C$6:$AA$100,9,FALSE),0)</f>
        <v>0</v>
      </c>
      <c r="DA16" s="997">
        <f>IFERROR(VLOOKUP($B16,PirteiKisuiBeMutzar_procerur!$C$6:$AA$100,10,FALSE),0)</f>
        <v>0</v>
      </c>
      <c r="DB16" s="997">
        <f>IFERROR(VLOOKUP($B16,PirteiKisuiBeMutzar_procerur!$C$6:$AA$100,11,FALSE),0)</f>
        <v>0</v>
      </c>
      <c r="DC16" s="997">
        <f>IFERROR(VLOOKUP($B16,PirteiKisuiBeMutzarPrmia!$C$6:$Z$100,2,FALSE),0)</f>
        <v>0</v>
      </c>
      <c r="DD16" s="997">
        <f>IFERROR(VLOOKUP($B16,PirteiKisuiBeMutzarPrmia!$C$6:$Z$100,3,FALSE),0)</f>
        <v>0</v>
      </c>
      <c r="DE16" s="997">
        <f>IFERROR(VLOOKUP($B16,PirteiKisuiBeMutzarPrmia!$C$6:$Z$100,4,FALSE),0)</f>
        <v>0</v>
      </c>
      <c r="DF16" s="997">
        <f>IFERROR(VLOOKUP($B16,PirteiKisuiBeMutzarPrmia!$C$6:$Z$100,5,FALSE),0)</f>
        <v>0</v>
      </c>
      <c r="DG16" s="997">
        <f>IFERROR(VLOOKUP($B16,PirteiKisuiBeMutzarPrmia!$C$6:$Z$100,6,FALSE),0)</f>
        <v>0</v>
      </c>
      <c r="DH16" s="997">
        <f>IFERROR(VLOOKUP($B16,PirteiKisuiBeMutzarPrmia!$C$6:$Z$100,7,FALSE),0)</f>
        <v>0</v>
      </c>
      <c r="DI16" s="997">
        <f>IFERROR(VLOOKUP($B16,PirteiKisuiBeMutzarPrmia!$C$6:$Z$100,8,FALSE),0)</f>
        <v>0</v>
      </c>
      <c r="DJ16" s="997">
        <f>IFERROR(VLOOKUP($B16,PirteiKisuiBeMutzarPrmia!$C$6:$Z$100,9,FALSE),0)</f>
        <v>0</v>
      </c>
      <c r="DK16" s="997">
        <f>IFERROR(VLOOKUP($B16,PirteiKisuiBeMutzarPrmia!$C$6:$Z$100,10,FALSE),0)</f>
        <v>0</v>
      </c>
      <c r="DL16" s="997">
        <f>IFERROR(VLOOKUP($B16,PirteiKisuiBeMutzarPrmia!$C$6:$Z$100,11,FALSE),0)</f>
        <v>0</v>
      </c>
      <c r="DM16" s="997">
        <f t="shared" si="24"/>
        <v>0</v>
      </c>
      <c r="DN16" s="997">
        <f t="shared" si="25"/>
        <v>0</v>
      </c>
      <c r="DO16" s="997">
        <f t="shared" si="26"/>
        <v>0</v>
      </c>
      <c r="DP16" s="997">
        <f t="shared" si="27"/>
        <v>0</v>
      </c>
      <c r="DQ16" s="997">
        <f t="shared" si="28"/>
        <v>0</v>
      </c>
      <c r="DR16" s="997">
        <f>IF(OR(L16=1,L16=3),IFERROR(VLOOKUP($B16,PerutHafkadotMetchilatShanaAvgM!$C$6:$G$100,3,FALSE),0),0)</f>
        <v>0</v>
      </c>
      <c r="DS16" s="997">
        <f>IF(OR(L16=2,L16=4),IFERROR(VLOOKUP($B16,PerutHafkadotMetchilatShanaAvgM!$C$6:$G$100,3,FALSE),0),0)</f>
        <v>0</v>
      </c>
      <c r="DT16" s="997">
        <f>IFERROR(VLOOKUP($B16,PerutHafkadotMetchilatShanaAvgM!$C$6:$G$100,4,FALSE),0)</f>
        <v>0</v>
      </c>
      <c r="DU16" s="997">
        <f>IFERROR(VLOOKUP($B16,Kupa!$D$6:$AA$100,5,FALSE),0)</f>
        <v>0</v>
      </c>
      <c r="DV16" s="997">
        <f>IFERROR(VLOOKUP($B16,Kupa!$D$6:$AA$100,6,FALSE),0)</f>
        <v>0</v>
      </c>
      <c r="DW16" s="997">
        <f>IFERROR(VLOOKUP($B16,KisuiBKerenPensiaDBWithParams!$D$6:$AP$100,9,FALSE),0)</f>
        <v>0</v>
      </c>
      <c r="DX16" s="997">
        <f>IFERROR(VLOOKUP($B16,KisuiBKerenPensiaDBWithParams!$D$6:$AP$100,12,FALSE),0)</f>
        <v>0</v>
      </c>
      <c r="DY16" s="997">
        <f>IFERROR(VLOOKUP($B16,KisuiBKerenPensiaDBWithParams!$D$6:$AP$100,13,FALSE),0)</f>
        <v>0</v>
      </c>
      <c r="DZ16" s="997">
        <f>IFERROR(VLOOKUP($B16,KisuiBKerenPensiaDBWithParams!$D$6:$AP$100,7,FALSE),0)</f>
        <v>0</v>
      </c>
      <c r="EA16" s="997">
        <f>IFERROR(VLOOKUP($B16,KisuiBKerenPensiaDBWithParams!$D$6:$AP$100,17,FALSE),0)</f>
        <v>0</v>
      </c>
      <c r="EB16" s="997">
        <f>IFERROR(VLOOKUP($B16,KisuiBKerenPensiaDBWithParams!$D$6:$AP$100,20,FALSE),0)</f>
        <v>0</v>
      </c>
      <c r="EC16" s="997">
        <f>IFERROR(VLOOKUP($B16,KisuiBKerenPensiaDBWithParams!$D$6:$AP$100,21,FALSE),0)</f>
        <v>0</v>
      </c>
      <c r="ED16" s="997">
        <f t="shared" si="45"/>
        <v>0</v>
      </c>
      <c r="EE16" s="997"/>
      <c r="EF16" s="1020">
        <f>IFERROR(VLOOKUP($B16,KisuiBKerenPensiaDBWithParams!$D$6:$AP$100,21,FALSE),0)</f>
        <v>0</v>
      </c>
      <c r="EG16" s="1020">
        <f>IFERROR(VLOOKUP($B16,KisuiBKerenPensiaDBWithParams!$D$6:$AP$100,21,FALSE),0)</f>
        <v>0</v>
      </c>
      <c r="EH16">
        <f>IF(OR(G16=MyData!$J$51,G16=MyData!$J$52,G16=MyData!$J$53),1,IF(G16=MyData!$J$50,2,0))</f>
        <v>2</v>
      </c>
      <c r="EI16">
        <f>IFERROR(VLOOKUP($B16,CrosstabPerutYitrotDB!$C$6:$N$50,3,FALSE),0)</f>
        <v>0</v>
      </c>
      <c r="EJ16">
        <f>IFERROR(VLOOKUP($B16,CrosstabPerutYitrotDB!$C$6:$N$50,4,FALSE),0)</f>
        <v>0</v>
      </c>
      <c r="EK16">
        <f>IFERROR(VLOOKUP($B16,CrosstabPerutYitrotDB!$C$6:$N$50,5,FALSE),0)</f>
        <v>0</v>
      </c>
      <c r="EL16">
        <f>IFERROR(VLOOKUP($B16,CrosstabPerutYitrotDB!$C$6:$N$50,6,FALSE),0)</f>
        <v>0</v>
      </c>
      <c r="EM16">
        <f>IFERROR(VLOOKUP($B16,CrosstabPerutYitrotDB!$C$6:$N$50,7,FALSE),0)</f>
        <v>0</v>
      </c>
      <c r="EN16">
        <f>IFERROR(VLOOKUP($B16,CrosstabPerutYitrotDB!$C$6:$N$50,8,FALSE),0)</f>
        <v>0</v>
      </c>
      <c r="EO16">
        <f>IFERROR(VLOOKUP($B16,CrosstabPerutYitrotDB!$C$6:$N$50,9,FALSE),0)</f>
        <v>0</v>
      </c>
      <c r="EP16">
        <f>IFERROR(VLOOKUP($B16,CrosstabPerutYitrotDB!$C$6:$N$50,10,FALSE),0)</f>
        <v>0</v>
      </c>
      <c r="EQ16">
        <f>IFERROR(VLOOKUP($B16,CrosstabPerutYitrotDB!$C$6:$N$50,11,FALSE),0)</f>
        <v>0</v>
      </c>
    </row>
    <row r="17" spans="1:147" x14ac:dyDescent="0.2">
      <c r="A17">
        <f t="shared" si="46"/>
        <v>9</v>
      </c>
      <c r="B17" s="20" t="str">
        <f>RicusPolice!E14</f>
        <v>69002</v>
      </c>
      <c r="C17" s="20" t="str">
        <f>RicusPolice!AL14</f>
        <v>קרן פנסיה</v>
      </c>
      <c r="D17" s="20" t="str">
        <f>RicusPolice!F14</f>
        <v>פסגות קופות גמל ופנסיה בע"מ</v>
      </c>
      <c r="E17" s="20" t="str">
        <f>RicusPolice!R14</f>
        <v>תשורה מקיפה</v>
      </c>
      <c r="F17" s="20" t="str">
        <f>RicusPolice!N14</f>
        <v>מוקפא</v>
      </c>
      <c r="G17" s="20" t="str">
        <f>IFERROR(VLOOKUP($B17,PerutYitrot!$D$6:$P$100,4,FALSE),0)</f>
        <v>קצבה משלמת</v>
      </c>
      <c r="H17" s="20" t="str">
        <f t="shared" si="29"/>
        <v>קצבה משלמת</v>
      </c>
      <c r="I17" s="20">
        <f>RicusPolice!L14</f>
        <v>0</v>
      </c>
      <c r="J17" s="179" t="str">
        <f>IFERROR(VLOOKUP(TRIM(K17),MyData!$J$44:$K$50,2,FALSE),0)</f>
        <v>(מ)</v>
      </c>
      <c r="K17" s="20" t="str">
        <f>RicusPolice!M14</f>
        <v>שכיר</v>
      </c>
      <c r="L17" s="20">
        <f>RicusPolice!AM14</f>
        <v>1</v>
      </c>
      <c r="M17" s="20">
        <f>IF(B17&gt;0,RicusPolice!Y14," ")</f>
        <v>2</v>
      </c>
      <c r="N17" s="20" t="str">
        <f t="shared" si="30"/>
        <v>משתתף ברווחים</v>
      </c>
      <c r="O17" s="20" t="str">
        <f>RicusPolice!N14</f>
        <v>מוקפא</v>
      </c>
      <c r="P17" s="20">
        <f>IFERROR(VLOOKUP(B17,PerutMasluleiHashkaa!$D$6:$R$100,4,FALSE),0)</f>
        <v>0</v>
      </c>
      <c r="Q17" s="19"/>
      <c r="R17" s="1011" t="str">
        <f>IF(B17&gt;0,RicusPolice!P16," ")</f>
        <v>01/02/2015</v>
      </c>
      <c r="S17" s="20">
        <f>IFERROR(VLOOKUP($B17,'נתונים ידניים'!$B$9:$G$51,6,FALSE),0)</f>
        <v>0</v>
      </c>
      <c r="T17" s="21">
        <f>'נתונים ידניים'!J18</f>
        <v>0</v>
      </c>
      <c r="U17" s="21">
        <f>'נתונים ידניים'!K18</f>
        <v>0</v>
      </c>
      <c r="V17" s="20">
        <f>IFERROR(VLOOKUP($B17,PerutHafrashotLePolisa!$D$6:$N$50,2,FALSE),0)</f>
        <v>6</v>
      </c>
      <c r="W17" s="20">
        <f>IFERROR(VLOOKUP($B17,PerutHafrashotLePolisa!$D$6:$N$50,4,FALSE),0)</f>
        <v>5.5</v>
      </c>
      <c r="X17" s="20">
        <f>IFERROR(VLOOKUP($B17,PerutHafrashotLePolisa!$D$6:$N$50,3,FALSE),0)</f>
        <v>6</v>
      </c>
      <c r="Y17">
        <f t="shared" si="31"/>
        <v>17.5</v>
      </c>
      <c r="Z17">
        <f>RicusPolice!AP14</f>
        <v>0</v>
      </c>
      <c r="AA17">
        <f>IFERROR(VLOOKUP(B17,PirteiHaasaka!$D$6:$R$100,5,FALSE),0)</f>
        <v>0</v>
      </c>
      <c r="AC17">
        <f>IFERROR(VLOOKUP(B17,HafkadotMetchilatShanaAverages!$D$6:$E$100,2,FALSE),0)</f>
        <v>0</v>
      </c>
      <c r="AF17">
        <f>'נתונים ידניים'!L18</f>
        <v>0</v>
      </c>
      <c r="AG17">
        <f>IFERROR(VLOOKUP(B17,CrossTabYitraLeTkufa_till_2000!$D$6:$AB$100,6,FALSE),0)+IFERROR(VLOOKUP(B17,CrossTabYitraLeTkufa_after_2000!$D$6:$AB$100,6,FALSE),0)</f>
        <v>0</v>
      </c>
      <c r="AH17">
        <f>IFERROR(VLOOKUP(B17,CrossTabYitraLeTkufa_till_2000!$D$6:$AB$100,16,FALSE),0)</f>
        <v>0</v>
      </c>
      <c r="AI17">
        <f>IFERROR(VLOOKUP(B17,CrossTabYitraLeTkufa_after_2000!$D$6:$AB$100,16,FALSE),0)</f>
        <v>0</v>
      </c>
      <c r="AJ17">
        <f>IFERROR(VLOOKUP(B17,CrossTabYitraLeTkufa_till_2000!$D$6:$AB$100,17,FALSE),0)</f>
        <v>0</v>
      </c>
      <c r="AK17">
        <f>IFERROR(VLOOKUP(B17,CrossTabYitraLeTkufa_after_2000!$D$6:$AB$100,17,FALSE),0)</f>
        <v>0</v>
      </c>
      <c r="AL17" s="5">
        <f t="shared" si="32"/>
        <v>0</v>
      </c>
      <c r="AO17">
        <f>IFERROR(VLOOKUP(B17,PirteiKisuiBeMutzar_procerur!$C$6:$AA$100,2,FALSE),0)</f>
        <v>0</v>
      </c>
      <c r="AQ17">
        <f>IFERROR(VLOOKUP($B17,PirteiKisuiBeMutzar_procerur!$C$6:$AA$100,5,FALSE),0)</f>
        <v>0</v>
      </c>
      <c r="AR17">
        <f>IFERROR(VLOOKUP($B17,PirteiKisuiBeMutzar_procerur!$C$6:$AA$100,3,FALSE),0)</f>
        <v>0</v>
      </c>
      <c r="AS17">
        <f>IFERROR(VLOOKUP($B17,PirteiKisuiBeMutzar_procerur!$C$6:$AA$100,6,FALSE),0)</f>
        <v>0</v>
      </c>
      <c r="AT17">
        <f>IFERROR(VLOOKUP($B17,PirteiKisuiBeMutzar_procerur!$C$6:$AA$100,7,FALSE),0)</f>
        <v>0</v>
      </c>
      <c r="AX17" s="997">
        <f t="shared" si="33"/>
        <v>0</v>
      </c>
      <c r="AY17" s="997">
        <f t="shared" si="34"/>
        <v>0</v>
      </c>
      <c r="AZ17" s="997">
        <f t="shared" si="35"/>
        <v>0</v>
      </c>
      <c r="BA17" s="997">
        <f>IFERROR(FV(S17/100/12,'נתוני יסוד'!$B$16*12,AX17,AG17)*(-1),0)</f>
        <v>0</v>
      </c>
      <c r="BB17" s="997">
        <f>IFERROR(FV(S17/100/12,'נתוני יסוד'!$B$16*12,0,AH17)*(-1),0)</f>
        <v>0</v>
      </c>
      <c r="BC17" s="997">
        <f>IFERROR(FV(S17/100/12,'נתוני יסוד'!$B$16*12,AY17,AI17)*(-1),0)</f>
        <v>0</v>
      </c>
      <c r="BD17" s="997">
        <f>IFERROR(FV(S17/100/12,'נתוני יסוד'!$B$16*12,0,AJ17)*(-1),0)</f>
        <v>0</v>
      </c>
      <c r="BE17" s="997">
        <f>IFERROR(FV(S17/100/12,'נתוני יסוד'!$B$16*12,AZ17,AK17)*(-1),0)</f>
        <v>0</v>
      </c>
      <c r="BF17" s="997">
        <f t="shared" si="36"/>
        <v>0</v>
      </c>
      <c r="BG17" s="997">
        <f>IFERROR(FV(S17/100/12,'נתוני יסוד'!$B$16*12,AF17,AL17)*(-1),0)</f>
        <v>0</v>
      </c>
      <c r="BH17" s="997">
        <f t="shared" si="37"/>
        <v>0</v>
      </c>
      <c r="BI17" s="997">
        <f t="shared" si="38"/>
        <v>0</v>
      </c>
      <c r="BJ17" s="997">
        <f t="shared" si="39"/>
        <v>0</v>
      </c>
      <c r="BK17" s="997">
        <f t="shared" si="40"/>
        <v>0</v>
      </c>
      <c r="BL17" s="997">
        <f t="shared" si="1"/>
        <v>0</v>
      </c>
      <c r="BM17" s="997">
        <f t="shared" si="2"/>
        <v>0</v>
      </c>
      <c r="BN17" s="997">
        <f t="shared" si="3"/>
        <v>0</v>
      </c>
      <c r="BO17" s="997">
        <f t="shared" si="41"/>
        <v>0</v>
      </c>
      <c r="BP17" s="997">
        <f t="shared" si="4"/>
        <v>0</v>
      </c>
      <c r="BS17">
        <f t="shared" si="5"/>
        <v>0</v>
      </c>
      <c r="BT17">
        <f t="shared" si="6"/>
        <v>0</v>
      </c>
      <c r="BU17">
        <f t="shared" si="7"/>
        <v>0</v>
      </c>
      <c r="BV17">
        <f t="shared" si="42"/>
        <v>0</v>
      </c>
      <c r="BW17">
        <f t="shared" si="8"/>
        <v>0</v>
      </c>
      <c r="BY17" s="997">
        <f t="shared" si="9"/>
        <v>0</v>
      </c>
      <c r="BZ17" s="997">
        <f t="shared" si="10"/>
        <v>0</v>
      </c>
      <c r="CA17" s="997">
        <f t="shared" si="11"/>
        <v>0</v>
      </c>
      <c r="CB17" s="997">
        <f t="shared" si="43"/>
        <v>0</v>
      </c>
      <c r="CC17" s="997">
        <f t="shared" si="12"/>
        <v>0</v>
      </c>
      <c r="CD17" s="997">
        <f t="shared" si="13"/>
        <v>0</v>
      </c>
      <c r="CE17" s="997">
        <f t="shared" si="14"/>
        <v>0</v>
      </c>
      <c r="CF17" s="997">
        <f t="shared" si="15"/>
        <v>0</v>
      </c>
      <c r="CG17" s="997">
        <f t="shared" si="16"/>
        <v>0</v>
      </c>
      <c r="CH17" s="997">
        <f t="shared" si="17"/>
        <v>0</v>
      </c>
      <c r="CI17" s="997">
        <f t="shared" si="18"/>
        <v>0</v>
      </c>
      <c r="CJ17" s="997">
        <f t="shared" si="19"/>
        <v>0</v>
      </c>
      <c r="CK17" s="997"/>
      <c r="CL17" s="997"/>
      <c r="CM17" s="997">
        <f t="shared" si="20"/>
        <v>0</v>
      </c>
      <c r="CN17" s="997">
        <f t="shared" si="21"/>
        <v>0</v>
      </c>
      <c r="CO17" s="997">
        <f t="shared" si="22"/>
        <v>0</v>
      </c>
      <c r="CP17" s="997">
        <f t="shared" si="44"/>
        <v>0</v>
      </c>
      <c r="CQ17" s="997">
        <f t="shared" si="23"/>
        <v>0</v>
      </c>
      <c r="CR17" s="997">
        <f>IFERROR(VLOOKUP($B17,SchumeiBituahYesodi!$C$6:$AA$100,8,FALSE),0)</f>
        <v>0</v>
      </c>
      <c r="CS17" s="997">
        <f>IFERROR(VLOOKUP($B17,PirteiKisuiBeMutzar_procerur!$C$6:$AA$100,2,FALSE),0)</f>
        <v>0</v>
      </c>
      <c r="CT17" s="997">
        <f>IFERROR(VLOOKUP($B17,PirteiKisuiBeMutzar_procerur!$C$6:$AA$100,3,FALSE),0)</f>
        <v>0</v>
      </c>
      <c r="CU17" s="997">
        <f>IFERROR(VLOOKUP($B17,PirteiKisuiBeMutzar_procerur!$C$6:$AA$100,4,FALSE),0)</f>
        <v>0</v>
      </c>
      <c r="CV17" s="997">
        <f>IFERROR(VLOOKUP($B17,PirteiKisuiBeMutzar_procerur!$C$6:$AA$100,5,FALSE),0)</f>
        <v>0</v>
      </c>
      <c r="CW17" s="997">
        <f>IFERROR(VLOOKUP($B17,PirteiKisuiBeMutzar_procerur!$C$6:$AA$100,6,FALSE),0)</f>
        <v>0</v>
      </c>
      <c r="CX17" s="997">
        <f>IFERROR(VLOOKUP($B17,PirteiKisuiBeMutzar_procerur!$C$6:$AA$100,7,FALSE),0)</f>
        <v>0</v>
      </c>
      <c r="CY17" s="997">
        <f>IFERROR(VLOOKUP($B17,PirteiKisuiBeMutzar_procerur!$C$6:$AA$100,8,FALSE),0)</f>
        <v>0</v>
      </c>
      <c r="CZ17" s="997">
        <f>IFERROR(VLOOKUP($B17,PirteiKisuiBeMutzar_procerur!$C$6:$AA$100,9,FALSE),0)</f>
        <v>0</v>
      </c>
      <c r="DA17" s="997">
        <f>IFERROR(VLOOKUP($B17,PirteiKisuiBeMutzar_procerur!$C$6:$AA$100,10,FALSE),0)</f>
        <v>0</v>
      </c>
      <c r="DB17" s="997">
        <f>IFERROR(VLOOKUP($B17,PirteiKisuiBeMutzar_procerur!$C$6:$AA$100,11,FALSE),0)</f>
        <v>0</v>
      </c>
      <c r="DC17" s="997">
        <f>IFERROR(VLOOKUP($B17,PirteiKisuiBeMutzarPrmia!$C$6:$Z$100,2,FALSE),0)</f>
        <v>0</v>
      </c>
      <c r="DD17" s="997">
        <f>IFERROR(VLOOKUP($B17,PirteiKisuiBeMutzarPrmia!$C$6:$Z$100,3,FALSE),0)</f>
        <v>0</v>
      </c>
      <c r="DE17" s="997">
        <f>IFERROR(VLOOKUP($B17,PirteiKisuiBeMutzarPrmia!$C$6:$Z$100,4,FALSE),0)</f>
        <v>0</v>
      </c>
      <c r="DF17" s="997">
        <f>IFERROR(VLOOKUP($B17,PirteiKisuiBeMutzarPrmia!$C$6:$Z$100,5,FALSE),0)</f>
        <v>0</v>
      </c>
      <c r="DG17" s="997">
        <f>IFERROR(VLOOKUP($B17,PirteiKisuiBeMutzarPrmia!$C$6:$Z$100,6,FALSE),0)</f>
        <v>0</v>
      </c>
      <c r="DH17" s="997">
        <f>IFERROR(VLOOKUP($B17,PirteiKisuiBeMutzarPrmia!$C$6:$Z$100,7,FALSE),0)</f>
        <v>0</v>
      </c>
      <c r="DI17" s="997">
        <f>IFERROR(VLOOKUP($B17,PirteiKisuiBeMutzarPrmia!$C$6:$Z$100,8,FALSE),0)</f>
        <v>0</v>
      </c>
      <c r="DJ17" s="997">
        <f>IFERROR(VLOOKUP($B17,PirteiKisuiBeMutzarPrmia!$C$6:$Z$100,9,FALSE),0)</f>
        <v>0</v>
      </c>
      <c r="DK17" s="997">
        <f>IFERROR(VLOOKUP($B17,PirteiKisuiBeMutzarPrmia!$C$6:$Z$100,10,FALSE),0)</f>
        <v>0</v>
      </c>
      <c r="DL17" s="997">
        <f>IFERROR(VLOOKUP($B17,PirteiKisuiBeMutzarPrmia!$C$6:$Z$100,11,FALSE),0)</f>
        <v>0</v>
      </c>
      <c r="DM17" s="997">
        <f t="shared" si="24"/>
        <v>0</v>
      </c>
      <c r="DN17" s="997">
        <f t="shared" si="25"/>
        <v>0</v>
      </c>
      <c r="DO17" s="997">
        <f t="shared" si="26"/>
        <v>0</v>
      </c>
      <c r="DP17" s="997">
        <f t="shared" si="27"/>
        <v>0</v>
      </c>
      <c r="DQ17" s="997">
        <f t="shared" si="28"/>
        <v>0</v>
      </c>
      <c r="DR17" s="997">
        <f>IF(OR(L17=1,L17=3),IFERROR(VLOOKUP($B17,PerutHafkadotMetchilatShanaAvgM!$C$6:$G$100,3,FALSE),0),0)</f>
        <v>0</v>
      </c>
      <c r="DS17" s="997">
        <f>IF(OR(L17=2,L17=4),IFERROR(VLOOKUP($B17,PerutHafkadotMetchilatShanaAvgM!$C$6:$G$100,3,FALSE),0),0)</f>
        <v>0</v>
      </c>
      <c r="DT17" s="997">
        <f>IFERROR(VLOOKUP($B17,PerutHafkadotMetchilatShanaAvgM!$C$6:$G$100,4,FALSE),0)</f>
        <v>0</v>
      </c>
      <c r="DU17" s="997">
        <f>IFERROR(VLOOKUP($B17,Kupa!$D$6:$AA$100,5,FALSE),0)</f>
        <v>0</v>
      </c>
      <c r="DV17" s="997">
        <f>IFERROR(VLOOKUP($B17,Kupa!$D$6:$AA$100,6,FALSE),0)</f>
        <v>0</v>
      </c>
      <c r="DW17" s="997">
        <f>IFERROR(VLOOKUP($B17,KisuiBKerenPensiaDBWithParams!$D$6:$AP$100,9,FALSE),0)</f>
        <v>0</v>
      </c>
      <c r="DX17" s="997">
        <f>IFERROR(VLOOKUP($B17,KisuiBKerenPensiaDBWithParams!$D$6:$AP$100,12,FALSE),0)</f>
        <v>0</v>
      </c>
      <c r="DY17" s="997">
        <f>IFERROR(VLOOKUP($B17,KisuiBKerenPensiaDBWithParams!$D$6:$AP$100,13,FALSE),0)</f>
        <v>0</v>
      </c>
      <c r="DZ17" s="997">
        <f>IFERROR(VLOOKUP($B17,KisuiBKerenPensiaDBWithParams!$D$6:$AP$100,7,FALSE),0)</f>
        <v>0</v>
      </c>
      <c r="EA17" s="997">
        <f>IFERROR(VLOOKUP($B17,KisuiBKerenPensiaDBWithParams!$D$6:$AP$100,17,FALSE),0)</f>
        <v>67</v>
      </c>
      <c r="EB17" s="997">
        <f>IFERROR(VLOOKUP($B17,KisuiBKerenPensiaDBWithParams!$D$6:$AP$100,20,FALSE),0)</f>
        <v>246.05</v>
      </c>
      <c r="EC17" s="997">
        <f>IFERROR(VLOOKUP($B17,KisuiBKerenPensiaDBWithParams!$D$6:$AP$100,21,FALSE),0)</f>
        <v>0</v>
      </c>
      <c r="ED17" s="997">
        <f t="shared" si="45"/>
        <v>0</v>
      </c>
      <c r="EE17" s="997"/>
      <c r="EF17" s="1020">
        <f>IFERROR(VLOOKUP($B17,KisuiBKerenPensiaDBWithParams!$D$6:$AP$100,21,FALSE),0)</f>
        <v>0</v>
      </c>
      <c r="EG17" s="1020">
        <f>IFERROR(VLOOKUP($B17,KisuiBKerenPensiaDBWithParams!$D$6:$AP$100,21,FALSE),0)</f>
        <v>0</v>
      </c>
      <c r="EH17">
        <f>IF(OR(G17=MyData!$J$51,G17=MyData!$J$52,G17=MyData!$J$53),1,IF(G17=MyData!$J$50,2,0))</f>
        <v>1</v>
      </c>
      <c r="EI17">
        <f>IFERROR(VLOOKUP($B17,CrosstabPerutYitrotDB!$C$6:$N$50,3,FALSE),0)</f>
        <v>20182.080000000002</v>
      </c>
      <c r="EJ17">
        <f>IFERROR(VLOOKUP($B17,CrosstabPerutYitrotDB!$C$6:$N$50,4,FALSE),0)</f>
        <v>0</v>
      </c>
      <c r="EK17">
        <f>IFERROR(VLOOKUP($B17,CrosstabPerutYitrotDB!$C$6:$N$50,5,FALSE),0)</f>
        <v>0</v>
      </c>
      <c r="EL17">
        <f>IFERROR(VLOOKUP($B17,CrosstabPerutYitrotDB!$C$6:$N$50,6,FALSE),0)</f>
        <v>0</v>
      </c>
      <c r="EM17">
        <f>IFERROR(VLOOKUP($B17,CrosstabPerutYitrotDB!$C$6:$N$50,7,FALSE),0)</f>
        <v>0</v>
      </c>
      <c r="EN17">
        <f>IFERROR(VLOOKUP($B17,CrosstabPerutYitrotDB!$C$6:$N$50,8,FALSE),0)</f>
        <v>0</v>
      </c>
      <c r="EO17">
        <f>IFERROR(VLOOKUP($B17,CrosstabPerutYitrotDB!$C$6:$N$50,9,FALSE),0)</f>
        <v>0</v>
      </c>
      <c r="EP17">
        <f>IFERROR(VLOOKUP($B17,CrosstabPerutYitrotDB!$C$6:$N$50,10,FALSE),0)</f>
        <v>0</v>
      </c>
      <c r="EQ17">
        <f>IFERROR(VLOOKUP($B17,CrosstabPerutYitrotDB!$C$6:$N$50,11,FALSE),0)</f>
        <v>0</v>
      </c>
    </row>
    <row r="18" spans="1:147" x14ac:dyDescent="0.2">
      <c r="A18">
        <f t="shared" si="46"/>
        <v>10</v>
      </c>
      <c r="B18" s="20" t="str">
        <f>RicusPolice!E15</f>
        <v>911245475</v>
      </c>
      <c r="C18" s="20" t="str">
        <f>RicusPolice!AL15</f>
        <v>פוליסת ביטוח חיים משולב חיסכון</v>
      </c>
      <c r="D18" s="20" t="str">
        <f>RicusPolice!F15</f>
        <v>הראל חברה לביטוח בע"מ</v>
      </c>
      <c r="E18" s="20" t="str">
        <f>RicusPolice!R15</f>
        <v xml:space="preserve">הראל מגוון עסקי למנהלים                           </v>
      </c>
      <c r="F18" s="20" t="str">
        <f>RicusPolice!N15</f>
        <v>פעיל</v>
      </c>
      <c r="G18" s="20" t="str">
        <f>IFERROR(VLOOKUP($B18,PerutYitrot!$D$6:$P$100,4,FALSE),0)</f>
        <v>הון</v>
      </c>
      <c r="H18" s="20" t="str">
        <f t="shared" si="29"/>
        <v>ריסק/חיסכון</v>
      </c>
      <c r="I18" s="20" t="str">
        <f>RicusPolice!L15</f>
        <v>פוליסות משנת  2004 ואילך</v>
      </c>
      <c r="J18" s="179" t="str">
        <f>IFERROR(VLOOKUP(TRIM(K18),MyData!$J$44:$K$50,2,FALSE),0)</f>
        <v>(מ)</v>
      </c>
      <c r="K18" s="20" t="str">
        <f>RicusPolice!M15</f>
        <v>שכיר</v>
      </c>
      <c r="L18" s="20">
        <f>RicusPolice!AM15</f>
        <v>1</v>
      </c>
      <c r="M18" s="20">
        <f>IF(B18&gt;0,RicusPolice!Y15," ")</f>
        <v>2</v>
      </c>
      <c r="N18" s="20" t="str">
        <f t="shared" si="30"/>
        <v>משתתף ברווחים</v>
      </c>
      <c r="O18" s="20" t="str">
        <f>RicusPolice!N15</f>
        <v>פעיל</v>
      </c>
      <c r="P18" s="20" t="str">
        <f>IFERROR(VLOOKUP(B18,PerutMasluleiHashkaa!$D$6:$R$100,4,FALSE),0)</f>
        <v>מסלול כללי</v>
      </c>
      <c r="Q18" s="19"/>
      <c r="R18" s="1011" t="str">
        <f>IF(B18&gt;0,RicusPolice!P17," ")</f>
        <v>01/02/1999</v>
      </c>
      <c r="S18" s="20">
        <f>IFERROR(VLOOKUP($B18,'נתונים ידניים'!$B$9:$G$51,6,FALSE),0)</f>
        <v>2.5</v>
      </c>
      <c r="T18" s="21">
        <f>'נתונים ידניים'!J19</f>
        <v>0</v>
      </c>
      <c r="U18" s="21">
        <f>'נתונים ידניים'!K19</f>
        <v>0</v>
      </c>
      <c r="V18" s="20">
        <f>IFERROR(VLOOKUP($B18,PerutHafrashotLePolisa!$D$6:$N$50,2,FALSE),0)</f>
        <v>0</v>
      </c>
      <c r="W18" s="20">
        <f>IFERROR(VLOOKUP($B18,PerutHafrashotLePolisa!$D$6:$N$50,4,FALSE),0)</f>
        <v>7.5</v>
      </c>
      <c r="X18" s="20">
        <f>IFERROR(VLOOKUP($B18,PerutHafrashotLePolisa!$D$6:$N$50,3,FALSE),0)</f>
        <v>7</v>
      </c>
      <c r="Y18">
        <f t="shared" si="31"/>
        <v>14.5</v>
      </c>
      <c r="Z18">
        <f>RicusPolice!AP15</f>
        <v>180.72</v>
      </c>
      <c r="AA18">
        <f>IFERROR(VLOOKUP(B18,PirteiHaasaka!$D$6:$R$100,5,FALSE),0)</f>
        <v>1142</v>
      </c>
      <c r="AC18">
        <f>IFERROR(VLOOKUP(B18,HafkadotMetchilatShanaAverages!$D$6:$E$100,2,FALSE),0)</f>
        <v>0</v>
      </c>
      <c r="AF18">
        <f>'נתונים ידניים'!L19</f>
        <v>0</v>
      </c>
      <c r="AG18">
        <f>IFERROR(VLOOKUP(B18,CrossTabYitraLeTkufa_till_2000!$D$6:$AB$100,6,FALSE),0)+IFERROR(VLOOKUP(B18,CrossTabYitraLeTkufa_after_2000!$D$6:$AB$100,6,FALSE),0)</f>
        <v>0</v>
      </c>
      <c r="AH18">
        <f>IFERROR(VLOOKUP(B18,CrossTabYitraLeTkufa_till_2000!$D$6:$AB$100,16,FALSE),0)</f>
        <v>0</v>
      </c>
      <c r="AI18">
        <f>IFERROR(VLOOKUP(B18,CrossTabYitraLeTkufa_after_2000!$D$6:$AB$100,16,FALSE),0)</f>
        <v>0</v>
      </c>
      <c r="AJ18">
        <f>IFERROR(VLOOKUP(B18,CrossTabYitraLeTkufa_till_2000!$D$6:$AB$100,17,FALSE),0)</f>
        <v>0</v>
      </c>
      <c r="AK18">
        <f>IFERROR(VLOOKUP(B18,CrossTabYitraLeTkufa_after_2000!$D$6:$AB$100,17,FALSE),0)</f>
        <v>0</v>
      </c>
      <c r="AL18" s="5">
        <f t="shared" si="32"/>
        <v>0</v>
      </c>
      <c r="AO18">
        <f>IFERROR(VLOOKUP(B18,PirteiKisuiBeMutzar_procerur!$C$6:$AA$100,2,FALSE),0)</f>
        <v>0</v>
      </c>
      <c r="AQ18">
        <f>IFERROR(VLOOKUP($B18,PirteiKisuiBeMutzar_procerur!$C$6:$AA$100,5,FALSE),0)</f>
        <v>0</v>
      </c>
      <c r="AR18">
        <f>IFERROR(VLOOKUP($B18,PirteiKisuiBeMutzar_procerur!$C$6:$AA$100,3,FALSE),0)</f>
        <v>0</v>
      </c>
      <c r="AS18">
        <f>IFERROR(VLOOKUP($B18,PirteiKisuiBeMutzar_procerur!$C$6:$AA$100,6,FALSE),0)</f>
        <v>0</v>
      </c>
      <c r="AT18">
        <f>IFERROR(VLOOKUP($B18,PirteiKisuiBeMutzar_procerur!$C$6:$AA$100,7,FALSE),0)</f>
        <v>0</v>
      </c>
      <c r="AX18" s="997">
        <f t="shared" si="33"/>
        <v>0</v>
      </c>
      <c r="AY18" s="997">
        <f t="shared" si="34"/>
        <v>0</v>
      </c>
      <c r="AZ18" s="997">
        <f t="shared" si="35"/>
        <v>0</v>
      </c>
      <c r="BA18" s="997">
        <f>IFERROR(FV(S18/100/12,'נתוני יסוד'!$B$16*12,AX18,AG18)*(-1),0)</f>
        <v>0</v>
      </c>
      <c r="BB18" s="997">
        <f>IFERROR(FV(S18/100/12,'נתוני יסוד'!$B$16*12,0,AH18)*(-1),0)</f>
        <v>0</v>
      </c>
      <c r="BC18" s="997">
        <f>IFERROR(FV(S18/100/12,'נתוני יסוד'!$B$16*12,AY18,AI18)*(-1),0)</f>
        <v>0</v>
      </c>
      <c r="BD18" s="997">
        <f>IFERROR(FV(S18/100/12,'נתוני יסוד'!$B$16*12,0,AJ18)*(-1),0)</f>
        <v>0</v>
      </c>
      <c r="BE18" s="997">
        <f>IFERROR(FV(S18/100/12,'נתוני יסוד'!$B$16*12,AZ18,AK18)*(-1),0)</f>
        <v>0</v>
      </c>
      <c r="BF18" s="997">
        <f t="shared" si="36"/>
        <v>0</v>
      </c>
      <c r="BG18" s="997">
        <f>IFERROR(FV(S18/100/12,'נתוני יסוד'!$B$16*12,AF18,AL18)*(-1),0)</f>
        <v>0</v>
      </c>
      <c r="BH18" s="997">
        <f t="shared" si="37"/>
        <v>0</v>
      </c>
      <c r="BI18" s="997">
        <f t="shared" si="38"/>
        <v>0</v>
      </c>
      <c r="BJ18" s="997">
        <f t="shared" si="39"/>
        <v>0</v>
      </c>
      <c r="BK18" s="997">
        <f t="shared" si="40"/>
        <v>0</v>
      </c>
      <c r="BL18" s="997">
        <f t="shared" si="1"/>
        <v>0</v>
      </c>
      <c r="BM18" s="997">
        <f t="shared" si="2"/>
        <v>0</v>
      </c>
      <c r="BN18" s="997">
        <f t="shared" si="3"/>
        <v>0</v>
      </c>
      <c r="BO18" s="997">
        <f t="shared" si="41"/>
        <v>0</v>
      </c>
      <c r="BP18" s="997">
        <f t="shared" si="4"/>
        <v>0</v>
      </c>
      <c r="BS18">
        <f t="shared" si="5"/>
        <v>0</v>
      </c>
      <c r="BT18">
        <f t="shared" si="6"/>
        <v>0</v>
      </c>
      <c r="BU18">
        <f t="shared" si="7"/>
        <v>0</v>
      </c>
      <c r="BV18">
        <f t="shared" si="42"/>
        <v>0</v>
      </c>
      <c r="BW18">
        <f t="shared" si="8"/>
        <v>0</v>
      </c>
      <c r="BY18" s="997">
        <f t="shared" si="9"/>
        <v>0</v>
      </c>
      <c r="BZ18" s="997">
        <f t="shared" si="10"/>
        <v>0</v>
      </c>
      <c r="CA18" s="997">
        <f t="shared" si="11"/>
        <v>0</v>
      </c>
      <c r="CB18" s="997">
        <f t="shared" si="43"/>
        <v>0</v>
      </c>
      <c r="CC18" s="997">
        <f t="shared" si="12"/>
        <v>0</v>
      </c>
      <c r="CD18" s="997">
        <f t="shared" si="13"/>
        <v>0</v>
      </c>
      <c r="CE18" s="997">
        <f t="shared" si="14"/>
        <v>0</v>
      </c>
      <c r="CF18" s="997">
        <f t="shared" si="15"/>
        <v>0</v>
      </c>
      <c r="CG18" s="997">
        <f t="shared" si="16"/>
        <v>0</v>
      </c>
      <c r="CH18" s="997">
        <f t="shared" si="17"/>
        <v>0</v>
      </c>
      <c r="CI18" s="997">
        <f t="shared" si="18"/>
        <v>0</v>
      </c>
      <c r="CJ18" s="997">
        <f t="shared" si="19"/>
        <v>0</v>
      </c>
      <c r="CK18" s="997"/>
      <c r="CL18" s="997"/>
      <c r="CM18" s="997">
        <f t="shared" si="20"/>
        <v>0</v>
      </c>
      <c r="CN18" s="997">
        <f t="shared" si="21"/>
        <v>0</v>
      </c>
      <c r="CO18" s="997">
        <f t="shared" si="22"/>
        <v>0</v>
      </c>
      <c r="CP18" s="997">
        <f t="shared" si="44"/>
        <v>0</v>
      </c>
      <c r="CQ18" s="997">
        <f t="shared" si="23"/>
        <v>0</v>
      </c>
      <c r="CR18" s="997">
        <f>IFERROR(VLOOKUP($B18,SchumeiBituahYesodi!$C$6:$AA$100,8,FALSE),0)</f>
        <v>0</v>
      </c>
      <c r="CS18" s="997">
        <f>IFERROR(VLOOKUP($B18,PirteiKisuiBeMutzar_procerur!$C$6:$AA$100,2,FALSE),0)</f>
        <v>0</v>
      </c>
      <c r="CT18" s="997">
        <f>IFERROR(VLOOKUP($B18,PirteiKisuiBeMutzar_procerur!$C$6:$AA$100,3,FALSE),0)</f>
        <v>0</v>
      </c>
      <c r="CU18" s="997">
        <f>IFERROR(VLOOKUP($B18,PirteiKisuiBeMutzar_procerur!$C$6:$AA$100,4,FALSE),0)</f>
        <v>0</v>
      </c>
      <c r="CV18" s="997">
        <f>IFERROR(VLOOKUP($B18,PirteiKisuiBeMutzar_procerur!$C$6:$AA$100,5,FALSE),0)</f>
        <v>0</v>
      </c>
      <c r="CW18" s="997">
        <f>IFERROR(VLOOKUP($B18,PirteiKisuiBeMutzar_procerur!$C$6:$AA$100,6,FALSE),0)</f>
        <v>0</v>
      </c>
      <c r="CX18" s="997">
        <f>IFERROR(VLOOKUP($B18,PirteiKisuiBeMutzar_procerur!$C$6:$AA$100,7,FALSE),0)</f>
        <v>0</v>
      </c>
      <c r="CY18" s="997">
        <f>IFERROR(VLOOKUP($B18,PirteiKisuiBeMutzar_procerur!$C$6:$AA$100,8,FALSE),0)</f>
        <v>0</v>
      </c>
      <c r="CZ18" s="997">
        <f>IFERROR(VLOOKUP($B18,PirteiKisuiBeMutzar_procerur!$C$6:$AA$100,9,FALSE),0)</f>
        <v>0</v>
      </c>
      <c r="DA18" s="997">
        <f>IFERROR(VLOOKUP($B18,PirteiKisuiBeMutzar_procerur!$C$6:$AA$100,10,FALSE),0)</f>
        <v>0</v>
      </c>
      <c r="DB18" s="997">
        <f>IFERROR(VLOOKUP($B18,PirteiKisuiBeMutzar_procerur!$C$6:$AA$100,11,FALSE),0)</f>
        <v>0</v>
      </c>
      <c r="DC18" s="997">
        <f>IFERROR(VLOOKUP($B18,PirteiKisuiBeMutzarPrmia!$C$6:$Z$100,2,FALSE),0)</f>
        <v>0</v>
      </c>
      <c r="DD18" s="997">
        <f>IFERROR(VLOOKUP($B18,PirteiKisuiBeMutzarPrmia!$C$6:$Z$100,3,FALSE),0)</f>
        <v>0</v>
      </c>
      <c r="DE18" s="997">
        <f>IFERROR(VLOOKUP($B18,PirteiKisuiBeMutzarPrmia!$C$6:$Z$100,4,FALSE),0)</f>
        <v>0</v>
      </c>
      <c r="DF18" s="997">
        <f>IFERROR(VLOOKUP($B18,PirteiKisuiBeMutzarPrmia!$C$6:$Z$100,5,FALSE),0)</f>
        <v>0</v>
      </c>
      <c r="DG18" s="997">
        <f>IFERROR(VLOOKUP($B18,PirteiKisuiBeMutzarPrmia!$C$6:$Z$100,6,FALSE),0)</f>
        <v>0</v>
      </c>
      <c r="DH18" s="997">
        <f>IFERROR(VLOOKUP($B18,PirteiKisuiBeMutzarPrmia!$C$6:$Z$100,7,FALSE),0)</f>
        <v>0</v>
      </c>
      <c r="DI18" s="997">
        <f>IFERROR(VLOOKUP($B18,PirteiKisuiBeMutzarPrmia!$C$6:$Z$100,8,FALSE),0)</f>
        <v>0</v>
      </c>
      <c r="DJ18" s="997">
        <f>IFERROR(VLOOKUP($B18,PirteiKisuiBeMutzarPrmia!$C$6:$Z$100,9,FALSE),0)</f>
        <v>0</v>
      </c>
      <c r="DK18" s="997">
        <f>IFERROR(VLOOKUP($B18,PirteiKisuiBeMutzarPrmia!$C$6:$Z$100,10,FALSE),0)</f>
        <v>0</v>
      </c>
      <c r="DL18" s="997">
        <f>IFERROR(VLOOKUP($B18,PirteiKisuiBeMutzarPrmia!$C$6:$Z$100,11,FALSE),0)</f>
        <v>0</v>
      </c>
      <c r="DM18" s="997">
        <f t="shared" si="24"/>
        <v>0</v>
      </c>
      <c r="DN18" s="997">
        <f t="shared" si="25"/>
        <v>0</v>
      </c>
      <c r="DO18" s="997">
        <f t="shared" si="26"/>
        <v>0</v>
      </c>
      <c r="DP18" s="997">
        <f t="shared" si="27"/>
        <v>0</v>
      </c>
      <c r="DQ18" s="997">
        <f t="shared" si="28"/>
        <v>0</v>
      </c>
      <c r="DR18" s="997">
        <f>IF(OR(L18=1,L18=3),IFERROR(VLOOKUP($B18,PerutHafkadotMetchilatShanaAvgM!$C$6:$G$100,3,FALSE),0),0)</f>
        <v>177.40600000000001</v>
      </c>
      <c r="DS18" s="997">
        <f>IF(OR(L18=2,L18=4),IFERROR(VLOOKUP($B18,PerutHafkadotMetchilatShanaAvgM!$C$6:$G$100,3,FALSE),0),0)</f>
        <v>0</v>
      </c>
      <c r="DT18" s="997">
        <f>IFERROR(VLOOKUP($B18,PerutHafkadotMetchilatShanaAvgM!$C$6:$G$100,4,FALSE),0)</f>
        <v>414.87</v>
      </c>
      <c r="DU18" s="997">
        <f>IFERROR(VLOOKUP($B18,Kupa!$D$6:$AA$100,5,FALSE),0)</f>
        <v>0</v>
      </c>
      <c r="DV18" s="997">
        <f>IFERROR(VLOOKUP($B18,Kupa!$D$6:$AA$100,6,FALSE),0)</f>
        <v>0</v>
      </c>
      <c r="DW18" s="997">
        <f>IFERROR(VLOOKUP($B18,KisuiBKerenPensiaDBWithParams!$D$6:$AP$100,9,FALSE),0)</f>
        <v>0</v>
      </c>
      <c r="DX18" s="997">
        <f>IFERROR(VLOOKUP($B18,KisuiBKerenPensiaDBWithParams!$D$6:$AP$100,12,FALSE),0)</f>
        <v>0</v>
      </c>
      <c r="DY18" s="997">
        <f>IFERROR(VLOOKUP($B18,KisuiBKerenPensiaDBWithParams!$D$6:$AP$100,13,FALSE),0)</f>
        <v>0</v>
      </c>
      <c r="DZ18" s="997">
        <f>IFERROR(VLOOKUP($B18,KisuiBKerenPensiaDBWithParams!$D$6:$AP$100,7,FALSE),0)</f>
        <v>0</v>
      </c>
      <c r="EA18" s="997">
        <f>IFERROR(VLOOKUP($B18,KisuiBKerenPensiaDBWithParams!$D$6:$AP$100,17,FALSE),0)</f>
        <v>0</v>
      </c>
      <c r="EB18" s="997">
        <f>IFERROR(VLOOKUP($B18,KisuiBKerenPensiaDBWithParams!$D$6:$AP$100,20,FALSE),0)</f>
        <v>0</v>
      </c>
      <c r="EC18" s="997">
        <f>IFERROR(VLOOKUP($B18,KisuiBKerenPensiaDBWithParams!$D$6:$AP$100,21,FALSE),0)</f>
        <v>0</v>
      </c>
      <c r="ED18" s="997">
        <f t="shared" si="45"/>
        <v>0</v>
      </c>
      <c r="EE18" s="997"/>
      <c r="EF18" s="1020">
        <f>IFERROR(VLOOKUP($B18,KisuiBKerenPensiaDBWithParams!$D$6:$AP$100,21,FALSE),0)</f>
        <v>0</v>
      </c>
      <c r="EG18" s="1020">
        <f>IFERROR(VLOOKUP($B18,KisuiBKerenPensiaDBWithParams!$D$6:$AP$100,21,FALSE),0)</f>
        <v>0</v>
      </c>
      <c r="EH18">
        <f>IF(OR(G18=MyData!$J$51,G18=MyData!$J$52,G18=MyData!$J$53),1,IF(G18=MyData!$J$50,2,0))</f>
        <v>2</v>
      </c>
      <c r="EI18">
        <f>IFERROR(VLOOKUP($B18,CrosstabPerutYitrotDB!$C$6:$N$50,3,FALSE),0)</f>
        <v>0</v>
      </c>
      <c r="EJ18">
        <f>IFERROR(VLOOKUP($B18,CrosstabPerutYitrotDB!$C$6:$N$50,4,FALSE),0)</f>
        <v>14603.43</v>
      </c>
      <c r="EK18">
        <f>IFERROR(VLOOKUP($B18,CrosstabPerutYitrotDB!$C$6:$N$50,5,FALSE),0)</f>
        <v>15646.51</v>
      </c>
      <c r="EL18">
        <f>IFERROR(VLOOKUP($B18,CrosstabPerutYitrotDB!$C$6:$N$50,6,FALSE),0)</f>
        <v>0</v>
      </c>
      <c r="EM18">
        <f>IFERROR(VLOOKUP($B18,CrosstabPerutYitrotDB!$C$6:$N$50,7,FALSE),0)</f>
        <v>0</v>
      </c>
      <c r="EN18">
        <f>IFERROR(VLOOKUP($B18,CrosstabPerutYitrotDB!$C$6:$N$50,8,FALSE),0)</f>
        <v>0</v>
      </c>
      <c r="EO18">
        <f>IFERROR(VLOOKUP($B18,CrosstabPerutYitrotDB!$C$6:$N$50,9,FALSE),0)</f>
        <v>0</v>
      </c>
      <c r="EP18">
        <f>IFERROR(VLOOKUP($B18,CrosstabPerutYitrotDB!$C$6:$N$50,10,FALSE),0)</f>
        <v>0</v>
      </c>
      <c r="EQ18">
        <f>IFERROR(VLOOKUP($B18,CrosstabPerutYitrotDB!$C$6:$N$50,11,FALSE),0)</f>
        <v>0</v>
      </c>
    </row>
    <row r="19" spans="1:147" x14ac:dyDescent="0.2">
      <c r="A19">
        <f t="shared" si="46"/>
        <v>11</v>
      </c>
      <c r="B19" s="20" t="str">
        <f>RicusPolice!E16</f>
        <v>922972106</v>
      </c>
      <c r="C19" s="20" t="str">
        <f>RicusPolice!AL16</f>
        <v>פוליסת ביטוח חיים משולב חיסכון</v>
      </c>
      <c r="D19" s="20" t="str">
        <f>RicusPolice!F16</f>
        <v>הראל חברה לביטוח בע"מ</v>
      </c>
      <c r="E19" s="20" t="str">
        <f>RicusPolice!R16</f>
        <v xml:space="preserve">מגוון לשכירים קצבה לא משלמת                       </v>
      </c>
      <c r="F19" s="20" t="str">
        <f>RicusPolice!N16</f>
        <v>פעיל</v>
      </c>
      <c r="G19" s="20" t="str">
        <f>IFERROR(VLOOKUP($B19,PerutYitrot!$D$6:$P$100,4,FALSE),0)</f>
        <v>הון</v>
      </c>
      <c r="H19" s="20" t="str">
        <f t="shared" si="29"/>
        <v>ריסק/חיסכון</v>
      </c>
      <c r="I19" s="20" t="str">
        <f>RicusPolice!L16</f>
        <v>פוליסות משנת  2004 ואילך</v>
      </c>
      <c r="J19" s="179" t="str">
        <f>IFERROR(VLOOKUP(TRIM(K19),MyData!$J$44:$K$50,2,FALSE),0)</f>
        <v>(ת)</v>
      </c>
      <c r="K19" s="20" t="str">
        <f>RicusPolice!M16</f>
        <v>עצמאי</v>
      </c>
      <c r="L19" s="20">
        <f>RicusPolice!AM16</f>
        <v>2</v>
      </c>
      <c r="M19" s="20">
        <f>IF(B19&gt;0,RicusPolice!Y16," ")</f>
        <v>2</v>
      </c>
      <c r="N19" s="20" t="str">
        <f t="shared" si="30"/>
        <v>משתתף ברווחים</v>
      </c>
      <c r="O19" s="20" t="str">
        <f>RicusPolice!N16</f>
        <v>פעיל</v>
      </c>
      <c r="P19" s="20" t="str">
        <f>IFERROR(VLOOKUP(B19,PerutMasluleiHashkaa!$D$6:$R$100,4,FALSE),0)</f>
        <v>מסלול כללי</v>
      </c>
      <c r="Q19" s="19"/>
      <c r="R19" s="1011" t="str">
        <f>IF(B19&gt;0,RicusPolice!P18," ")</f>
        <v>01/02/2000</v>
      </c>
      <c r="S19" s="20">
        <f>IFERROR(VLOOKUP($B19,'נתונים ידניים'!$B$9:$G$51,6,FALSE),0)</f>
        <v>2.5</v>
      </c>
      <c r="T19" s="21">
        <f>'נתונים ידניים'!J20</f>
        <v>0</v>
      </c>
      <c r="U19" s="21">
        <f>'נתונים ידניים'!K20</f>
        <v>0</v>
      </c>
      <c r="V19" s="20">
        <f>IFERROR(VLOOKUP($B19,PerutHafrashotLePolisa!$D$6:$N$50,2,FALSE),0)</f>
        <v>0</v>
      </c>
      <c r="W19" s="20">
        <f>IFERROR(VLOOKUP($B19,PerutHafrashotLePolisa!$D$6:$N$50,4,FALSE),0)</f>
        <v>0</v>
      </c>
      <c r="X19" s="20">
        <f>IFERROR(VLOOKUP($B19,PerutHafrashotLePolisa!$D$6:$N$50,3,FALSE),0)</f>
        <v>0</v>
      </c>
      <c r="Y19">
        <f t="shared" si="31"/>
        <v>0</v>
      </c>
      <c r="Z19">
        <f>RicusPolice!AP16</f>
        <v>0</v>
      </c>
      <c r="AA19">
        <f>IFERROR(VLOOKUP(B19,PirteiHaasaka!$D$6:$R$100,5,FALSE),0)</f>
        <v>0</v>
      </c>
      <c r="AC19">
        <f>IFERROR(VLOOKUP(B19,HafkadotMetchilatShanaAverages!$D$6:$E$100,2,FALSE),0)</f>
        <v>0</v>
      </c>
      <c r="AF19">
        <f>'נתונים ידניים'!L20</f>
        <v>0</v>
      </c>
      <c r="AG19">
        <f>IFERROR(VLOOKUP(B19,CrossTabYitraLeTkufa_till_2000!$D$6:$AB$100,6,FALSE),0)+IFERROR(VLOOKUP(B19,CrossTabYitraLeTkufa_after_2000!$D$6:$AB$100,6,FALSE),0)</f>
        <v>0</v>
      </c>
      <c r="AH19">
        <f>IFERROR(VLOOKUP(B19,CrossTabYitraLeTkufa_till_2000!$D$6:$AB$100,16,FALSE),0)</f>
        <v>0</v>
      </c>
      <c r="AI19">
        <f>IFERROR(VLOOKUP(B19,CrossTabYitraLeTkufa_after_2000!$D$6:$AB$100,16,FALSE),0)</f>
        <v>0</v>
      </c>
      <c r="AJ19">
        <f>IFERROR(VLOOKUP(B19,CrossTabYitraLeTkufa_till_2000!$D$6:$AB$100,17,FALSE),0)</f>
        <v>0</v>
      </c>
      <c r="AK19">
        <f>IFERROR(VLOOKUP(B19,CrossTabYitraLeTkufa_after_2000!$D$6:$AB$100,17,FALSE),0)</f>
        <v>0</v>
      </c>
      <c r="AL19" s="5">
        <f t="shared" si="32"/>
        <v>0</v>
      </c>
      <c r="AO19">
        <f>IFERROR(VLOOKUP(B19,PirteiKisuiBeMutzar_procerur!$C$6:$AA$100,2,FALSE),0)</f>
        <v>0</v>
      </c>
      <c r="AQ19">
        <f>IFERROR(VLOOKUP($B19,PirteiKisuiBeMutzar_procerur!$C$6:$AA$100,5,FALSE),0)</f>
        <v>0</v>
      </c>
      <c r="AR19">
        <f>IFERROR(VLOOKUP($B19,PirteiKisuiBeMutzar_procerur!$C$6:$AA$100,3,FALSE),0)</f>
        <v>0</v>
      </c>
      <c r="AS19">
        <f>IFERROR(VLOOKUP($B19,PirteiKisuiBeMutzar_procerur!$C$6:$AA$100,6,FALSE),0)</f>
        <v>0</v>
      </c>
      <c r="AT19">
        <f>IFERROR(VLOOKUP($B19,PirteiKisuiBeMutzar_procerur!$C$6:$AA$100,7,FALSE),0)</f>
        <v>0</v>
      </c>
      <c r="AX19" s="997">
        <f t="shared" si="33"/>
        <v>0</v>
      </c>
      <c r="AY19" s="997">
        <f t="shared" si="34"/>
        <v>0</v>
      </c>
      <c r="AZ19" s="997">
        <f t="shared" si="35"/>
        <v>0</v>
      </c>
      <c r="BA19" s="997">
        <f>IFERROR(FV(S19/100/12,'נתוני יסוד'!$B$16*12,AX19,AG19)*(-1),0)</f>
        <v>0</v>
      </c>
      <c r="BB19" s="997">
        <f>IFERROR(FV(S19/100/12,'נתוני יסוד'!$B$16*12,0,AH19)*(-1),0)</f>
        <v>0</v>
      </c>
      <c r="BC19" s="997">
        <f>IFERROR(FV(S19/100/12,'נתוני יסוד'!$B$16*12,AY19,AI19)*(-1),0)</f>
        <v>0</v>
      </c>
      <c r="BD19" s="997">
        <f>IFERROR(FV(S19/100/12,'נתוני יסוד'!$B$16*12,0,AJ19)*(-1),0)</f>
        <v>0</v>
      </c>
      <c r="BE19" s="997">
        <f>IFERROR(FV(S19/100/12,'נתוני יסוד'!$B$16*12,AZ19,AK19)*(-1),0)</f>
        <v>0</v>
      </c>
      <c r="BF19" s="997">
        <f t="shared" si="36"/>
        <v>0</v>
      </c>
      <c r="BG19" s="997">
        <f>IFERROR(FV(S19/100/12,'נתוני יסוד'!$B$16*12,AF19,AL19)*(-1),0)</f>
        <v>0</v>
      </c>
      <c r="BH19" s="997">
        <f t="shared" si="37"/>
        <v>0</v>
      </c>
      <c r="BI19" s="997">
        <f t="shared" si="38"/>
        <v>0</v>
      </c>
      <c r="BJ19" s="997">
        <f t="shared" si="39"/>
        <v>0</v>
      </c>
      <c r="BK19" s="997">
        <f t="shared" si="40"/>
        <v>0</v>
      </c>
      <c r="BL19" s="997">
        <f t="shared" si="1"/>
        <v>0</v>
      </c>
      <c r="BM19" s="997">
        <f t="shared" si="2"/>
        <v>0</v>
      </c>
      <c r="BN19" s="997">
        <f t="shared" si="3"/>
        <v>0</v>
      </c>
      <c r="BO19" s="997">
        <f t="shared" si="41"/>
        <v>0</v>
      </c>
      <c r="BP19" s="997">
        <f t="shared" si="4"/>
        <v>0</v>
      </c>
      <c r="BS19">
        <f t="shared" si="5"/>
        <v>0</v>
      </c>
      <c r="BT19">
        <f t="shared" si="6"/>
        <v>0</v>
      </c>
      <c r="BU19">
        <f t="shared" si="7"/>
        <v>0</v>
      </c>
      <c r="BV19">
        <f t="shared" si="42"/>
        <v>0</v>
      </c>
      <c r="BW19">
        <f t="shared" si="8"/>
        <v>0</v>
      </c>
      <c r="BY19" s="997">
        <f t="shared" si="9"/>
        <v>0</v>
      </c>
      <c r="BZ19" s="997">
        <f t="shared" si="10"/>
        <v>0</v>
      </c>
      <c r="CA19" s="997">
        <f t="shared" si="11"/>
        <v>0</v>
      </c>
      <c r="CB19" s="997">
        <f t="shared" si="43"/>
        <v>0</v>
      </c>
      <c r="CC19" s="997">
        <f t="shared" si="12"/>
        <v>0</v>
      </c>
      <c r="CD19" s="997">
        <f t="shared" si="13"/>
        <v>0</v>
      </c>
      <c r="CE19" s="997">
        <f t="shared" si="14"/>
        <v>0</v>
      </c>
      <c r="CF19" s="997">
        <f t="shared" si="15"/>
        <v>0</v>
      </c>
      <c r="CG19" s="997">
        <f t="shared" si="16"/>
        <v>0</v>
      </c>
      <c r="CH19" s="997">
        <f t="shared" si="17"/>
        <v>0</v>
      </c>
      <c r="CI19" s="997">
        <f t="shared" si="18"/>
        <v>0</v>
      </c>
      <c r="CJ19" s="997">
        <f t="shared" si="19"/>
        <v>0</v>
      </c>
      <c r="CK19" s="997"/>
      <c r="CL19" s="997"/>
      <c r="CM19" s="997">
        <f t="shared" si="20"/>
        <v>0</v>
      </c>
      <c r="CN19" s="997">
        <f t="shared" si="21"/>
        <v>0</v>
      </c>
      <c r="CO19" s="997">
        <f t="shared" si="22"/>
        <v>0</v>
      </c>
      <c r="CP19" s="997">
        <f t="shared" si="44"/>
        <v>0</v>
      </c>
      <c r="CQ19" s="997">
        <f t="shared" si="23"/>
        <v>0</v>
      </c>
      <c r="CR19" s="997">
        <f>IFERROR(VLOOKUP($B19,SchumeiBituahYesodi!$C$6:$AA$100,8,FALSE),0)</f>
        <v>0</v>
      </c>
      <c r="CS19" s="997">
        <f>IFERROR(VLOOKUP($B19,PirteiKisuiBeMutzar_procerur!$C$6:$AA$100,2,FALSE),0)</f>
        <v>0</v>
      </c>
      <c r="CT19" s="997">
        <f>IFERROR(VLOOKUP($B19,PirteiKisuiBeMutzar_procerur!$C$6:$AA$100,3,FALSE),0)</f>
        <v>0</v>
      </c>
      <c r="CU19" s="997">
        <f>IFERROR(VLOOKUP($B19,PirteiKisuiBeMutzar_procerur!$C$6:$AA$100,4,FALSE),0)</f>
        <v>0</v>
      </c>
      <c r="CV19" s="997">
        <f>IFERROR(VLOOKUP($B19,PirteiKisuiBeMutzar_procerur!$C$6:$AA$100,5,FALSE),0)</f>
        <v>0</v>
      </c>
      <c r="CW19" s="997">
        <f>IFERROR(VLOOKUP($B19,PirteiKisuiBeMutzar_procerur!$C$6:$AA$100,6,FALSE),0)</f>
        <v>0</v>
      </c>
      <c r="CX19" s="997">
        <f>IFERROR(VLOOKUP($B19,PirteiKisuiBeMutzar_procerur!$C$6:$AA$100,7,FALSE),0)</f>
        <v>0</v>
      </c>
      <c r="CY19" s="997">
        <f>IFERROR(VLOOKUP($B19,PirteiKisuiBeMutzar_procerur!$C$6:$AA$100,8,FALSE),0)</f>
        <v>0</v>
      </c>
      <c r="CZ19" s="997">
        <f>IFERROR(VLOOKUP($B19,PirteiKisuiBeMutzar_procerur!$C$6:$AA$100,9,FALSE),0)</f>
        <v>0</v>
      </c>
      <c r="DA19" s="997">
        <f>IFERROR(VLOOKUP($B19,PirteiKisuiBeMutzar_procerur!$C$6:$AA$100,10,FALSE),0)</f>
        <v>0</v>
      </c>
      <c r="DB19" s="997">
        <f>IFERROR(VLOOKUP($B19,PirteiKisuiBeMutzar_procerur!$C$6:$AA$100,11,FALSE),0)</f>
        <v>0</v>
      </c>
      <c r="DC19" s="997">
        <f>IFERROR(VLOOKUP($B19,PirteiKisuiBeMutzarPrmia!$C$6:$Z$100,2,FALSE),0)</f>
        <v>0</v>
      </c>
      <c r="DD19" s="997">
        <f>IFERROR(VLOOKUP($B19,PirteiKisuiBeMutzarPrmia!$C$6:$Z$100,3,FALSE),0)</f>
        <v>0</v>
      </c>
      <c r="DE19" s="997">
        <f>IFERROR(VLOOKUP($B19,PirteiKisuiBeMutzarPrmia!$C$6:$Z$100,4,FALSE),0)</f>
        <v>0</v>
      </c>
      <c r="DF19" s="997">
        <f>IFERROR(VLOOKUP($B19,PirteiKisuiBeMutzarPrmia!$C$6:$Z$100,5,FALSE),0)</f>
        <v>0</v>
      </c>
      <c r="DG19" s="997">
        <f>IFERROR(VLOOKUP($B19,PirteiKisuiBeMutzarPrmia!$C$6:$Z$100,6,FALSE),0)</f>
        <v>0</v>
      </c>
      <c r="DH19" s="997">
        <f>IFERROR(VLOOKUP($B19,PirteiKisuiBeMutzarPrmia!$C$6:$Z$100,7,FALSE),0)</f>
        <v>0</v>
      </c>
      <c r="DI19" s="997">
        <f>IFERROR(VLOOKUP($B19,PirteiKisuiBeMutzarPrmia!$C$6:$Z$100,8,FALSE),0)</f>
        <v>0</v>
      </c>
      <c r="DJ19" s="997">
        <f>IFERROR(VLOOKUP($B19,PirteiKisuiBeMutzarPrmia!$C$6:$Z$100,9,FALSE),0)</f>
        <v>0</v>
      </c>
      <c r="DK19" s="997">
        <f>IFERROR(VLOOKUP($B19,PirteiKisuiBeMutzarPrmia!$C$6:$Z$100,10,FALSE),0)</f>
        <v>0</v>
      </c>
      <c r="DL19" s="997">
        <f>IFERROR(VLOOKUP($B19,PirteiKisuiBeMutzarPrmia!$C$6:$Z$100,11,FALSE),0)</f>
        <v>0</v>
      </c>
      <c r="DM19" s="997">
        <f t="shared" si="24"/>
        <v>0</v>
      </c>
      <c r="DN19" s="997">
        <f t="shared" si="25"/>
        <v>0</v>
      </c>
      <c r="DO19" s="997">
        <f t="shared" si="26"/>
        <v>0</v>
      </c>
      <c r="DP19" s="997">
        <f t="shared" si="27"/>
        <v>0</v>
      </c>
      <c r="DQ19" s="997">
        <f t="shared" si="28"/>
        <v>0</v>
      </c>
      <c r="DR19" s="997">
        <f>IF(OR(L19=1,L19=3),IFERROR(VLOOKUP($B19,PerutHafkadotMetchilatShanaAvgM!$C$6:$G$100,3,FALSE),0),0)</f>
        <v>0</v>
      </c>
      <c r="DS19" s="997">
        <f>IF(OR(L19=2,L19=4),IFERROR(VLOOKUP($B19,PerutHafkadotMetchilatShanaAvgM!$C$6:$G$100,3,FALSE),0),0)</f>
        <v>0</v>
      </c>
      <c r="DT19" s="997">
        <f>IFERROR(VLOOKUP($B19,PerutHafkadotMetchilatShanaAvgM!$C$6:$G$100,4,FALSE),0)</f>
        <v>0</v>
      </c>
      <c r="DU19" s="997">
        <f>IFERROR(VLOOKUP($B19,Kupa!$D$6:$AA$100,5,FALSE),0)</f>
        <v>0</v>
      </c>
      <c r="DV19" s="997">
        <f>IFERROR(VLOOKUP($B19,Kupa!$D$6:$AA$100,6,FALSE),0)</f>
        <v>0</v>
      </c>
      <c r="DW19" s="997">
        <f>IFERROR(VLOOKUP($B19,KisuiBKerenPensiaDBWithParams!$D$6:$AP$100,9,FALSE),0)</f>
        <v>0</v>
      </c>
      <c r="DX19" s="997">
        <f>IFERROR(VLOOKUP($B19,KisuiBKerenPensiaDBWithParams!$D$6:$AP$100,12,FALSE),0)</f>
        <v>0</v>
      </c>
      <c r="DY19" s="997">
        <f>IFERROR(VLOOKUP($B19,KisuiBKerenPensiaDBWithParams!$D$6:$AP$100,13,FALSE),0)</f>
        <v>0</v>
      </c>
      <c r="DZ19" s="997">
        <f>IFERROR(VLOOKUP($B19,KisuiBKerenPensiaDBWithParams!$D$6:$AP$100,7,FALSE),0)</f>
        <v>0</v>
      </c>
      <c r="EA19" s="997">
        <f>IFERROR(VLOOKUP($B19,KisuiBKerenPensiaDBWithParams!$D$6:$AP$100,17,FALSE),0)</f>
        <v>0</v>
      </c>
      <c r="EB19" s="997">
        <f>IFERROR(VLOOKUP($B19,KisuiBKerenPensiaDBWithParams!$D$6:$AP$100,20,FALSE),0)</f>
        <v>0</v>
      </c>
      <c r="EC19" s="997">
        <f>IFERROR(VLOOKUP($B19,KisuiBKerenPensiaDBWithParams!$D$6:$AP$100,21,FALSE),0)</f>
        <v>0</v>
      </c>
      <c r="ED19" s="997">
        <f t="shared" si="45"/>
        <v>0</v>
      </c>
      <c r="EE19" s="997"/>
      <c r="EF19" s="1020">
        <f>IFERROR(VLOOKUP($B19,KisuiBKerenPensiaDBWithParams!$D$6:$AP$100,21,FALSE),0)</f>
        <v>0</v>
      </c>
      <c r="EG19" s="1020">
        <f>IFERROR(VLOOKUP($B19,KisuiBKerenPensiaDBWithParams!$D$6:$AP$100,21,FALSE),0)</f>
        <v>0</v>
      </c>
      <c r="EH19">
        <f>IF(OR(G19=MyData!$J$51,G19=MyData!$J$52,G19=MyData!$J$53),1,IF(G19=MyData!$J$50,2,0))</f>
        <v>2</v>
      </c>
      <c r="EI19">
        <f>IFERROR(VLOOKUP($B19,CrosstabPerutYitrotDB!$C$6:$N$50,3,FALSE),0)</f>
        <v>0</v>
      </c>
      <c r="EJ19">
        <f>IFERROR(VLOOKUP($B19,CrosstabPerutYitrotDB!$C$6:$N$50,4,FALSE),0)</f>
        <v>0</v>
      </c>
      <c r="EK19">
        <f>IFERROR(VLOOKUP($B19,CrosstabPerutYitrotDB!$C$6:$N$50,5,FALSE),0)</f>
        <v>0</v>
      </c>
      <c r="EL19">
        <f>IFERROR(VLOOKUP($B19,CrosstabPerutYitrotDB!$C$6:$N$50,6,FALSE),0)</f>
        <v>156292.04</v>
      </c>
      <c r="EM19">
        <f>IFERROR(VLOOKUP($B19,CrosstabPerutYitrotDB!$C$6:$N$50,7,FALSE),0)</f>
        <v>0</v>
      </c>
      <c r="EN19">
        <f>IFERROR(VLOOKUP($B19,CrosstabPerutYitrotDB!$C$6:$N$50,8,FALSE),0)</f>
        <v>0</v>
      </c>
      <c r="EO19">
        <f>IFERROR(VLOOKUP($B19,CrosstabPerutYitrotDB!$C$6:$N$50,9,FALSE),0)</f>
        <v>0</v>
      </c>
      <c r="EP19">
        <f>IFERROR(VLOOKUP($B19,CrosstabPerutYitrotDB!$C$6:$N$50,10,FALSE),0)</f>
        <v>0</v>
      </c>
      <c r="EQ19">
        <f>IFERROR(VLOOKUP($B19,CrosstabPerutYitrotDB!$C$6:$N$50,11,FALSE),0)</f>
        <v>0</v>
      </c>
    </row>
    <row r="20" spans="1:147" x14ac:dyDescent="0.2">
      <c r="A20">
        <f t="shared" si="46"/>
        <v>12</v>
      </c>
      <c r="B20" s="20" t="str">
        <f>RicusPolice!E17</f>
        <v>411113798</v>
      </c>
      <c r="C20" s="20" t="str">
        <f>RicusPolice!AL17</f>
        <v>פוליסת ביטוח חיים משולב חיסכון</v>
      </c>
      <c r="D20" s="20" t="str">
        <f>RicusPolice!F17</f>
        <v>מגדל</v>
      </c>
      <c r="E20" s="20" t="str">
        <f>RicusPolice!R17</f>
        <v>יותר</v>
      </c>
      <c r="F20" s="20" t="str">
        <f>RicusPolice!N17</f>
        <v>פעיל</v>
      </c>
      <c r="G20" s="20" t="str">
        <f>IFERROR(VLOOKUP($B20,PerutYitrot!$D$6:$P$100,4,FALSE),0)</f>
        <v>קצבה משלמת</v>
      </c>
      <c r="H20" s="20" t="str">
        <f t="shared" si="29"/>
        <v>קצבה משלמת</v>
      </c>
      <c r="I20" s="20" t="str">
        <f>RicusPolice!L17</f>
        <v>עדיף</v>
      </c>
      <c r="J20" s="179" t="str">
        <f>IFERROR(VLOOKUP(TRIM(K20),MyData!$J$44:$K$50,2,FALSE),0)</f>
        <v>(מ)</v>
      </c>
      <c r="K20" s="20" t="str">
        <f>RicusPolice!M17</f>
        <v>שכיר</v>
      </c>
      <c r="L20" s="20">
        <f>RicusPolice!AM17</f>
        <v>1</v>
      </c>
      <c r="M20" s="20">
        <f>IF(B20&gt;0,RicusPolice!Y17," ")</f>
        <v>2</v>
      </c>
      <c r="N20" s="20" t="str">
        <f t="shared" si="30"/>
        <v>משתתף ברווחים</v>
      </c>
      <c r="O20" s="20" t="str">
        <f>RicusPolice!N17</f>
        <v>פעיל</v>
      </c>
      <c r="P20" s="20" t="str">
        <f>IFERROR(VLOOKUP(B20,PerutMasluleiHashkaa!$D$6:$R$100,4,FALSE),0)</f>
        <v>קרן ו'</v>
      </c>
      <c r="Q20" s="19"/>
      <c r="R20" s="1011" t="str">
        <f>IF(B20&gt;0,RicusPolice!P19," ")</f>
        <v>01/01/1999</v>
      </c>
      <c r="S20" s="20">
        <f>IFERROR(VLOOKUP($B20,'נתונים ידניים'!$B$9:$G$51,6,FALSE),0)</f>
        <v>2.5</v>
      </c>
      <c r="T20" s="21">
        <f>'נתונים ידניים'!J21</f>
        <v>0</v>
      </c>
      <c r="U20" s="21">
        <f>'נתונים ידניים'!K21</f>
        <v>0</v>
      </c>
      <c r="V20" s="20">
        <f>IFERROR(VLOOKUP($B20,PerutHafrashotLePolisa!$D$6:$N$50,2,FALSE),0)</f>
        <v>0</v>
      </c>
      <c r="W20" s="20">
        <f>IFERROR(VLOOKUP($B20,PerutHafrashotLePolisa!$D$6:$N$50,4,FALSE),0)</f>
        <v>0</v>
      </c>
      <c r="X20" s="20">
        <f>IFERROR(VLOOKUP($B20,PerutHafrashotLePolisa!$D$6:$N$50,3,FALSE),0)</f>
        <v>0</v>
      </c>
      <c r="Y20">
        <f t="shared" si="31"/>
        <v>0</v>
      </c>
      <c r="Z20">
        <f>RicusPolice!AP17</f>
        <v>105</v>
      </c>
      <c r="AA20">
        <f>IFERROR(VLOOKUP(B20,PirteiHaasaka!$D$6:$R$100,5,FALSE),0)</f>
        <v>0</v>
      </c>
      <c r="AC20">
        <f>IFERROR(VLOOKUP(B20,HafkadotMetchilatShanaAverages!$D$6:$E$100,2,FALSE),0)</f>
        <v>0</v>
      </c>
      <c r="AF20">
        <f>'נתונים ידניים'!L21</f>
        <v>106.34</v>
      </c>
      <c r="AG20">
        <f>IFERROR(VLOOKUP(B20,CrossTabYitraLeTkufa_till_2000!$D$6:$AB$100,6,FALSE),0)+IFERROR(VLOOKUP(B20,CrossTabYitraLeTkufa_after_2000!$D$6:$AB$100,6,FALSE),0)</f>
        <v>0</v>
      </c>
      <c r="AH20">
        <f>IFERROR(VLOOKUP(B20,CrossTabYitraLeTkufa_till_2000!$D$6:$AB$100,16,FALSE),0)</f>
        <v>0</v>
      </c>
      <c r="AI20">
        <f>IFERROR(VLOOKUP(B20,CrossTabYitraLeTkufa_after_2000!$D$6:$AB$100,16,FALSE),0)</f>
        <v>0</v>
      </c>
      <c r="AJ20">
        <f>IFERROR(VLOOKUP(B20,CrossTabYitraLeTkufa_till_2000!$D$6:$AB$100,17,FALSE),0)</f>
        <v>0</v>
      </c>
      <c r="AK20">
        <f>IFERROR(VLOOKUP(B20,CrossTabYitraLeTkufa_after_2000!$D$6:$AB$100,17,FALSE),0)</f>
        <v>0</v>
      </c>
      <c r="AL20" s="5">
        <f t="shared" si="32"/>
        <v>0</v>
      </c>
      <c r="AO20">
        <f>IFERROR(VLOOKUP(B20,PirteiKisuiBeMutzar_procerur!$C$6:$AA$100,2,FALSE),0)</f>
        <v>0</v>
      </c>
      <c r="AQ20">
        <f>IFERROR(VLOOKUP($B20,PirteiKisuiBeMutzar_procerur!$C$6:$AA$100,5,FALSE),0)</f>
        <v>0</v>
      </c>
      <c r="AR20">
        <f>IFERROR(VLOOKUP($B20,PirteiKisuiBeMutzar_procerur!$C$6:$AA$100,3,FALSE),0)</f>
        <v>0</v>
      </c>
      <c r="AS20">
        <f>IFERROR(VLOOKUP($B20,PirteiKisuiBeMutzar_procerur!$C$6:$AA$100,6,FALSE),0)</f>
        <v>0</v>
      </c>
      <c r="AT20">
        <f>IFERROR(VLOOKUP($B20,PirteiKisuiBeMutzar_procerur!$C$6:$AA$100,7,FALSE),0)</f>
        <v>0</v>
      </c>
      <c r="AX20" s="997">
        <f t="shared" si="33"/>
        <v>0</v>
      </c>
      <c r="AY20" s="997">
        <f t="shared" si="34"/>
        <v>0</v>
      </c>
      <c r="AZ20" s="997">
        <f t="shared" si="35"/>
        <v>0</v>
      </c>
      <c r="BA20" s="997">
        <f>IFERROR(FV(S20/100/12,'נתוני יסוד'!$B$16*12,AX20,AG20)*(-1),0)</f>
        <v>0</v>
      </c>
      <c r="BB20" s="997">
        <f>IFERROR(FV(S20/100/12,'נתוני יסוד'!$B$16*12,0,AH20)*(-1),0)</f>
        <v>0</v>
      </c>
      <c r="BC20" s="997">
        <f>IFERROR(FV(S20/100/12,'נתוני יסוד'!$B$16*12,AY20,AI20)*(-1),0)</f>
        <v>0</v>
      </c>
      <c r="BD20" s="997">
        <f>IFERROR(FV(S20/100/12,'נתוני יסוד'!$B$16*12,0,AJ20)*(-1),0)</f>
        <v>0</v>
      </c>
      <c r="BE20" s="997">
        <f>IFERROR(FV(S20/100/12,'נתוני יסוד'!$B$16*12,AZ20,AK20)*(-1),0)</f>
        <v>0</v>
      </c>
      <c r="BF20" s="997">
        <f t="shared" si="36"/>
        <v>0</v>
      </c>
      <c r="BG20" s="997">
        <f>IFERROR(FV(S20/100/12,'נתוני יסוד'!$B$16*12,AF20,AL20)*(-1),0)</f>
        <v>1124360.3391645504</v>
      </c>
      <c r="BH20" s="997">
        <f t="shared" si="37"/>
        <v>0</v>
      </c>
      <c r="BI20" s="997">
        <f t="shared" si="38"/>
        <v>1124360.3391645504</v>
      </c>
      <c r="BJ20" s="997">
        <f t="shared" si="39"/>
        <v>0</v>
      </c>
      <c r="BK20" s="997">
        <f t="shared" si="40"/>
        <v>0</v>
      </c>
      <c r="BL20" s="997">
        <f t="shared" si="1"/>
        <v>0</v>
      </c>
      <c r="BM20" s="997">
        <f t="shared" si="2"/>
        <v>0</v>
      </c>
      <c r="BN20" s="997">
        <f t="shared" si="3"/>
        <v>0</v>
      </c>
      <c r="BO20" s="997">
        <f t="shared" si="41"/>
        <v>0</v>
      </c>
      <c r="BP20" s="997">
        <f t="shared" si="4"/>
        <v>1124360.3391645504</v>
      </c>
      <c r="BS20">
        <f t="shared" si="5"/>
        <v>0</v>
      </c>
      <c r="BT20">
        <f t="shared" si="6"/>
        <v>0</v>
      </c>
      <c r="BU20">
        <f t="shared" si="7"/>
        <v>0</v>
      </c>
      <c r="BV20">
        <f t="shared" si="42"/>
        <v>0</v>
      </c>
      <c r="BW20">
        <f t="shared" si="8"/>
        <v>0</v>
      </c>
      <c r="BY20" s="997">
        <f t="shared" si="9"/>
        <v>0</v>
      </c>
      <c r="BZ20" s="997">
        <f t="shared" si="10"/>
        <v>0</v>
      </c>
      <c r="CA20" s="997">
        <f t="shared" si="11"/>
        <v>0</v>
      </c>
      <c r="CB20" s="997">
        <f t="shared" si="43"/>
        <v>0</v>
      </c>
      <c r="CC20" s="997">
        <f t="shared" si="12"/>
        <v>0</v>
      </c>
      <c r="CD20" s="997">
        <f t="shared" si="13"/>
        <v>0</v>
      </c>
      <c r="CE20" s="997">
        <f t="shared" si="14"/>
        <v>0</v>
      </c>
      <c r="CF20" s="997">
        <f t="shared" si="15"/>
        <v>0</v>
      </c>
      <c r="CG20" s="997">
        <f t="shared" si="16"/>
        <v>0</v>
      </c>
      <c r="CH20" s="997">
        <f t="shared" si="17"/>
        <v>0</v>
      </c>
      <c r="CI20" s="997">
        <f t="shared" si="18"/>
        <v>0</v>
      </c>
      <c r="CJ20" s="997">
        <f t="shared" si="19"/>
        <v>0</v>
      </c>
      <c r="CK20" s="997"/>
      <c r="CL20" s="997"/>
      <c r="CM20" s="997">
        <f t="shared" si="20"/>
        <v>0</v>
      </c>
      <c r="CN20" s="997">
        <f t="shared" si="21"/>
        <v>0</v>
      </c>
      <c r="CO20" s="997">
        <f t="shared" si="22"/>
        <v>0</v>
      </c>
      <c r="CP20" s="997">
        <f t="shared" si="44"/>
        <v>0</v>
      </c>
      <c r="CQ20" s="997">
        <f t="shared" si="23"/>
        <v>0</v>
      </c>
      <c r="CR20" s="997">
        <f>IFERROR(VLOOKUP($B20,SchumeiBituahYesodi!$C$6:$AA$100,8,FALSE),0)</f>
        <v>0</v>
      </c>
      <c r="CS20" s="997">
        <f>IFERROR(VLOOKUP($B20,PirteiKisuiBeMutzar_procerur!$C$6:$AA$100,2,FALSE),0)</f>
        <v>0</v>
      </c>
      <c r="CT20" s="997">
        <f>IFERROR(VLOOKUP($B20,PirteiKisuiBeMutzar_procerur!$C$6:$AA$100,3,FALSE),0)</f>
        <v>0</v>
      </c>
      <c r="CU20" s="997">
        <f>IFERROR(VLOOKUP($B20,PirteiKisuiBeMutzar_procerur!$C$6:$AA$100,4,FALSE),0)</f>
        <v>0</v>
      </c>
      <c r="CV20" s="997">
        <f>IFERROR(VLOOKUP($B20,PirteiKisuiBeMutzar_procerur!$C$6:$AA$100,5,FALSE),0)</f>
        <v>0</v>
      </c>
      <c r="CW20" s="997">
        <f>IFERROR(VLOOKUP($B20,PirteiKisuiBeMutzar_procerur!$C$6:$AA$100,6,FALSE),0)</f>
        <v>0</v>
      </c>
      <c r="CX20" s="997">
        <f>IFERROR(VLOOKUP($B20,PirteiKisuiBeMutzar_procerur!$C$6:$AA$100,7,FALSE),0)</f>
        <v>0</v>
      </c>
      <c r="CY20" s="997">
        <f>IFERROR(VLOOKUP($B20,PirteiKisuiBeMutzar_procerur!$C$6:$AA$100,8,FALSE),0)</f>
        <v>0</v>
      </c>
      <c r="CZ20" s="997">
        <f>IFERROR(VLOOKUP($B20,PirteiKisuiBeMutzar_procerur!$C$6:$AA$100,9,FALSE),0)</f>
        <v>0</v>
      </c>
      <c r="DA20" s="997">
        <f>IFERROR(VLOOKUP($B20,PirteiKisuiBeMutzar_procerur!$C$6:$AA$100,10,FALSE),0)</f>
        <v>0</v>
      </c>
      <c r="DB20" s="997">
        <f>IFERROR(VLOOKUP($B20,PirteiKisuiBeMutzar_procerur!$C$6:$AA$100,11,FALSE),0)</f>
        <v>0</v>
      </c>
      <c r="DC20" s="997">
        <f>IFERROR(VLOOKUP($B20,PirteiKisuiBeMutzarPrmia!$C$6:$Z$100,2,FALSE),0)</f>
        <v>0</v>
      </c>
      <c r="DD20" s="997">
        <f>IFERROR(VLOOKUP($B20,PirteiKisuiBeMutzarPrmia!$C$6:$Z$100,3,FALSE),0)</f>
        <v>0</v>
      </c>
      <c r="DE20" s="997">
        <f>IFERROR(VLOOKUP($B20,PirteiKisuiBeMutzarPrmia!$C$6:$Z$100,4,FALSE),0)</f>
        <v>0</v>
      </c>
      <c r="DF20" s="997">
        <f>IFERROR(VLOOKUP($B20,PirteiKisuiBeMutzarPrmia!$C$6:$Z$100,5,FALSE),0)</f>
        <v>0</v>
      </c>
      <c r="DG20" s="997">
        <f>IFERROR(VLOOKUP($B20,PirteiKisuiBeMutzarPrmia!$C$6:$Z$100,6,FALSE),0)</f>
        <v>2.78</v>
      </c>
      <c r="DH20" s="997">
        <f>IFERROR(VLOOKUP($B20,PirteiKisuiBeMutzarPrmia!$C$6:$Z$100,7,FALSE),0)</f>
        <v>0</v>
      </c>
      <c r="DI20" s="997">
        <f>IFERROR(VLOOKUP($B20,PirteiKisuiBeMutzarPrmia!$C$6:$Z$100,8,FALSE),0)</f>
        <v>0</v>
      </c>
      <c r="DJ20" s="997">
        <f>IFERROR(VLOOKUP($B20,PirteiKisuiBeMutzarPrmia!$C$6:$Z$100,9,FALSE),0)</f>
        <v>106.34</v>
      </c>
      <c r="DK20" s="997">
        <f>IFERROR(VLOOKUP($B20,PirteiKisuiBeMutzarPrmia!$C$6:$Z$100,10,FALSE),0)</f>
        <v>0</v>
      </c>
      <c r="DL20" s="997">
        <f>IFERROR(VLOOKUP($B20,PirteiKisuiBeMutzarPrmia!$C$6:$Z$100,11,FALSE),0)</f>
        <v>0</v>
      </c>
      <c r="DM20" s="997">
        <f t="shared" si="24"/>
        <v>109.12</v>
      </c>
      <c r="DN20" s="997">
        <f t="shared" si="25"/>
        <v>109.12</v>
      </c>
      <c r="DO20" s="997">
        <f t="shared" si="26"/>
        <v>0</v>
      </c>
      <c r="DP20" s="997">
        <f t="shared" si="27"/>
        <v>0</v>
      </c>
      <c r="DQ20" s="997">
        <f t="shared" si="28"/>
        <v>0</v>
      </c>
      <c r="DR20" s="997">
        <f>IF(OR(L20=1,L20=3),IFERROR(VLOOKUP($B20,PerutHafkadotMetchilatShanaAvgM!$C$6:$G$100,3,FALSE),0),0)</f>
        <v>108.803</v>
      </c>
      <c r="DS20" s="997">
        <f>IF(OR(L20=2,L20=4),IFERROR(VLOOKUP($B20,PerutHafkadotMetchilatShanaAvgM!$C$6:$G$100,3,FALSE),0),0)</f>
        <v>0</v>
      </c>
      <c r="DT20" s="997">
        <f>IFERROR(VLOOKUP($B20,PerutHafkadotMetchilatShanaAvgM!$C$6:$G$100,4,FALSE),0)</f>
        <v>109.53</v>
      </c>
      <c r="DU20" s="997">
        <f>IFERROR(VLOOKUP($B20,Kupa!$D$6:$AA$100,5,FALSE),0)</f>
        <v>0</v>
      </c>
      <c r="DV20" s="997">
        <f>IFERROR(VLOOKUP($B20,Kupa!$D$6:$AA$100,6,FALSE),0)</f>
        <v>0</v>
      </c>
      <c r="DW20" s="997">
        <f>IFERROR(VLOOKUP($B20,KisuiBKerenPensiaDBWithParams!$D$6:$AP$100,9,FALSE),0)</f>
        <v>0</v>
      </c>
      <c r="DX20" s="997">
        <f>IFERROR(VLOOKUP($B20,KisuiBKerenPensiaDBWithParams!$D$6:$AP$100,12,FALSE),0)</f>
        <v>0</v>
      </c>
      <c r="DY20" s="997">
        <f>IFERROR(VLOOKUP($B20,KisuiBKerenPensiaDBWithParams!$D$6:$AP$100,13,FALSE),0)</f>
        <v>0</v>
      </c>
      <c r="DZ20" s="997">
        <f>IFERROR(VLOOKUP($B20,KisuiBKerenPensiaDBWithParams!$D$6:$AP$100,7,FALSE),0)</f>
        <v>0</v>
      </c>
      <c r="EA20" s="997">
        <f>IFERROR(VLOOKUP($B20,KisuiBKerenPensiaDBWithParams!$D$6:$AP$100,17,FALSE),0)</f>
        <v>0</v>
      </c>
      <c r="EB20" s="997">
        <f>IFERROR(VLOOKUP($B20,KisuiBKerenPensiaDBWithParams!$D$6:$AP$100,20,FALSE),0)</f>
        <v>0</v>
      </c>
      <c r="EC20" s="997">
        <f>IFERROR(VLOOKUP($B20,KisuiBKerenPensiaDBWithParams!$D$6:$AP$100,21,FALSE),0)</f>
        <v>0</v>
      </c>
      <c r="ED20" s="997">
        <f t="shared" si="45"/>
        <v>0</v>
      </c>
      <c r="EE20" s="997"/>
      <c r="EF20" s="1020">
        <f>IFERROR(VLOOKUP($B20,KisuiBKerenPensiaDBWithParams!$D$6:$AP$100,21,FALSE),0)</f>
        <v>0</v>
      </c>
      <c r="EG20" s="1020">
        <f>IFERROR(VLOOKUP($B20,KisuiBKerenPensiaDBWithParams!$D$6:$AP$100,21,FALSE),0)</f>
        <v>0</v>
      </c>
      <c r="EH20">
        <f>IF(OR(G20=MyData!$J$51,G20=MyData!$J$52,G20=MyData!$J$53),1,IF(G20=MyData!$J$50,2,0))</f>
        <v>1</v>
      </c>
      <c r="EI20">
        <f>IFERROR(VLOOKUP($B20,CrosstabPerutYitrotDB!$C$6:$N$50,3,FALSE),0)</f>
        <v>0</v>
      </c>
      <c r="EJ20">
        <f>IFERROR(VLOOKUP($B20,CrosstabPerutYitrotDB!$C$6:$N$50,4,FALSE),0)</f>
        <v>1886</v>
      </c>
      <c r="EK20">
        <f>IFERROR(VLOOKUP($B20,CrosstabPerutYitrotDB!$C$6:$N$50,5,FALSE),0)</f>
        <v>1885</v>
      </c>
      <c r="EL20">
        <f>IFERROR(VLOOKUP($B20,CrosstabPerutYitrotDB!$C$6:$N$50,6,FALSE),0)</f>
        <v>0</v>
      </c>
      <c r="EM20">
        <f>IFERROR(VLOOKUP($B20,CrosstabPerutYitrotDB!$C$6:$N$50,7,FALSE),0)</f>
        <v>0</v>
      </c>
      <c r="EN20">
        <f>IFERROR(VLOOKUP($B20,CrosstabPerutYitrotDB!$C$6:$N$50,8,FALSE),0)</f>
        <v>0</v>
      </c>
      <c r="EO20">
        <f>IFERROR(VLOOKUP($B20,CrosstabPerutYitrotDB!$C$6:$N$50,9,FALSE),0)</f>
        <v>0</v>
      </c>
      <c r="EP20">
        <f>IFERROR(VLOOKUP($B20,CrosstabPerutYitrotDB!$C$6:$N$50,10,FALSE),0)</f>
        <v>0</v>
      </c>
      <c r="EQ20">
        <f>IFERROR(VLOOKUP($B20,CrosstabPerutYitrotDB!$C$6:$N$50,11,FALSE),0)</f>
        <v>13228</v>
      </c>
    </row>
    <row r="21" spans="1:147" x14ac:dyDescent="0.2">
      <c r="A21">
        <f t="shared" si="46"/>
        <v>13</v>
      </c>
      <c r="B21" s="20" t="str">
        <f>RicusPolice!E18</f>
        <v>411138484</v>
      </c>
      <c r="C21" s="20" t="str">
        <f>RicusPolice!AL18</f>
        <v>פוליסת ביטוח חיים משולב חיסכון</v>
      </c>
      <c r="D21" s="20" t="str">
        <f>RicusPolice!F18</f>
        <v>מגדל</v>
      </c>
      <c r="E21" s="20" t="str">
        <f>RicusPolice!R18</f>
        <v>יותר הון</v>
      </c>
      <c r="F21" s="20" t="str">
        <f>RicusPolice!N18</f>
        <v>מוקפא</v>
      </c>
      <c r="G21" s="20" t="str">
        <f>IFERROR(VLOOKUP($B21,PerutYitrot!$D$6:$P$100,4,FALSE),0)</f>
        <v>הון</v>
      </c>
      <c r="H21" s="20" t="str">
        <f t="shared" si="29"/>
        <v>ריסק/חיסכון</v>
      </c>
      <c r="I21" s="20" t="str">
        <f>RicusPolice!L18</f>
        <v>עדיף</v>
      </c>
      <c r="J21" s="179" t="str">
        <f>IFERROR(VLOOKUP(TRIM(K21),MyData!$J$44:$K$50,2,FALSE),0)</f>
        <v>(מ)</v>
      </c>
      <c r="K21" s="20" t="str">
        <f>RicusPolice!M18</f>
        <v>שכיר</v>
      </c>
      <c r="L21" s="20">
        <f>RicusPolice!AM18</f>
        <v>1</v>
      </c>
      <c r="M21" s="20">
        <f>IF(B21&gt;0,RicusPolice!Y18," ")</f>
        <v>2</v>
      </c>
      <c r="N21" s="20" t="str">
        <f t="shared" si="30"/>
        <v>משתתף ברווחים</v>
      </c>
      <c r="O21" s="20" t="str">
        <f>RicusPolice!N18</f>
        <v>מוקפא</v>
      </c>
      <c r="P21" s="20" t="str">
        <f>IFERROR(VLOOKUP(B21,PerutMasluleiHashkaa!$D$6:$R$100,4,FALSE),0)</f>
        <v>קרן י'</v>
      </c>
      <c r="Q21" s="19"/>
      <c r="R21" s="1011" t="str">
        <f>IF(B21&gt;0,RicusPolice!P20," ")</f>
        <v>01/07/1988</v>
      </c>
      <c r="S21" s="20">
        <f>IFERROR(VLOOKUP($B21,'נתונים ידניים'!$B$9:$G$51,6,FALSE),0)</f>
        <v>2.5</v>
      </c>
      <c r="T21" s="21">
        <f>'נתונים ידניים'!J22</f>
        <v>0</v>
      </c>
      <c r="U21" s="21">
        <f>'נתונים ידניים'!K22</f>
        <v>0</v>
      </c>
      <c r="V21" s="20">
        <f>IFERROR(VLOOKUP($B21,PerutHafrashotLePolisa!$D$6:$N$50,2,FALSE),0)</f>
        <v>0</v>
      </c>
      <c r="W21" s="20">
        <f>IFERROR(VLOOKUP($B21,PerutHafrashotLePolisa!$D$6:$N$50,4,FALSE),0)</f>
        <v>0</v>
      </c>
      <c r="X21" s="20">
        <f>IFERROR(VLOOKUP($B21,PerutHafrashotLePolisa!$D$6:$N$50,3,FALSE),0)</f>
        <v>0</v>
      </c>
      <c r="Y21">
        <f t="shared" si="31"/>
        <v>0</v>
      </c>
      <c r="Z21">
        <f>RicusPolice!AP18</f>
        <v>0</v>
      </c>
      <c r="AA21">
        <f>IFERROR(VLOOKUP(B21,PirteiHaasaka!$D$6:$R$100,5,FALSE),0)</f>
        <v>0</v>
      </c>
      <c r="AC21">
        <f>IFERROR(VLOOKUP(B21,HafkadotMetchilatShanaAverages!$D$6:$E$100,2,FALSE),0)</f>
        <v>0</v>
      </c>
      <c r="AF21">
        <f>'נתונים ידניים'!L22</f>
        <v>0</v>
      </c>
      <c r="AG21">
        <f>IFERROR(VLOOKUP(B21,CrossTabYitraLeTkufa_till_2000!$D$6:$AB$100,6,FALSE),0)+IFERROR(VLOOKUP(B21,CrossTabYitraLeTkufa_after_2000!$D$6:$AB$100,6,FALSE),0)</f>
        <v>0</v>
      </c>
      <c r="AH21">
        <f>IFERROR(VLOOKUP(B21,CrossTabYitraLeTkufa_till_2000!$D$6:$AB$100,16,FALSE),0)</f>
        <v>0</v>
      </c>
      <c r="AI21">
        <f>IFERROR(VLOOKUP(B21,CrossTabYitraLeTkufa_after_2000!$D$6:$AB$100,16,FALSE),0)</f>
        <v>0</v>
      </c>
      <c r="AJ21">
        <f>IFERROR(VLOOKUP(B21,CrossTabYitraLeTkufa_till_2000!$D$6:$AB$100,17,FALSE),0)</f>
        <v>0</v>
      </c>
      <c r="AK21">
        <f>IFERROR(VLOOKUP(B21,CrossTabYitraLeTkufa_after_2000!$D$6:$AB$100,17,FALSE),0)</f>
        <v>0</v>
      </c>
      <c r="AL21" s="5">
        <f t="shared" si="32"/>
        <v>0</v>
      </c>
      <c r="AO21">
        <f>IFERROR(VLOOKUP(B21,PirteiKisuiBeMutzar_procerur!$C$6:$AA$100,2,FALSE),0)</f>
        <v>0</v>
      </c>
      <c r="AQ21">
        <f>IFERROR(VLOOKUP($B21,PirteiKisuiBeMutzar_procerur!$C$6:$AA$100,5,FALSE),0)</f>
        <v>0</v>
      </c>
      <c r="AR21">
        <f>IFERROR(VLOOKUP($B21,PirteiKisuiBeMutzar_procerur!$C$6:$AA$100,3,FALSE),0)</f>
        <v>0</v>
      </c>
      <c r="AS21">
        <f>IFERROR(VLOOKUP($B21,PirteiKisuiBeMutzar_procerur!$C$6:$AA$100,6,FALSE),0)</f>
        <v>0</v>
      </c>
      <c r="AT21">
        <f>IFERROR(VLOOKUP($B21,PirteiKisuiBeMutzar_procerur!$C$6:$AA$100,7,FALSE),0)</f>
        <v>0</v>
      </c>
      <c r="AX21" s="997">
        <f t="shared" si="33"/>
        <v>0</v>
      </c>
      <c r="AY21" s="997">
        <f t="shared" si="34"/>
        <v>0</v>
      </c>
      <c r="AZ21" s="997">
        <f t="shared" si="35"/>
        <v>0</v>
      </c>
      <c r="BA21" s="997">
        <f>IFERROR(FV(S21/100/12,'נתוני יסוד'!$B$16*12,AX21,AG21)*(-1),0)</f>
        <v>0</v>
      </c>
      <c r="BB21" s="997">
        <f>IFERROR(FV(S21/100/12,'נתוני יסוד'!$B$16*12,0,AH21)*(-1),0)</f>
        <v>0</v>
      </c>
      <c r="BC21" s="997">
        <f>IFERROR(FV(S21/100/12,'נתוני יסוד'!$B$16*12,AY21,AI21)*(-1),0)</f>
        <v>0</v>
      </c>
      <c r="BD21" s="997">
        <f>IFERROR(FV(S21/100/12,'נתוני יסוד'!$B$16*12,0,AJ21)*(-1),0)</f>
        <v>0</v>
      </c>
      <c r="BE21" s="997">
        <f>IFERROR(FV(S21/100/12,'נתוני יסוד'!$B$16*12,AZ21,AK21)*(-1),0)</f>
        <v>0</v>
      </c>
      <c r="BF21" s="997">
        <f t="shared" si="36"/>
        <v>0</v>
      </c>
      <c r="BG21" s="997">
        <f>IFERROR(FV(S21/100/12,'נתוני יסוד'!$B$16*12,AF21,AL21)*(-1),0)</f>
        <v>0</v>
      </c>
      <c r="BH21" s="997">
        <f t="shared" si="37"/>
        <v>0</v>
      </c>
      <c r="BI21" s="997">
        <f t="shared" si="38"/>
        <v>0</v>
      </c>
      <c r="BJ21" s="997">
        <f t="shared" si="39"/>
        <v>0</v>
      </c>
      <c r="BK21" s="997">
        <f t="shared" si="40"/>
        <v>0</v>
      </c>
      <c r="BL21" s="997">
        <f t="shared" si="1"/>
        <v>0</v>
      </c>
      <c r="BM21" s="997">
        <f t="shared" si="2"/>
        <v>0</v>
      </c>
      <c r="BN21" s="997">
        <f t="shared" si="3"/>
        <v>0</v>
      </c>
      <c r="BO21" s="997">
        <f t="shared" si="41"/>
        <v>0</v>
      </c>
      <c r="BP21" s="997">
        <f t="shared" si="4"/>
        <v>0</v>
      </c>
      <c r="BS21">
        <f t="shared" si="5"/>
        <v>0</v>
      </c>
      <c r="BT21">
        <f t="shared" si="6"/>
        <v>0</v>
      </c>
      <c r="BU21">
        <f t="shared" si="7"/>
        <v>0</v>
      </c>
      <c r="BV21">
        <f t="shared" si="42"/>
        <v>0</v>
      </c>
      <c r="BW21">
        <f t="shared" si="8"/>
        <v>0</v>
      </c>
      <c r="BY21" s="997">
        <f t="shared" si="9"/>
        <v>0</v>
      </c>
      <c r="BZ21" s="997">
        <f t="shared" si="10"/>
        <v>0</v>
      </c>
      <c r="CA21" s="997">
        <f t="shared" si="11"/>
        <v>0</v>
      </c>
      <c r="CB21" s="997">
        <f t="shared" si="43"/>
        <v>0</v>
      </c>
      <c r="CC21" s="997">
        <f t="shared" si="12"/>
        <v>0</v>
      </c>
      <c r="CD21" s="997">
        <f t="shared" si="13"/>
        <v>0</v>
      </c>
      <c r="CE21" s="997">
        <f t="shared" si="14"/>
        <v>0</v>
      </c>
      <c r="CF21" s="997">
        <f t="shared" si="15"/>
        <v>0</v>
      </c>
      <c r="CG21" s="997">
        <f t="shared" si="16"/>
        <v>0</v>
      </c>
      <c r="CH21" s="997">
        <f t="shared" si="17"/>
        <v>0</v>
      </c>
      <c r="CI21" s="997">
        <f t="shared" si="18"/>
        <v>0</v>
      </c>
      <c r="CJ21" s="997">
        <f t="shared" si="19"/>
        <v>0</v>
      </c>
      <c r="CK21" s="997"/>
      <c r="CL21" s="997"/>
      <c r="CM21" s="997">
        <f t="shared" si="20"/>
        <v>0</v>
      </c>
      <c r="CN21" s="997">
        <f t="shared" si="21"/>
        <v>0</v>
      </c>
      <c r="CO21" s="997">
        <f t="shared" si="22"/>
        <v>0</v>
      </c>
      <c r="CP21" s="997">
        <f t="shared" si="44"/>
        <v>0</v>
      </c>
      <c r="CQ21" s="997">
        <f t="shared" si="23"/>
        <v>0</v>
      </c>
      <c r="CR21" s="997">
        <f>IFERROR(VLOOKUP($B21,SchumeiBituahYesodi!$C$6:$AA$100,8,FALSE),0)</f>
        <v>0</v>
      </c>
      <c r="CS21" s="997">
        <f>IFERROR(VLOOKUP($B21,PirteiKisuiBeMutzar_procerur!$C$6:$AA$100,2,FALSE),0)</f>
        <v>0</v>
      </c>
      <c r="CT21" s="997">
        <f>IFERROR(VLOOKUP($B21,PirteiKisuiBeMutzar_procerur!$C$6:$AA$100,3,FALSE),0)</f>
        <v>0</v>
      </c>
      <c r="CU21" s="997">
        <f>IFERROR(VLOOKUP($B21,PirteiKisuiBeMutzar_procerur!$C$6:$AA$100,4,FALSE),0)</f>
        <v>0</v>
      </c>
      <c r="CV21" s="997">
        <f>IFERROR(VLOOKUP($B21,PirteiKisuiBeMutzar_procerur!$C$6:$AA$100,5,FALSE),0)</f>
        <v>0</v>
      </c>
      <c r="CW21" s="997">
        <f>IFERROR(VLOOKUP($B21,PirteiKisuiBeMutzar_procerur!$C$6:$AA$100,6,FALSE),0)</f>
        <v>0</v>
      </c>
      <c r="CX21" s="997">
        <f>IFERROR(VLOOKUP($B21,PirteiKisuiBeMutzar_procerur!$C$6:$AA$100,7,FALSE),0)</f>
        <v>0</v>
      </c>
      <c r="CY21" s="997">
        <f>IFERROR(VLOOKUP($B21,PirteiKisuiBeMutzar_procerur!$C$6:$AA$100,8,FALSE),0)</f>
        <v>0</v>
      </c>
      <c r="CZ21" s="997">
        <f>IFERROR(VLOOKUP($B21,PirteiKisuiBeMutzar_procerur!$C$6:$AA$100,9,FALSE),0)</f>
        <v>0</v>
      </c>
      <c r="DA21" s="997">
        <f>IFERROR(VLOOKUP($B21,PirteiKisuiBeMutzar_procerur!$C$6:$AA$100,10,FALSE),0)</f>
        <v>0</v>
      </c>
      <c r="DB21" s="997">
        <f>IFERROR(VLOOKUP($B21,PirteiKisuiBeMutzar_procerur!$C$6:$AA$100,11,FALSE),0)</f>
        <v>0</v>
      </c>
      <c r="DC21" s="997">
        <f>IFERROR(VLOOKUP($B21,PirteiKisuiBeMutzarPrmia!$C$6:$Z$100,2,FALSE),0)</f>
        <v>0</v>
      </c>
      <c r="DD21" s="997">
        <f>IFERROR(VLOOKUP($B21,PirteiKisuiBeMutzarPrmia!$C$6:$Z$100,3,FALSE),0)</f>
        <v>0</v>
      </c>
      <c r="DE21" s="997">
        <f>IFERROR(VLOOKUP($B21,PirteiKisuiBeMutzarPrmia!$C$6:$Z$100,4,FALSE),0)</f>
        <v>0</v>
      </c>
      <c r="DF21" s="997">
        <f>IFERROR(VLOOKUP($B21,PirteiKisuiBeMutzarPrmia!$C$6:$Z$100,5,FALSE),0)</f>
        <v>0</v>
      </c>
      <c r="DG21" s="997">
        <f>IFERROR(VLOOKUP($B21,PirteiKisuiBeMutzarPrmia!$C$6:$Z$100,6,FALSE),0)</f>
        <v>0</v>
      </c>
      <c r="DH21" s="997">
        <f>IFERROR(VLOOKUP($B21,PirteiKisuiBeMutzarPrmia!$C$6:$Z$100,7,FALSE),0)</f>
        <v>0</v>
      </c>
      <c r="DI21" s="997">
        <f>IFERROR(VLOOKUP($B21,PirteiKisuiBeMutzarPrmia!$C$6:$Z$100,8,FALSE),0)</f>
        <v>0</v>
      </c>
      <c r="DJ21" s="997">
        <f>IFERROR(VLOOKUP($B21,PirteiKisuiBeMutzarPrmia!$C$6:$Z$100,9,FALSE),0)</f>
        <v>0</v>
      </c>
      <c r="DK21" s="997">
        <f>IFERROR(VLOOKUP($B21,PirteiKisuiBeMutzarPrmia!$C$6:$Z$100,10,FALSE),0)</f>
        <v>0</v>
      </c>
      <c r="DL21" s="997">
        <f>IFERROR(VLOOKUP($B21,PirteiKisuiBeMutzarPrmia!$C$6:$Z$100,11,FALSE),0)</f>
        <v>0</v>
      </c>
      <c r="DM21" s="997">
        <f t="shared" si="24"/>
        <v>0</v>
      </c>
      <c r="DN21" s="997">
        <f t="shared" si="25"/>
        <v>0</v>
      </c>
      <c r="DO21" s="997">
        <f t="shared" si="26"/>
        <v>0</v>
      </c>
      <c r="DP21" s="997">
        <f t="shared" si="27"/>
        <v>0</v>
      </c>
      <c r="DQ21" s="997">
        <f t="shared" si="28"/>
        <v>0</v>
      </c>
      <c r="DR21" s="997">
        <f>IF(OR(L21=1,L21=3),IFERROR(VLOOKUP($B21,PerutHafkadotMetchilatShanaAvgM!$C$6:$G$100,3,FALSE),0),0)</f>
        <v>0</v>
      </c>
      <c r="DS21" s="997">
        <f>IF(OR(L21=2,L21=4),IFERROR(VLOOKUP($B21,PerutHafkadotMetchilatShanaAvgM!$C$6:$G$100,3,FALSE),0),0)</f>
        <v>0</v>
      </c>
      <c r="DT21" s="997">
        <f>IFERROR(VLOOKUP($B21,PerutHafkadotMetchilatShanaAvgM!$C$6:$G$100,4,FALSE),0)</f>
        <v>0</v>
      </c>
      <c r="DU21" s="997">
        <f>IFERROR(VLOOKUP($B21,Kupa!$D$6:$AA$100,5,FALSE),0)</f>
        <v>0</v>
      </c>
      <c r="DV21" s="997">
        <f>IFERROR(VLOOKUP($B21,Kupa!$D$6:$AA$100,6,FALSE),0)</f>
        <v>0</v>
      </c>
      <c r="DW21" s="997">
        <f>IFERROR(VLOOKUP($B21,KisuiBKerenPensiaDBWithParams!$D$6:$AP$100,9,FALSE),0)</f>
        <v>0</v>
      </c>
      <c r="DX21" s="997">
        <f>IFERROR(VLOOKUP($B21,KisuiBKerenPensiaDBWithParams!$D$6:$AP$100,12,FALSE),0)</f>
        <v>0</v>
      </c>
      <c r="DY21" s="997">
        <f>IFERROR(VLOOKUP($B21,KisuiBKerenPensiaDBWithParams!$D$6:$AP$100,13,FALSE),0)</f>
        <v>0</v>
      </c>
      <c r="DZ21" s="997">
        <f>IFERROR(VLOOKUP($B21,KisuiBKerenPensiaDBWithParams!$D$6:$AP$100,7,FALSE),0)</f>
        <v>0</v>
      </c>
      <c r="EA21" s="997">
        <f>IFERROR(VLOOKUP($B21,KisuiBKerenPensiaDBWithParams!$D$6:$AP$100,17,FALSE),0)</f>
        <v>0</v>
      </c>
      <c r="EB21" s="997">
        <f>IFERROR(VLOOKUP($B21,KisuiBKerenPensiaDBWithParams!$D$6:$AP$100,20,FALSE),0)</f>
        <v>0</v>
      </c>
      <c r="EC21" s="997">
        <f>IFERROR(VLOOKUP($B21,KisuiBKerenPensiaDBWithParams!$D$6:$AP$100,21,FALSE),0)</f>
        <v>0</v>
      </c>
      <c r="ED21" s="997">
        <f t="shared" si="45"/>
        <v>0</v>
      </c>
      <c r="EE21" s="997"/>
      <c r="EF21" s="1020">
        <f>IFERROR(VLOOKUP($B21,KisuiBKerenPensiaDBWithParams!$D$6:$AP$100,21,FALSE),0)</f>
        <v>0</v>
      </c>
      <c r="EG21" s="1020">
        <f>IFERROR(VLOOKUP($B21,KisuiBKerenPensiaDBWithParams!$D$6:$AP$100,21,FALSE),0)</f>
        <v>0</v>
      </c>
      <c r="EH21">
        <f>IF(OR(G21=MyData!$J$51,G21=MyData!$J$52,G21=MyData!$J$53),1,IF(G21=MyData!$J$50,2,0))</f>
        <v>2</v>
      </c>
      <c r="EI21">
        <f>IFERROR(VLOOKUP($B21,CrosstabPerutYitrotDB!$C$6:$N$50,3,FALSE),0)</f>
        <v>0</v>
      </c>
      <c r="EJ21">
        <f>IFERROR(VLOOKUP($B21,CrosstabPerutYitrotDB!$C$6:$N$50,4,FALSE),0)</f>
        <v>0</v>
      </c>
      <c r="EK21">
        <f>IFERROR(VLOOKUP($B21,CrosstabPerutYitrotDB!$C$6:$N$50,5,FALSE),0)</f>
        <v>0</v>
      </c>
      <c r="EL21">
        <f>IFERROR(VLOOKUP($B21,CrosstabPerutYitrotDB!$C$6:$N$50,6,FALSE),0)</f>
        <v>0</v>
      </c>
      <c r="EM21">
        <f>IFERROR(VLOOKUP($B21,CrosstabPerutYitrotDB!$C$6:$N$50,7,FALSE),0)</f>
        <v>0</v>
      </c>
      <c r="EN21">
        <f>IFERROR(VLOOKUP($B21,CrosstabPerutYitrotDB!$C$6:$N$50,8,FALSE),0)</f>
        <v>0</v>
      </c>
      <c r="EO21">
        <f>IFERROR(VLOOKUP($B21,CrosstabPerutYitrotDB!$C$6:$N$50,9,FALSE),0)</f>
        <v>0</v>
      </c>
      <c r="EP21">
        <f>IFERROR(VLOOKUP($B21,CrosstabPerutYitrotDB!$C$6:$N$50,10,FALSE),0)</f>
        <v>0</v>
      </c>
      <c r="EQ21">
        <f>IFERROR(VLOOKUP($B21,CrosstabPerutYitrotDB!$C$6:$N$50,11,FALSE),0)</f>
        <v>11556</v>
      </c>
    </row>
    <row r="22" spans="1:147" x14ac:dyDescent="0.2">
      <c r="A22">
        <f t="shared" si="46"/>
        <v>14</v>
      </c>
      <c r="B22" s="20" t="str">
        <f>RicusPolice!E19</f>
        <v>323406232</v>
      </c>
      <c r="C22" s="20" t="str">
        <f>RicusPolice!AL19</f>
        <v>פוליסת ביטוח חיים משולב חיסכון</v>
      </c>
      <c r="D22" s="20" t="str">
        <f>RicusPolice!F19</f>
        <v>מגדל</v>
      </c>
      <c r="E22" s="20" t="str">
        <f>RicusPolice!R19</f>
        <v>יותר</v>
      </c>
      <c r="F22" s="20" t="str">
        <f>RicusPolice!N19</f>
        <v>פעיל</v>
      </c>
      <c r="G22" s="20" t="str">
        <f>IFERROR(VLOOKUP($B22,PerutYitrot!$D$6:$P$100,4,FALSE),0)</f>
        <v>קצבה משלמת</v>
      </c>
      <c r="H22" s="20" t="str">
        <f t="shared" si="29"/>
        <v>קצבה משלמת</v>
      </c>
      <c r="I22" s="20" t="str">
        <f>RicusPolice!L19</f>
        <v>עדיף</v>
      </c>
      <c r="J22" s="179" t="str">
        <f>IFERROR(VLOOKUP(TRIM(K22),MyData!$J$44:$K$50,2,FALSE),0)</f>
        <v>(ת)</v>
      </c>
      <c r="K22" s="20" t="str">
        <f>RicusPolice!M19</f>
        <v>עצמאי</v>
      </c>
      <c r="L22" s="20">
        <f>RicusPolice!AM19</f>
        <v>2</v>
      </c>
      <c r="M22" s="20">
        <f>IF(B22&gt;0,RicusPolice!Y19," ")</f>
        <v>2</v>
      </c>
      <c r="N22" s="20" t="str">
        <f t="shared" si="30"/>
        <v>משתתף ברווחים</v>
      </c>
      <c r="O22" s="20" t="str">
        <f>RicusPolice!N19</f>
        <v>פעיל</v>
      </c>
      <c r="P22" s="20" t="str">
        <f>IFERROR(VLOOKUP(B22,PerutMasluleiHashkaa!$D$6:$R$100,4,FALSE),0)</f>
        <v>קרן י'</v>
      </c>
      <c r="Q22" s="19"/>
      <c r="R22" s="1011" t="str">
        <f>IF(B22&gt;0,RicusPolice!P21," ")</f>
        <v>01/07/1994</v>
      </c>
      <c r="S22" s="20">
        <f>IFERROR(VLOOKUP($B22,'נתונים ידניים'!$B$9:$G$51,6,FALSE),0)</f>
        <v>2.5</v>
      </c>
      <c r="T22" s="21">
        <f>'נתונים ידניים'!J23</f>
        <v>0</v>
      </c>
      <c r="U22" s="21">
        <f>'נתונים ידניים'!K23</f>
        <v>0</v>
      </c>
      <c r="V22" s="20">
        <f>IFERROR(VLOOKUP($B22,PerutHafrashotLePolisa!$D$6:$N$50,2,FALSE),0)</f>
        <v>0</v>
      </c>
      <c r="W22" s="20">
        <f>IFERROR(VLOOKUP($B22,PerutHafrashotLePolisa!$D$6:$N$50,4,FALSE),0)</f>
        <v>0</v>
      </c>
      <c r="X22" s="20">
        <f>IFERROR(VLOOKUP($B22,PerutHafrashotLePolisa!$D$6:$N$50,3,FALSE),0)</f>
        <v>0</v>
      </c>
      <c r="Y22">
        <f t="shared" si="31"/>
        <v>0</v>
      </c>
      <c r="Z22">
        <f>RicusPolice!AP19</f>
        <v>166</v>
      </c>
      <c r="AA22">
        <f>IFERROR(VLOOKUP(B22,PirteiHaasaka!$D$6:$R$100,5,FALSE),0)</f>
        <v>0</v>
      </c>
      <c r="AC22">
        <f>IFERROR(VLOOKUP(B22,HafkadotMetchilatShanaAverages!$D$6:$E$100,2,FALSE),0)</f>
        <v>0</v>
      </c>
      <c r="AF22">
        <f>'נתונים ידניים'!L23</f>
        <v>166.41</v>
      </c>
      <c r="AG22">
        <f>IFERROR(VLOOKUP(B22,CrossTabYitraLeTkufa_till_2000!$D$6:$AB$100,6,FALSE),0)+IFERROR(VLOOKUP(B22,CrossTabYitraLeTkufa_after_2000!$D$6:$AB$100,6,FALSE),0)</f>
        <v>0</v>
      </c>
      <c r="AH22">
        <f>IFERROR(VLOOKUP(B22,CrossTabYitraLeTkufa_till_2000!$D$6:$AB$100,16,FALSE),0)</f>
        <v>0</v>
      </c>
      <c r="AI22">
        <f>IFERROR(VLOOKUP(B22,CrossTabYitraLeTkufa_after_2000!$D$6:$AB$100,16,FALSE),0)</f>
        <v>0</v>
      </c>
      <c r="AJ22">
        <f>IFERROR(VLOOKUP(B22,CrossTabYitraLeTkufa_till_2000!$D$6:$AB$100,17,FALSE),0)</f>
        <v>0</v>
      </c>
      <c r="AK22">
        <f>IFERROR(VLOOKUP(B22,CrossTabYitraLeTkufa_after_2000!$D$6:$AB$100,17,FALSE),0)</f>
        <v>0</v>
      </c>
      <c r="AL22" s="5">
        <f t="shared" si="32"/>
        <v>0</v>
      </c>
      <c r="AO22">
        <f>IFERROR(VLOOKUP(B22,PirteiKisuiBeMutzar_procerur!$C$6:$AA$100,2,FALSE),0)</f>
        <v>0</v>
      </c>
      <c r="AQ22">
        <f>IFERROR(VLOOKUP($B22,PirteiKisuiBeMutzar_procerur!$C$6:$AA$100,5,FALSE),0)</f>
        <v>0</v>
      </c>
      <c r="AR22">
        <f>IFERROR(VLOOKUP($B22,PirteiKisuiBeMutzar_procerur!$C$6:$AA$100,3,FALSE),0)</f>
        <v>0</v>
      </c>
      <c r="AS22">
        <f>IFERROR(VLOOKUP($B22,PirteiKisuiBeMutzar_procerur!$C$6:$AA$100,6,FALSE),0)</f>
        <v>0</v>
      </c>
      <c r="AT22">
        <f>IFERROR(VLOOKUP($B22,PirteiKisuiBeMutzar_procerur!$C$6:$AA$100,7,FALSE),0)</f>
        <v>0</v>
      </c>
      <c r="AX22" s="997">
        <f t="shared" si="33"/>
        <v>0</v>
      </c>
      <c r="AY22" s="997">
        <f t="shared" si="34"/>
        <v>0</v>
      </c>
      <c r="AZ22" s="997">
        <f t="shared" si="35"/>
        <v>0</v>
      </c>
      <c r="BA22" s="997">
        <f>IFERROR(FV(S22/100/12,'נתוני יסוד'!$B$16*12,AX22,AG22)*(-1),0)</f>
        <v>0</v>
      </c>
      <c r="BB22" s="997">
        <f>IFERROR(FV(S22/100/12,'נתוני יסוד'!$B$16*12,0,AH22)*(-1),0)</f>
        <v>0</v>
      </c>
      <c r="BC22" s="997">
        <f>IFERROR(FV(S22/100/12,'נתוני יסוד'!$B$16*12,AY22,AI22)*(-1),0)</f>
        <v>0</v>
      </c>
      <c r="BD22" s="997">
        <f>IFERROR(FV(S22/100/12,'נתוני יסוד'!$B$16*12,0,AJ22)*(-1),0)</f>
        <v>0</v>
      </c>
      <c r="BE22" s="997">
        <f>IFERROR(FV(S22/100/12,'נתוני יסוד'!$B$16*12,AZ22,AK22)*(-1),0)</f>
        <v>0</v>
      </c>
      <c r="BF22" s="997">
        <f t="shared" si="36"/>
        <v>0</v>
      </c>
      <c r="BG22" s="997">
        <f>IFERROR(FV(S22/100/12,'נתוני יסוד'!$B$16*12,AF22,AL22)*(-1),0)</f>
        <v>1759495.9943612264</v>
      </c>
      <c r="BH22" s="997">
        <f t="shared" si="37"/>
        <v>0</v>
      </c>
      <c r="BI22" s="997">
        <f t="shared" si="38"/>
        <v>1759495.9943612264</v>
      </c>
      <c r="BJ22" s="997">
        <f t="shared" si="39"/>
        <v>0</v>
      </c>
      <c r="BK22" s="997">
        <f t="shared" si="40"/>
        <v>0</v>
      </c>
      <c r="BL22" s="997">
        <f t="shared" si="1"/>
        <v>0</v>
      </c>
      <c r="BM22" s="997">
        <f t="shared" si="2"/>
        <v>0</v>
      </c>
      <c r="BN22" s="997">
        <f t="shared" si="3"/>
        <v>0</v>
      </c>
      <c r="BO22" s="997">
        <f t="shared" si="41"/>
        <v>0</v>
      </c>
      <c r="BP22" s="997">
        <f t="shared" si="4"/>
        <v>1759495.9943612264</v>
      </c>
      <c r="BS22">
        <f t="shared" si="5"/>
        <v>0</v>
      </c>
      <c r="BT22">
        <f t="shared" si="6"/>
        <v>0</v>
      </c>
      <c r="BU22">
        <f t="shared" si="7"/>
        <v>0</v>
      </c>
      <c r="BV22">
        <f t="shared" si="42"/>
        <v>0</v>
      </c>
      <c r="BW22">
        <f t="shared" si="8"/>
        <v>0</v>
      </c>
      <c r="BY22" s="997">
        <f t="shared" si="9"/>
        <v>0</v>
      </c>
      <c r="BZ22" s="997">
        <f t="shared" si="10"/>
        <v>0</v>
      </c>
      <c r="CA22" s="997">
        <f t="shared" si="11"/>
        <v>0</v>
      </c>
      <c r="CB22" s="997">
        <f t="shared" si="43"/>
        <v>0</v>
      </c>
      <c r="CC22" s="997">
        <f t="shared" si="12"/>
        <v>0</v>
      </c>
      <c r="CD22" s="997">
        <f t="shared" si="13"/>
        <v>0</v>
      </c>
      <c r="CE22" s="997">
        <f t="shared" si="14"/>
        <v>0</v>
      </c>
      <c r="CF22" s="997">
        <f t="shared" si="15"/>
        <v>0</v>
      </c>
      <c r="CG22" s="997">
        <f t="shared" si="16"/>
        <v>0</v>
      </c>
      <c r="CH22" s="997">
        <f t="shared" si="17"/>
        <v>0</v>
      </c>
      <c r="CI22" s="997">
        <f t="shared" si="18"/>
        <v>0</v>
      </c>
      <c r="CJ22" s="997">
        <f t="shared" si="19"/>
        <v>0</v>
      </c>
      <c r="CK22" s="997"/>
      <c r="CL22" s="997"/>
      <c r="CM22" s="997">
        <f t="shared" si="20"/>
        <v>0</v>
      </c>
      <c r="CN22" s="997">
        <f t="shared" si="21"/>
        <v>0</v>
      </c>
      <c r="CO22" s="997">
        <f t="shared" si="22"/>
        <v>0</v>
      </c>
      <c r="CP22" s="997">
        <f t="shared" si="44"/>
        <v>0</v>
      </c>
      <c r="CQ22" s="997">
        <f t="shared" si="23"/>
        <v>0</v>
      </c>
      <c r="CR22" s="997">
        <f>IFERROR(VLOOKUP($B22,SchumeiBituahYesodi!$C$6:$AA$100,8,FALSE),0)</f>
        <v>0</v>
      </c>
      <c r="CS22" s="997">
        <f>IFERROR(VLOOKUP($B22,PirteiKisuiBeMutzar_procerur!$C$6:$AA$100,2,FALSE),0)</f>
        <v>0</v>
      </c>
      <c r="CT22" s="997">
        <f>IFERROR(VLOOKUP($B22,PirteiKisuiBeMutzar_procerur!$C$6:$AA$100,3,FALSE),0)</f>
        <v>0</v>
      </c>
      <c r="CU22" s="997">
        <f>IFERROR(VLOOKUP($B22,PirteiKisuiBeMutzar_procerur!$C$6:$AA$100,4,FALSE),0)</f>
        <v>0</v>
      </c>
      <c r="CV22" s="997">
        <f>IFERROR(VLOOKUP($B22,PirteiKisuiBeMutzar_procerur!$C$6:$AA$100,5,FALSE),0)</f>
        <v>0</v>
      </c>
      <c r="CW22" s="997">
        <f>IFERROR(VLOOKUP($B22,PirteiKisuiBeMutzar_procerur!$C$6:$AA$100,6,FALSE),0)</f>
        <v>0</v>
      </c>
      <c r="CX22" s="997">
        <f>IFERROR(VLOOKUP($B22,PirteiKisuiBeMutzar_procerur!$C$6:$AA$100,7,FALSE),0)</f>
        <v>0</v>
      </c>
      <c r="CY22" s="997">
        <f>IFERROR(VLOOKUP($B22,PirteiKisuiBeMutzar_procerur!$C$6:$AA$100,8,FALSE),0)</f>
        <v>0</v>
      </c>
      <c r="CZ22" s="997">
        <f>IFERROR(VLOOKUP($B22,PirteiKisuiBeMutzar_procerur!$C$6:$AA$100,9,FALSE),0)</f>
        <v>0</v>
      </c>
      <c r="DA22" s="997">
        <f>IFERROR(VLOOKUP($B22,PirteiKisuiBeMutzar_procerur!$C$6:$AA$100,10,FALSE),0)</f>
        <v>0</v>
      </c>
      <c r="DB22" s="997">
        <f>IFERROR(VLOOKUP($B22,PirteiKisuiBeMutzar_procerur!$C$6:$AA$100,11,FALSE),0)</f>
        <v>0</v>
      </c>
      <c r="DC22" s="997">
        <f>IFERROR(VLOOKUP($B22,PirteiKisuiBeMutzarPrmia!$C$6:$Z$100,2,FALSE),0)</f>
        <v>0</v>
      </c>
      <c r="DD22" s="997">
        <f>IFERROR(VLOOKUP($B22,PirteiKisuiBeMutzarPrmia!$C$6:$Z$100,3,FALSE),0)</f>
        <v>0</v>
      </c>
      <c r="DE22" s="997">
        <f>IFERROR(VLOOKUP($B22,PirteiKisuiBeMutzarPrmia!$C$6:$Z$100,4,FALSE),0)</f>
        <v>0</v>
      </c>
      <c r="DF22" s="997">
        <f>IFERROR(VLOOKUP($B22,PirteiKisuiBeMutzarPrmia!$C$6:$Z$100,5,FALSE),0)</f>
        <v>0</v>
      </c>
      <c r="DG22" s="997">
        <f>IFERROR(VLOOKUP($B22,PirteiKisuiBeMutzarPrmia!$C$6:$Z$100,6,FALSE),0)</f>
        <v>0</v>
      </c>
      <c r="DH22" s="997">
        <f>IFERROR(VLOOKUP($B22,PirteiKisuiBeMutzarPrmia!$C$6:$Z$100,7,FALSE),0)</f>
        <v>0</v>
      </c>
      <c r="DI22" s="997">
        <f>IFERROR(VLOOKUP($B22,PirteiKisuiBeMutzarPrmia!$C$6:$Z$100,8,FALSE),0)</f>
        <v>0</v>
      </c>
      <c r="DJ22" s="997">
        <f>IFERROR(VLOOKUP($B22,PirteiKisuiBeMutzarPrmia!$C$6:$Z$100,9,FALSE),0)</f>
        <v>166.41</v>
      </c>
      <c r="DK22" s="997">
        <f>IFERROR(VLOOKUP($B22,PirteiKisuiBeMutzarPrmia!$C$6:$Z$100,10,FALSE),0)</f>
        <v>0</v>
      </c>
      <c r="DL22" s="997">
        <f>IFERROR(VLOOKUP($B22,PirteiKisuiBeMutzarPrmia!$C$6:$Z$100,11,FALSE),0)</f>
        <v>0</v>
      </c>
      <c r="DM22" s="997">
        <f t="shared" si="24"/>
        <v>166.41</v>
      </c>
      <c r="DN22" s="997">
        <f t="shared" si="25"/>
        <v>0</v>
      </c>
      <c r="DO22" s="997">
        <f t="shared" si="26"/>
        <v>166.41</v>
      </c>
      <c r="DP22" s="997">
        <f t="shared" si="27"/>
        <v>0</v>
      </c>
      <c r="DQ22" s="997">
        <f t="shared" si="28"/>
        <v>0</v>
      </c>
      <c r="DR22" s="997">
        <f>IF(OR(L22=1,L22=3),IFERROR(VLOOKUP($B22,PerutHafkadotMetchilatShanaAvgM!$C$6:$G$100,3,FALSE),0),0)</f>
        <v>0</v>
      </c>
      <c r="DS22" s="997">
        <f>IF(OR(L22=2,L22=4),IFERROR(VLOOKUP($B22,PerutHafkadotMetchilatShanaAvgM!$C$6:$G$100,3,FALSE),0),0)</f>
        <v>165.80700000000002</v>
      </c>
      <c r="DT22" s="997">
        <f>IFERROR(VLOOKUP($B22,PerutHafkadotMetchilatShanaAvgM!$C$6:$G$100,4,FALSE),0)</f>
        <v>166.91</v>
      </c>
      <c r="DU22" s="997">
        <f>IFERROR(VLOOKUP($B22,Kupa!$D$6:$AA$100,5,FALSE),0)</f>
        <v>0</v>
      </c>
      <c r="DV22" s="997">
        <f>IFERROR(VLOOKUP($B22,Kupa!$D$6:$AA$100,6,FALSE),0)</f>
        <v>0</v>
      </c>
      <c r="DW22" s="997">
        <f>IFERROR(VLOOKUP($B22,KisuiBKerenPensiaDBWithParams!$D$6:$AP$100,9,FALSE),0)</f>
        <v>0</v>
      </c>
      <c r="DX22" s="997">
        <f>IFERROR(VLOOKUP($B22,KisuiBKerenPensiaDBWithParams!$D$6:$AP$100,12,FALSE),0)</f>
        <v>0</v>
      </c>
      <c r="DY22" s="997">
        <f>IFERROR(VLOOKUP($B22,KisuiBKerenPensiaDBWithParams!$D$6:$AP$100,13,FALSE),0)</f>
        <v>0</v>
      </c>
      <c r="DZ22" s="997">
        <f>IFERROR(VLOOKUP($B22,KisuiBKerenPensiaDBWithParams!$D$6:$AP$100,7,FALSE),0)</f>
        <v>0</v>
      </c>
      <c r="EA22" s="997">
        <f>IFERROR(VLOOKUP($B22,KisuiBKerenPensiaDBWithParams!$D$6:$AP$100,17,FALSE),0)</f>
        <v>0</v>
      </c>
      <c r="EB22" s="997">
        <f>IFERROR(VLOOKUP($B22,KisuiBKerenPensiaDBWithParams!$D$6:$AP$100,20,FALSE),0)</f>
        <v>0</v>
      </c>
      <c r="EC22" s="997">
        <f>IFERROR(VLOOKUP($B22,KisuiBKerenPensiaDBWithParams!$D$6:$AP$100,21,FALSE),0)</f>
        <v>0</v>
      </c>
      <c r="ED22" s="997">
        <f t="shared" si="45"/>
        <v>0</v>
      </c>
      <c r="EE22" s="997"/>
      <c r="EF22" s="1020">
        <f>IFERROR(VLOOKUP($B22,KisuiBKerenPensiaDBWithParams!$D$6:$AP$100,21,FALSE),0)</f>
        <v>0</v>
      </c>
      <c r="EG22" s="1020">
        <f>IFERROR(VLOOKUP($B22,KisuiBKerenPensiaDBWithParams!$D$6:$AP$100,21,FALSE),0)</f>
        <v>0</v>
      </c>
      <c r="EH22">
        <f>IF(OR(G22=MyData!$J$51,G22=MyData!$J$52,G22=MyData!$J$53),1,IF(G22=MyData!$J$50,2,0))</f>
        <v>1</v>
      </c>
      <c r="EI22">
        <f>IFERROR(VLOOKUP($B22,CrosstabPerutYitrotDB!$C$6:$N$50,3,FALSE),0)</f>
        <v>87336</v>
      </c>
      <c r="EJ22">
        <f>IFERROR(VLOOKUP($B22,CrosstabPerutYitrotDB!$C$6:$N$50,4,FALSE),0)</f>
        <v>38746</v>
      </c>
      <c r="EK22">
        <f>IFERROR(VLOOKUP($B22,CrosstabPerutYitrotDB!$C$6:$N$50,5,FALSE),0)</f>
        <v>38746</v>
      </c>
      <c r="EL22">
        <f>IFERROR(VLOOKUP($B22,CrosstabPerutYitrotDB!$C$6:$N$50,6,FALSE),0)</f>
        <v>18999</v>
      </c>
      <c r="EM22">
        <f>IFERROR(VLOOKUP($B22,CrosstabPerutYitrotDB!$C$6:$N$50,7,FALSE),0)</f>
        <v>0</v>
      </c>
      <c r="EN22">
        <f>IFERROR(VLOOKUP($B22,CrosstabPerutYitrotDB!$C$6:$N$50,8,FALSE),0)</f>
        <v>0</v>
      </c>
      <c r="EO22">
        <f>IFERROR(VLOOKUP($B22,CrosstabPerutYitrotDB!$C$6:$N$50,9,FALSE),0)</f>
        <v>0</v>
      </c>
      <c r="EP22">
        <f>IFERROR(VLOOKUP($B22,CrosstabPerutYitrotDB!$C$6:$N$50,10,FALSE),0)</f>
        <v>0</v>
      </c>
      <c r="EQ22">
        <f>IFERROR(VLOOKUP($B22,CrosstabPerutYitrotDB!$C$6:$N$50,11,FALSE),0)</f>
        <v>0</v>
      </c>
    </row>
    <row r="23" spans="1:147" x14ac:dyDescent="0.2">
      <c r="A23">
        <f t="shared" si="46"/>
        <v>15</v>
      </c>
      <c r="B23" s="20" t="str">
        <f>RicusPolice!E20</f>
        <v>730141236</v>
      </c>
      <c r="C23" s="20" t="str">
        <f>RicusPolice!AL20</f>
        <v>פוליסת ביטוח חיים משולב חיסכון</v>
      </c>
      <c r="D23" s="20" t="str">
        <f>RicusPolice!F20</f>
        <v>מגדל</v>
      </c>
      <c r="E23" s="20" t="str">
        <f>RicusPolice!R20</f>
        <v>יותר</v>
      </c>
      <c r="F23" s="20" t="str">
        <f>RicusPolice!N20</f>
        <v>מוקפא</v>
      </c>
      <c r="G23" s="20" t="str">
        <f>IFERROR(VLOOKUP($B23,PerutYitrot!$D$6:$P$100,4,FALSE),0)</f>
        <v>קצבה משלמת</v>
      </c>
      <c r="H23" s="20" t="str">
        <f t="shared" si="29"/>
        <v>קצבה משלמת</v>
      </c>
      <c r="I23" s="20" t="str">
        <f>RicusPolice!L20</f>
        <v>עדיף</v>
      </c>
      <c r="J23" s="179" t="str">
        <f>IFERROR(VLOOKUP(TRIM(K23),MyData!$J$44:$K$50,2,FALSE),0)</f>
        <v>(מ)</v>
      </c>
      <c r="K23" s="20" t="str">
        <f>RicusPolice!M20</f>
        <v>שכיר</v>
      </c>
      <c r="L23" s="20">
        <f>RicusPolice!AM20</f>
        <v>1</v>
      </c>
      <c r="M23" s="20">
        <f>IF(B23&gt;0,RicusPolice!Y20," ")</f>
        <v>2</v>
      </c>
      <c r="N23" s="20" t="str">
        <f t="shared" si="30"/>
        <v>משתתף ברווחים</v>
      </c>
      <c r="O23" s="20" t="str">
        <f>RicusPolice!N20</f>
        <v>מוקפא</v>
      </c>
      <c r="P23" s="20" t="str">
        <f>IFERROR(VLOOKUP(B23,PerutMasluleiHashkaa!$D$6:$R$100,4,FALSE),0)</f>
        <v>קרן ו'</v>
      </c>
      <c r="Q23" s="19"/>
      <c r="R23" s="1011" t="str">
        <f>IF(B23&gt;0,RicusPolice!P22," ")</f>
        <v>01/12/1998</v>
      </c>
      <c r="S23" s="20">
        <f>IFERROR(VLOOKUP($B23,'נתונים ידניים'!$B$9:$G$51,6,FALSE),0)</f>
        <v>4</v>
      </c>
      <c r="T23" s="21">
        <f>'נתונים ידניים'!J24</f>
        <v>0</v>
      </c>
      <c r="U23" s="21">
        <f>'נתונים ידניים'!K24</f>
        <v>0</v>
      </c>
      <c r="V23" s="20">
        <f>IFERROR(VLOOKUP($B23,PerutHafrashotLePolisa!$D$6:$N$50,2,FALSE),0)</f>
        <v>0</v>
      </c>
      <c r="W23" s="20">
        <f>IFERROR(VLOOKUP($B23,PerutHafrashotLePolisa!$D$6:$N$50,4,FALSE),0)</f>
        <v>0</v>
      </c>
      <c r="X23" s="20">
        <f>IFERROR(VLOOKUP($B23,PerutHafrashotLePolisa!$D$6:$N$50,3,FALSE),0)</f>
        <v>0</v>
      </c>
      <c r="Y23">
        <f t="shared" si="31"/>
        <v>0</v>
      </c>
      <c r="Z23">
        <f>RicusPolice!AP20</f>
        <v>0</v>
      </c>
      <c r="AA23">
        <f>IFERROR(VLOOKUP(B23,PirteiHaasaka!$D$6:$R$100,5,FALSE),0)</f>
        <v>0</v>
      </c>
      <c r="AC23">
        <f>IFERROR(VLOOKUP(B23,HafkadotMetchilatShanaAverages!$D$6:$E$100,2,FALSE),0)</f>
        <v>0</v>
      </c>
      <c r="AF23">
        <f>'נתונים ידניים'!L24</f>
        <v>0</v>
      </c>
      <c r="AG23">
        <f>IFERROR(VLOOKUP(B23,CrossTabYitraLeTkufa_till_2000!$D$6:$AB$100,6,FALSE),0)+IFERROR(VLOOKUP(B23,CrossTabYitraLeTkufa_after_2000!$D$6:$AB$100,6,FALSE),0)</f>
        <v>0</v>
      </c>
      <c r="AH23">
        <f>IFERROR(VLOOKUP(B23,CrossTabYitraLeTkufa_till_2000!$D$6:$AB$100,16,FALSE),0)</f>
        <v>0</v>
      </c>
      <c r="AI23">
        <f>IFERROR(VLOOKUP(B23,CrossTabYitraLeTkufa_after_2000!$D$6:$AB$100,16,FALSE),0)</f>
        <v>0</v>
      </c>
      <c r="AJ23">
        <f>IFERROR(VLOOKUP(B23,CrossTabYitraLeTkufa_till_2000!$D$6:$AB$100,17,FALSE),0)</f>
        <v>0</v>
      </c>
      <c r="AK23">
        <f>IFERROR(VLOOKUP(B23,CrossTabYitraLeTkufa_after_2000!$D$6:$AB$100,17,FALSE),0)</f>
        <v>0</v>
      </c>
      <c r="AL23" s="5">
        <f t="shared" si="32"/>
        <v>0</v>
      </c>
      <c r="AO23">
        <f>IFERROR(VLOOKUP(B23,PirteiKisuiBeMutzar_procerur!$C$6:$AA$100,2,FALSE),0)</f>
        <v>0</v>
      </c>
      <c r="AQ23">
        <f>IFERROR(VLOOKUP($B23,PirteiKisuiBeMutzar_procerur!$C$6:$AA$100,5,FALSE),0)</f>
        <v>0</v>
      </c>
      <c r="AR23">
        <f>IFERROR(VLOOKUP($B23,PirteiKisuiBeMutzar_procerur!$C$6:$AA$100,3,FALSE),0)</f>
        <v>0</v>
      </c>
      <c r="AS23">
        <f>IFERROR(VLOOKUP($B23,PirteiKisuiBeMutzar_procerur!$C$6:$AA$100,6,FALSE),0)</f>
        <v>0</v>
      </c>
      <c r="AT23">
        <f>IFERROR(VLOOKUP($B23,PirteiKisuiBeMutzar_procerur!$C$6:$AA$100,7,FALSE),0)</f>
        <v>0</v>
      </c>
      <c r="AX23" s="997">
        <f t="shared" si="33"/>
        <v>0</v>
      </c>
      <c r="AY23" s="997">
        <f t="shared" si="34"/>
        <v>0</v>
      </c>
      <c r="AZ23" s="997">
        <f t="shared" si="35"/>
        <v>0</v>
      </c>
      <c r="BA23" s="997">
        <f>IFERROR(FV(S23/100/12,'נתוני יסוד'!$B$16*12,AX23,AG23)*(-1),0)</f>
        <v>0</v>
      </c>
      <c r="BB23" s="997">
        <f>IFERROR(FV(S23/100/12,'נתוני יסוד'!$B$16*12,0,AH23)*(-1),0)</f>
        <v>0</v>
      </c>
      <c r="BC23" s="997">
        <f>IFERROR(FV(S23/100/12,'נתוני יסוד'!$B$16*12,AY23,AI23)*(-1),0)</f>
        <v>0</v>
      </c>
      <c r="BD23" s="997">
        <f>IFERROR(FV(S23/100/12,'נתוני יסוד'!$B$16*12,0,AJ23)*(-1),0)</f>
        <v>0</v>
      </c>
      <c r="BE23" s="997">
        <f>IFERROR(FV(S23/100/12,'נתוני יסוד'!$B$16*12,AZ23,AK23)*(-1),0)</f>
        <v>0</v>
      </c>
      <c r="BF23" s="997">
        <f t="shared" si="36"/>
        <v>0</v>
      </c>
      <c r="BG23" s="997">
        <f>IFERROR(FV(S23/100/12,'נתוני יסוד'!$B$16*12,AF23,AL23)*(-1),0)</f>
        <v>0</v>
      </c>
      <c r="BH23" s="997">
        <f t="shared" si="37"/>
        <v>0</v>
      </c>
      <c r="BI23" s="997">
        <f t="shared" si="38"/>
        <v>0</v>
      </c>
      <c r="BJ23" s="997">
        <f t="shared" si="39"/>
        <v>0</v>
      </c>
      <c r="BK23" s="997">
        <f t="shared" si="40"/>
        <v>0</v>
      </c>
      <c r="BL23" s="997">
        <f t="shared" si="1"/>
        <v>0</v>
      </c>
      <c r="BM23" s="997">
        <f t="shared" si="2"/>
        <v>0</v>
      </c>
      <c r="BN23" s="997">
        <f t="shared" si="3"/>
        <v>0</v>
      </c>
      <c r="BO23" s="997">
        <f t="shared" si="41"/>
        <v>0</v>
      </c>
      <c r="BP23" s="997">
        <f t="shared" si="4"/>
        <v>0</v>
      </c>
      <c r="BS23">
        <f t="shared" si="5"/>
        <v>0</v>
      </c>
      <c r="BT23">
        <f t="shared" si="6"/>
        <v>0</v>
      </c>
      <c r="BU23">
        <f t="shared" si="7"/>
        <v>0</v>
      </c>
      <c r="BV23">
        <f t="shared" si="42"/>
        <v>0</v>
      </c>
      <c r="BW23">
        <f t="shared" si="8"/>
        <v>0</v>
      </c>
      <c r="BY23" s="997">
        <f t="shared" si="9"/>
        <v>0</v>
      </c>
      <c r="BZ23" s="997">
        <f t="shared" si="10"/>
        <v>0</v>
      </c>
      <c r="CA23" s="997">
        <f t="shared" si="11"/>
        <v>0</v>
      </c>
      <c r="CB23" s="997">
        <f t="shared" si="43"/>
        <v>0</v>
      </c>
      <c r="CC23" s="997">
        <f t="shared" si="12"/>
        <v>0</v>
      </c>
      <c r="CD23" s="997">
        <f t="shared" si="13"/>
        <v>0</v>
      </c>
      <c r="CE23" s="997">
        <f t="shared" si="14"/>
        <v>0</v>
      </c>
      <c r="CF23" s="997">
        <f t="shared" si="15"/>
        <v>0</v>
      </c>
      <c r="CG23" s="997">
        <f t="shared" si="16"/>
        <v>0</v>
      </c>
      <c r="CH23" s="997">
        <f t="shared" si="17"/>
        <v>0</v>
      </c>
      <c r="CI23" s="997">
        <f t="shared" si="18"/>
        <v>0</v>
      </c>
      <c r="CJ23" s="997">
        <f t="shared" si="19"/>
        <v>0</v>
      </c>
      <c r="CK23" s="997"/>
      <c r="CL23" s="997"/>
      <c r="CM23" s="997">
        <f t="shared" si="20"/>
        <v>0</v>
      </c>
      <c r="CN23" s="997">
        <f t="shared" si="21"/>
        <v>0</v>
      </c>
      <c r="CO23" s="997">
        <f t="shared" si="22"/>
        <v>0</v>
      </c>
      <c r="CP23" s="997">
        <f t="shared" si="44"/>
        <v>0</v>
      </c>
      <c r="CQ23" s="997">
        <f t="shared" si="23"/>
        <v>0</v>
      </c>
      <c r="CR23" s="997">
        <f>IFERROR(VLOOKUP($B23,SchumeiBituahYesodi!$C$6:$AA$100,8,FALSE),0)</f>
        <v>0</v>
      </c>
      <c r="CS23" s="997">
        <f>IFERROR(VLOOKUP($B23,PirteiKisuiBeMutzar_procerur!$C$6:$AA$100,2,FALSE),0)</f>
        <v>0</v>
      </c>
      <c r="CT23" s="997">
        <f>IFERROR(VLOOKUP($B23,PirteiKisuiBeMutzar_procerur!$C$6:$AA$100,3,FALSE),0)</f>
        <v>0</v>
      </c>
      <c r="CU23" s="997">
        <f>IFERROR(VLOOKUP($B23,PirteiKisuiBeMutzar_procerur!$C$6:$AA$100,4,FALSE),0)</f>
        <v>0</v>
      </c>
      <c r="CV23" s="997">
        <f>IFERROR(VLOOKUP($B23,PirteiKisuiBeMutzar_procerur!$C$6:$AA$100,5,FALSE),0)</f>
        <v>0</v>
      </c>
      <c r="CW23" s="997">
        <f>IFERROR(VLOOKUP($B23,PirteiKisuiBeMutzar_procerur!$C$6:$AA$100,6,FALSE),0)</f>
        <v>0</v>
      </c>
      <c r="CX23" s="997">
        <f>IFERROR(VLOOKUP($B23,PirteiKisuiBeMutzar_procerur!$C$6:$AA$100,7,FALSE),0)</f>
        <v>0</v>
      </c>
      <c r="CY23" s="997">
        <f>IFERROR(VLOOKUP($B23,PirteiKisuiBeMutzar_procerur!$C$6:$AA$100,8,FALSE),0)</f>
        <v>0</v>
      </c>
      <c r="CZ23" s="997">
        <f>IFERROR(VLOOKUP($B23,PirteiKisuiBeMutzar_procerur!$C$6:$AA$100,9,FALSE),0)</f>
        <v>0</v>
      </c>
      <c r="DA23" s="997">
        <f>IFERROR(VLOOKUP($B23,PirteiKisuiBeMutzar_procerur!$C$6:$AA$100,10,FALSE),0)</f>
        <v>0</v>
      </c>
      <c r="DB23" s="997">
        <f>IFERROR(VLOOKUP($B23,PirteiKisuiBeMutzar_procerur!$C$6:$AA$100,11,FALSE),0)</f>
        <v>0</v>
      </c>
      <c r="DC23" s="997">
        <f>IFERROR(VLOOKUP($B23,PirteiKisuiBeMutzarPrmia!$C$6:$Z$100,2,FALSE),0)</f>
        <v>0</v>
      </c>
      <c r="DD23" s="997">
        <f>IFERROR(VLOOKUP($B23,PirteiKisuiBeMutzarPrmia!$C$6:$Z$100,3,FALSE),0)</f>
        <v>0</v>
      </c>
      <c r="DE23" s="997">
        <f>IFERROR(VLOOKUP($B23,PirteiKisuiBeMutzarPrmia!$C$6:$Z$100,4,FALSE),0)</f>
        <v>0</v>
      </c>
      <c r="DF23" s="997">
        <f>IFERROR(VLOOKUP($B23,PirteiKisuiBeMutzarPrmia!$C$6:$Z$100,5,FALSE),0)</f>
        <v>0</v>
      </c>
      <c r="DG23" s="997">
        <f>IFERROR(VLOOKUP($B23,PirteiKisuiBeMutzarPrmia!$C$6:$Z$100,6,FALSE),0)</f>
        <v>0</v>
      </c>
      <c r="DH23" s="997">
        <f>IFERROR(VLOOKUP($B23,PirteiKisuiBeMutzarPrmia!$C$6:$Z$100,7,FALSE),0)</f>
        <v>0</v>
      </c>
      <c r="DI23" s="997">
        <f>IFERROR(VLOOKUP($B23,PirteiKisuiBeMutzarPrmia!$C$6:$Z$100,8,FALSE),0)</f>
        <v>0</v>
      </c>
      <c r="DJ23" s="997">
        <f>IFERROR(VLOOKUP($B23,PirteiKisuiBeMutzarPrmia!$C$6:$Z$100,9,FALSE),0)</f>
        <v>0</v>
      </c>
      <c r="DK23" s="997">
        <f>IFERROR(VLOOKUP($B23,PirteiKisuiBeMutzarPrmia!$C$6:$Z$100,10,FALSE),0)</f>
        <v>0</v>
      </c>
      <c r="DL23" s="997">
        <f>IFERROR(VLOOKUP($B23,PirteiKisuiBeMutzarPrmia!$C$6:$Z$100,11,FALSE),0)</f>
        <v>0</v>
      </c>
      <c r="DM23" s="997">
        <f t="shared" si="24"/>
        <v>0</v>
      </c>
      <c r="DN23" s="997">
        <f t="shared" si="25"/>
        <v>0</v>
      </c>
      <c r="DO23" s="997">
        <f t="shared" si="26"/>
        <v>0</v>
      </c>
      <c r="DP23" s="997">
        <f t="shared" si="27"/>
        <v>0</v>
      </c>
      <c r="DQ23" s="997">
        <f t="shared" si="28"/>
        <v>0</v>
      </c>
      <c r="DR23" s="997">
        <f>IF(OR(L23=1,L23=3),IFERROR(VLOOKUP($B23,PerutHafkadotMetchilatShanaAvgM!$C$6:$G$100,3,FALSE),0),0)</f>
        <v>0</v>
      </c>
      <c r="DS23" s="997">
        <f>IF(OR(L23=2,L23=4),IFERROR(VLOOKUP($B23,PerutHafkadotMetchilatShanaAvgM!$C$6:$G$100,3,FALSE),0),0)</f>
        <v>0</v>
      </c>
      <c r="DT23" s="997">
        <f>IFERROR(VLOOKUP($B23,PerutHafkadotMetchilatShanaAvgM!$C$6:$G$100,4,FALSE),0)</f>
        <v>0</v>
      </c>
      <c r="DU23" s="997">
        <f>IFERROR(VLOOKUP($B23,Kupa!$D$6:$AA$100,5,FALSE),0)</f>
        <v>0</v>
      </c>
      <c r="DV23" s="997">
        <f>IFERROR(VLOOKUP($B23,Kupa!$D$6:$AA$100,6,FALSE),0)</f>
        <v>0</v>
      </c>
      <c r="DW23" s="997">
        <f>IFERROR(VLOOKUP($B23,KisuiBKerenPensiaDBWithParams!$D$6:$AP$100,9,FALSE),0)</f>
        <v>0</v>
      </c>
      <c r="DX23" s="997">
        <f>IFERROR(VLOOKUP($B23,KisuiBKerenPensiaDBWithParams!$D$6:$AP$100,12,FALSE),0)</f>
        <v>0</v>
      </c>
      <c r="DY23" s="997">
        <f>IFERROR(VLOOKUP($B23,KisuiBKerenPensiaDBWithParams!$D$6:$AP$100,13,FALSE),0)</f>
        <v>0</v>
      </c>
      <c r="DZ23" s="997">
        <f>IFERROR(VLOOKUP($B23,KisuiBKerenPensiaDBWithParams!$D$6:$AP$100,7,FALSE),0)</f>
        <v>0</v>
      </c>
      <c r="EA23" s="997">
        <f>IFERROR(VLOOKUP($B23,KisuiBKerenPensiaDBWithParams!$D$6:$AP$100,17,FALSE),0)</f>
        <v>0</v>
      </c>
      <c r="EB23" s="997">
        <f>IFERROR(VLOOKUP($B23,KisuiBKerenPensiaDBWithParams!$D$6:$AP$100,20,FALSE),0)</f>
        <v>0</v>
      </c>
      <c r="EC23" s="997">
        <f>IFERROR(VLOOKUP($B23,KisuiBKerenPensiaDBWithParams!$D$6:$AP$100,21,FALSE),0)</f>
        <v>0</v>
      </c>
      <c r="ED23" s="997">
        <f t="shared" si="45"/>
        <v>0</v>
      </c>
      <c r="EE23" s="997"/>
      <c r="EF23" s="1020">
        <f>IFERROR(VLOOKUP($B23,KisuiBKerenPensiaDBWithParams!$D$6:$AP$100,21,FALSE),0)</f>
        <v>0</v>
      </c>
      <c r="EG23" s="1020">
        <f>IFERROR(VLOOKUP($B23,KisuiBKerenPensiaDBWithParams!$D$6:$AP$100,21,FALSE),0)</f>
        <v>0</v>
      </c>
      <c r="EH23">
        <f>IF(OR(G23=MyData!$J$51,G23=MyData!$J$52,G23=MyData!$J$53),1,IF(G23=MyData!$J$50,2,0))</f>
        <v>1</v>
      </c>
      <c r="EI23">
        <f>IFERROR(VLOOKUP($B23,CrosstabPerutYitrotDB!$C$6:$N$50,3,FALSE),0)</f>
        <v>0</v>
      </c>
      <c r="EJ23">
        <f>IFERROR(VLOOKUP($B23,CrosstabPerutYitrotDB!$C$6:$N$50,4,FALSE),0)</f>
        <v>125824</v>
      </c>
      <c r="EK23">
        <f>IFERROR(VLOOKUP($B23,CrosstabPerutYitrotDB!$C$6:$N$50,5,FALSE),0)</f>
        <v>125821.98</v>
      </c>
      <c r="EL23">
        <f>IFERROR(VLOOKUP($B23,CrosstabPerutYitrotDB!$C$6:$N$50,6,FALSE),0)</f>
        <v>0</v>
      </c>
      <c r="EM23">
        <f>IFERROR(VLOOKUP($B23,CrosstabPerutYitrotDB!$C$6:$N$50,7,FALSE),0)</f>
        <v>0</v>
      </c>
      <c r="EN23">
        <f>IFERROR(VLOOKUP($B23,CrosstabPerutYitrotDB!$C$6:$N$50,8,FALSE),0)</f>
        <v>0</v>
      </c>
      <c r="EO23">
        <f>IFERROR(VLOOKUP($B23,CrosstabPerutYitrotDB!$C$6:$N$50,9,FALSE),0)</f>
        <v>0</v>
      </c>
      <c r="EP23">
        <f>IFERROR(VLOOKUP($B23,CrosstabPerutYitrotDB!$C$6:$N$50,10,FALSE),0)</f>
        <v>0</v>
      </c>
      <c r="EQ23">
        <f>IFERROR(VLOOKUP($B23,CrosstabPerutYitrotDB!$C$6:$N$50,11,FALSE),0)</f>
        <v>209</v>
      </c>
    </row>
    <row r="24" spans="1:147" x14ac:dyDescent="0.2">
      <c r="A24">
        <f t="shared" si="46"/>
        <v>16</v>
      </c>
      <c r="B24" s="20" t="str">
        <f>RicusPolice!E21</f>
        <v>323158955</v>
      </c>
      <c r="C24" s="20" t="str">
        <f>RicusPolice!AL21</f>
        <v>פוליסת ביטוח חיים משולב חיסכון</v>
      </c>
      <c r="D24" s="20" t="str">
        <f>RicusPolice!F21</f>
        <v>מגדל</v>
      </c>
      <c r="E24" s="20" t="str">
        <f>RicusPolice!R21</f>
        <v>יותר</v>
      </c>
      <c r="F24" s="20" t="str">
        <f>RicusPolice!N21</f>
        <v>פעיל</v>
      </c>
      <c r="G24" s="20" t="str">
        <f>IFERROR(VLOOKUP($B24,PerutYitrot!$D$6:$P$100,4,FALSE),0)</f>
        <v>קצבה משלמת</v>
      </c>
      <c r="H24" s="20" t="str">
        <f t="shared" si="29"/>
        <v>קצבה משלמת</v>
      </c>
      <c r="I24" s="20" t="str">
        <f>RicusPolice!L21</f>
        <v>עדיף</v>
      </c>
      <c r="J24" s="179" t="str">
        <f>IFERROR(VLOOKUP(TRIM(K24),MyData!$J$44:$K$50,2,FALSE),0)</f>
        <v>(מ)</v>
      </c>
      <c r="K24" s="20" t="str">
        <f>RicusPolice!M21</f>
        <v>שכיר</v>
      </c>
      <c r="L24" s="20">
        <f>RicusPolice!AM21</f>
        <v>1</v>
      </c>
      <c r="M24" s="20">
        <f>IF(B24&gt;0,RicusPolice!Y21," ")</f>
        <v>2</v>
      </c>
      <c r="N24" s="20" t="str">
        <f t="shared" si="30"/>
        <v>משתתף ברווחים</v>
      </c>
      <c r="O24" s="20" t="str">
        <f>RicusPolice!N21</f>
        <v>פעיל</v>
      </c>
      <c r="P24" s="20" t="str">
        <f>IFERROR(VLOOKUP(B24,PerutMasluleiHashkaa!$D$6:$R$100,4,FALSE),0)</f>
        <v>קרן ו'</v>
      </c>
      <c r="Q24" s="19"/>
      <c r="R24" s="1011" t="str">
        <f>IF(B24&gt;0,RicusPolice!P23," ")</f>
        <v>01/03/1984</v>
      </c>
      <c r="S24" s="20">
        <f>IFERROR(VLOOKUP($B24,'נתונים ידניים'!$B$9:$G$51,6,FALSE),0)</f>
        <v>2.5</v>
      </c>
      <c r="T24" s="21">
        <f>'נתונים ידניים'!J25</f>
        <v>0</v>
      </c>
      <c r="U24" s="21">
        <f>'נתונים ידניים'!K25</f>
        <v>0</v>
      </c>
      <c r="V24" s="20">
        <f>IFERROR(VLOOKUP($B24,PerutHafrashotLePolisa!$D$6:$N$50,2,FALSE),0)</f>
        <v>0</v>
      </c>
      <c r="W24" s="20">
        <f>IFERROR(VLOOKUP($B24,PerutHafrashotLePolisa!$D$6:$N$50,4,FALSE),0)</f>
        <v>0</v>
      </c>
      <c r="X24" s="20">
        <f>IFERROR(VLOOKUP($B24,PerutHafrashotLePolisa!$D$6:$N$50,3,FALSE),0)</f>
        <v>7</v>
      </c>
      <c r="Y24">
        <f t="shared" si="31"/>
        <v>7</v>
      </c>
      <c r="Z24">
        <f>RicusPolice!AP21</f>
        <v>0</v>
      </c>
      <c r="AA24">
        <f>IFERROR(VLOOKUP(B24,PirteiHaasaka!$D$6:$R$100,5,FALSE),0)</f>
        <v>8700</v>
      </c>
      <c r="AC24">
        <f>IFERROR(VLOOKUP(B24,HafkadotMetchilatShanaAverages!$D$6:$E$100,2,FALSE),0)</f>
        <v>0</v>
      </c>
      <c r="AF24">
        <f>'נתונים ידניים'!L25</f>
        <v>2519.2199999999998</v>
      </c>
      <c r="AG24">
        <f>IFERROR(VLOOKUP(B24,CrossTabYitraLeTkufa_till_2000!$D$6:$AB$100,6,FALSE),0)+IFERROR(VLOOKUP(B24,CrossTabYitraLeTkufa_after_2000!$D$6:$AB$100,6,FALSE),0)</f>
        <v>0</v>
      </c>
      <c r="AH24">
        <f>IFERROR(VLOOKUP(B24,CrossTabYitraLeTkufa_till_2000!$D$6:$AB$100,16,FALSE),0)</f>
        <v>0</v>
      </c>
      <c r="AI24">
        <f>IFERROR(VLOOKUP(B24,CrossTabYitraLeTkufa_after_2000!$D$6:$AB$100,16,FALSE),0)</f>
        <v>0</v>
      </c>
      <c r="AJ24">
        <f>IFERROR(VLOOKUP(B24,CrossTabYitraLeTkufa_till_2000!$D$6:$AB$100,17,FALSE),0)</f>
        <v>0</v>
      </c>
      <c r="AK24">
        <f>IFERROR(VLOOKUP(B24,CrossTabYitraLeTkufa_after_2000!$D$6:$AB$100,17,FALSE),0)</f>
        <v>0</v>
      </c>
      <c r="AL24" s="5">
        <f t="shared" si="32"/>
        <v>0</v>
      </c>
      <c r="AO24">
        <f>IFERROR(VLOOKUP(B24,PirteiKisuiBeMutzar_procerur!$C$6:$AA$100,2,FALSE),0)</f>
        <v>0</v>
      </c>
      <c r="AQ24">
        <f>IFERROR(VLOOKUP($B24,PirteiKisuiBeMutzar_procerur!$C$6:$AA$100,5,FALSE),0)</f>
        <v>0</v>
      </c>
      <c r="AR24">
        <f>IFERROR(VLOOKUP($B24,PirteiKisuiBeMutzar_procerur!$C$6:$AA$100,3,FALSE),0)</f>
        <v>0</v>
      </c>
      <c r="AS24">
        <f>IFERROR(VLOOKUP($B24,PirteiKisuiBeMutzar_procerur!$C$6:$AA$100,6,FALSE),0)</f>
        <v>0</v>
      </c>
      <c r="AT24">
        <f>IFERROR(VLOOKUP($B24,PirteiKisuiBeMutzar_procerur!$C$6:$AA$100,7,FALSE),0)</f>
        <v>0</v>
      </c>
      <c r="AX24" s="997">
        <f t="shared" si="33"/>
        <v>0</v>
      </c>
      <c r="AY24" s="997">
        <f t="shared" si="34"/>
        <v>0</v>
      </c>
      <c r="AZ24" s="997">
        <f t="shared" si="35"/>
        <v>2519.2199999999998</v>
      </c>
      <c r="BA24" s="997">
        <f>IFERROR(FV(S24/100/12,'נתוני יסוד'!$B$16*12,AX24,AG24)*(-1),0)</f>
        <v>0</v>
      </c>
      <c r="BB24" s="997">
        <f>IFERROR(FV(S24/100/12,'נתוני יסוד'!$B$16*12,0,AH24)*(-1),0)</f>
        <v>0</v>
      </c>
      <c r="BC24" s="997">
        <f>IFERROR(FV(S24/100/12,'נתוני יסוד'!$B$16*12,AY24,AI24)*(-1),0)</f>
        <v>0</v>
      </c>
      <c r="BD24" s="997">
        <f>IFERROR(FV(S24/100/12,'נתוני יסוד'!$B$16*12,0,AJ24)*(-1),0)</f>
        <v>0</v>
      </c>
      <c r="BE24" s="997">
        <f>IFERROR(FV(S24/100/12,'נתוני יסוד'!$B$16*12,AZ24,AK24)*(-1),0)</f>
        <v>26636364.995581325</v>
      </c>
      <c r="BF24" s="997">
        <f t="shared" si="36"/>
        <v>26636364.995581325</v>
      </c>
      <c r="BG24" s="997">
        <f>IFERROR(FV(S24/100/12,'נתוני יסוד'!$B$16*12,AF24,AL24)*(-1),0)</f>
        <v>26636364.995581325</v>
      </c>
      <c r="BH24" s="997">
        <f t="shared" si="37"/>
        <v>0</v>
      </c>
      <c r="BI24" s="997">
        <f t="shared" si="38"/>
        <v>26636364.995581325</v>
      </c>
      <c r="BJ24" s="997">
        <f t="shared" si="39"/>
        <v>0</v>
      </c>
      <c r="BK24" s="997">
        <f t="shared" si="40"/>
        <v>0</v>
      </c>
      <c r="BL24" s="997">
        <f t="shared" si="1"/>
        <v>0</v>
      </c>
      <c r="BM24" s="997">
        <f t="shared" si="2"/>
        <v>0</v>
      </c>
      <c r="BN24" s="997">
        <f t="shared" si="3"/>
        <v>0</v>
      </c>
      <c r="BO24" s="997">
        <f t="shared" si="41"/>
        <v>0</v>
      </c>
      <c r="BP24" s="997">
        <f t="shared" si="4"/>
        <v>26636364.995581325</v>
      </c>
      <c r="BS24">
        <f t="shared" si="5"/>
        <v>0</v>
      </c>
      <c r="BT24">
        <f t="shared" si="6"/>
        <v>0</v>
      </c>
      <c r="BU24">
        <f t="shared" si="7"/>
        <v>0</v>
      </c>
      <c r="BV24">
        <f t="shared" si="42"/>
        <v>0</v>
      </c>
      <c r="BW24">
        <f t="shared" si="8"/>
        <v>0</v>
      </c>
      <c r="BY24" s="997">
        <f t="shared" si="9"/>
        <v>0</v>
      </c>
      <c r="BZ24" s="997">
        <f t="shared" si="10"/>
        <v>0</v>
      </c>
      <c r="CA24" s="997">
        <f t="shared" si="11"/>
        <v>0</v>
      </c>
      <c r="CB24" s="997">
        <f t="shared" si="43"/>
        <v>0</v>
      </c>
      <c r="CC24" s="997">
        <f t="shared" si="12"/>
        <v>0</v>
      </c>
      <c r="CD24" s="997">
        <f t="shared" si="13"/>
        <v>0</v>
      </c>
      <c r="CE24" s="997">
        <f t="shared" si="14"/>
        <v>0</v>
      </c>
      <c r="CF24" s="997">
        <f t="shared" si="15"/>
        <v>0</v>
      </c>
      <c r="CG24" s="997">
        <f t="shared" si="16"/>
        <v>0</v>
      </c>
      <c r="CH24" s="997">
        <f t="shared" si="17"/>
        <v>0</v>
      </c>
      <c r="CI24" s="997">
        <f t="shared" si="18"/>
        <v>0</v>
      </c>
      <c r="CJ24" s="997">
        <f t="shared" si="19"/>
        <v>0</v>
      </c>
      <c r="CK24" s="997"/>
      <c r="CL24" s="997"/>
      <c r="CM24" s="997">
        <f t="shared" si="20"/>
        <v>0</v>
      </c>
      <c r="CN24" s="997">
        <f t="shared" si="21"/>
        <v>26636364.995581325</v>
      </c>
      <c r="CO24" s="997">
        <f t="shared" si="22"/>
        <v>26636364.995581325</v>
      </c>
      <c r="CP24" s="997">
        <f t="shared" si="44"/>
        <v>53272729.99116265</v>
      </c>
      <c r="CQ24" s="997">
        <f t="shared" si="23"/>
        <v>-26636364.995581325</v>
      </c>
      <c r="CR24" s="997">
        <f>IFERROR(VLOOKUP($B24,SchumeiBituahYesodi!$C$6:$AA$100,8,FALSE),0)</f>
        <v>0</v>
      </c>
      <c r="CS24" s="997">
        <f>IFERROR(VLOOKUP($B24,PirteiKisuiBeMutzar_procerur!$C$6:$AA$100,2,FALSE),0)</f>
        <v>0</v>
      </c>
      <c r="CT24" s="997">
        <f>IFERROR(VLOOKUP($B24,PirteiKisuiBeMutzar_procerur!$C$6:$AA$100,3,FALSE),0)</f>
        <v>0</v>
      </c>
      <c r="CU24" s="997">
        <f>IFERROR(VLOOKUP($B24,PirteiKisuiBeMutzar_procerur!$C$6:$AA$100,4,FALSE),0)</f>
        <v>0</v>
      </c>
      <c r="CV24" s="997">
        <f>IFERROR(VLOOKUP($B24,PirteiKisuiBeMutzar_procerur!$C$6:$AA$100,5,FALSE),0)</f>
        <v>0</v>
      </c>
      <c r="CW24" s="997">
        <f>IFERROR(VLOOKUP($B24,PirteiKisuiBeMutzar_procerur!$C$6:$AA$100,6,FALSE),0)</f>
        <v>0</v>
      </c>
      <c r="CX24" s="997">
        <f>IFERROR(VLOOKUP($B24,PirteiKisuiBeMutzar_procerur!$C$6:$AA$100,7,FALSE),0)</f>
        <v>0</v>
      </c>
      <c r="CY24" s="997">
        <f>IFERROR(VLOOKUP($B24,PirteiKisuiBeMutzar_procerur!$C$6:$AA$100,8,FALSE),0)</f>
        <v>0</v>
      </c>
      <c r="CZ24" s="997">
        <f>IFERROR(VLOOKUP($B24,PirteiKisuiBeMutzar_procerur!$C$6:$AA$100,9,FALSE),0)</f>
        <v>0</v>
      </c>
      <c r="DA24" s="997">
        <f>IFERROR(VLOOKUP($B24,PirteiKisuiBeMutzar_procerur!$C$6:$AA$100,10,FALSE),0)</f>
        <v>0</v>
      </c>
      <c r="DB24" s="997">
        <f>IFERROR(VLOOKUP($B24,PirteiKisuiBeMutzar_procerur!$C$6:$AA$100,11,FALSE),0)</f>
        <v>0</v>
      </c>
      <c r="DC24" s="997">
        <f>IFERROR(VLOOKUP($B24,PirteiKisuiBeMutzarPrmia!$C$6:$Z$100,2,FALSE),0)</f>
        <v>0</v>
      </c>
      <c r="DD24" s="997">
        <f>IFERROR(VLOOKUP($B24,PirteiKisuiBeMutzarPrmia!$C$6:$Z$100,3,FALSE),0)</f>
        <v>0</v>
      </c>
      <c r="DE24" s="997">
        <f>IFERROR(VLOOKUP($B24,PirteiKisuiBeMutzarPrmia!$C$6:$Z$100,4,FALSE),0)</f>
        <v>0</v>
      </c>
      <c r="DF24" s="997">
        <f>IFERROR(VLOOKUP($B24,PirteiKisuiBeMutzarPrmia!$C$6:$Z$100,5,FALSE),0)</f>
        <v>0</v>
      </c>
      <c r="DG24" s="997">
        <f>IFERROR(VLOOKUP($B24,PirteiKisuiBeMutzarPrmia!$C$6:$Z$100,6,FALSE),0)</f>
        <v>0</v>
      </c>
      <c r="DH24" s="997">
        <f>IFERROR(VLOOKUP($B24,PirteiKisuiBeMutzarPrmia!$C$6:$Z$100,7,FALSE),0)</f>
        <v>0</v>
      </c>
      <c r="DI24" s="997">
        <f>IFERROR(VLOOKUP($B24,PirteiKisuiBeMutzarPrmia!$C$6:$Z$100,8,FALSE),0)</f>
        <v>0</v>
      </c>
      <c r="DJ24" s="997">
        <f>IFERROR(VLOOKUP($B24,PirteiKisuiBeMutzarPrmia!$C$6:$Z$100,9,FALSE),0)</f>
        <v>2519.2199999999998</v>
      </c>
      <c r="DK24" s="997">
        <f>IFERROR(VLOOKUP($B24,PirteiKisuiBeMutzarPrmia!$C$6:$Z$100,10,FALSE),0)</f>
        <v>0</v>
      </c>
      <c r="DL24" s="997">
        <f>IFERROR(VLOOKUP($B24,PirteiKisuiBeMutzarPrmia!$C$6:$Z$100,11,FALSE),0)</f>
        <v>0</v>
      </c>
      <c r="DM24" s="997">
        <f t="shared" si="24"/>
        <v>2519.2199999999998</v>
      </c>
      <c r="DN24" s="997">
        <f t="shared" si="25"/>
        <v>2519.2199999999998</v>
      </c>
      <c r="DO24" s="997">
        <f t="shared" si="26"/>
        <v>0</v>
      </c>
      <c r="DP24" s="997">
        <f t="shared" si="27"/>
        <v>0</v>
      </c>
      <c r="DQ24" s="997">
        <f t="shared" si="28"/>
        <v>0</v>
      </c>
      <c r="DR24" s="997">
        <f>IF(OR(L24=1,L24=3),IFERROR(VLOOKUP($B24,PerutHafkadotMetchilatShanaAvgM!$C$6:$G$100,3,FALSE),0),0)</f>
        <v>1261.5</v>
      </c>
      <c r="DS24" s="997">
        <f>IF(OR(L24=2,L24=4),IFERROR(VLOOKUP($B24,PerutHafkadotMetchilatShanaAvgM!$C$6:$G$100,3,FALSE),0),0)</f>
        <v>0</v>
      </c>
      <c r="DT24" s="997">
        <f>IFERROR(VLOOKUP($B24,PerutHafkadotMetchilatShanaAvgM!$C$6:$G$100,4,FALSE),0)</f>
        <v>1261.5</v>
      </c>
      <c r="DU24" s="997">
        <f>IFERROR(VLOOKUP($B24,Kupa!$D$6:$AA$100,5,FALSE),0)</f>
        <v>0</v>
      </c>
      <c r="DV24" s="997">
        <f>IFERROR(VLOOKUP($B24,Kupa!$D$6:$AA$100,6,FALSE),0)</f>
        <v>0</v>
      </c>
      <c r="DW24" s="997">
        <f>IFERROR(VLOOKUP($B24,KisuiBKerenPensiaDBWithParams!$D$6:$AP$100,9,FALSE),0)</f>
        <v>0</v>
      </c>
      <c r="DX24" s="997">
        <f>IFERROR(VLOOKUP($B24,KisuiBKerenPensiaDBWithParams!$D$6:$AP$100,12,FALSE),0)</f>
        <v>0</v>
      </c>
      <c r="DY24" s="997">
        <f>IFERROR(VLOOKUP($B24,KisuiBKerenPensiaDBWithParams!$D$6:$AP$100,13,FALSE),0)</f>
        <v>0</v>
      </c>
      <c r="DZ24" s="997">
        <f>IFERROR(VLOOKUP($B24,KisuiBKerenPensiaDBWithParams!$D$6:$AP$100,7,FALSE),0)</f>
        <v>0</v>
      </c>
      <c r="EA24" s="997">
        <f>IFERROR(VLOOKUP($B24,KisuiBKerenPensiaDBWithParams!$D$6:$AP$100,17,FALSE),0)</f>
        <v>0</v>
      </c>
      <c r="EB24" s="997">
        <f>IFERROR(VLOOKUP($B24,KisuiBKerenPensiaDBWithParams!$D$6:$AP$100,20,FALSE),0)</f>
        <v>0</v>
      </c>
      <c r="EC24" s="997">
        <f>IFERROR(VLOOKUP($B24,KisuiBKerenPensiaDBWithParams!$D$6:$AP$100,21,FALSE),0)</f>
        <v>0</v>
      </c>
      <c r="ED24" s="997">
        <f t="shared" si="45"/>
        <v>0</v>
      </c>
      <c r="EE24" s="997"/>
      <c r="EF24" s="1020">
        <f>IFERROR(VLOOKUP($B24,KisuiBKerenPensiaDBWithParams!$D$6:$AP$100,21,FALSE),0)</f>
        <v>0</v>
      </c>
      <c r="EG24" s="1020">
        <f>IFERROR(VLOOKUP($B24,KisuiBKerenPensiaDBWithParams!$D$6:$AP$100,21,FALSE),0)</f>
        <v>0</v>
      </c>
      <c r="EH24">
        <f>IF(OR(G24=MyData!$J$51,G24=MyData!$J$52,G24=MyData!$J$53),1,IF(G24=MyData!$J$50,2,0))</f>
        <v>1</v>
      </c>
      <c r="EI24">
        <f>IFERROR(VLOOKUP($B24,CrosstabPerutYitrotDB!$C$6:$N$50,3,FALSE),0)</f>
        <v>0</v>
      </c>
      <c r="EJ24">
        <f>IFERROR(VLOOKUP($B24,CrosstabPerutYitrotDB!$C$6:$N$50,4,FALSE),0)</f>
        <v>120220.1</v>
      </c>
      <c r="EK24">
        <f>IFERROR(VLOOKUP($B24,CrosstabPerutYitrotDB!$C$6:$N$50,5,FALSE),0)</f>
        <v>124185.85</v>
      </c>
      <c r="EL24">
        <f>IFERROR(VLOOKUP($B24,CrosstabPerutYitrotDB!$C$6:$N$50,6,FALSE),0)</f>
        <v>0</v>
      </c>
      <c r="EM24">
        <f>IFERROR(VLOOKUP($B24,CrosstabPerutYitrotDB!$C$6:$N$50,7,FALSE),0)</f>
        <v>0</v>
      </c>
      <c r="EN24">
        <f>IFERROR(VLOOKUP($B24,CrosstabPerutYitrotDB!$C$6:$N$50,8,FALSE),0)</f>
        <v>0</v>
      </c>
      <c r="EO24">
        <f>IFERROR(VLOOKUP($B24,CrosstabPerutYitrotDB!$C$6:$N$50,9,FALSE),0)</f>
        <v>0</v>
      </c>
      <c r="EP24">
        <f>IFERROR(VLOOKUP($B24,CrosstabPerutYitrotDB!$C$6:$N$50,10,FALSE),0)</f>
        <v>0</v>
      </c>
      <c r="EQ24">
        <f>IFERROR(VLOOKUP($B24,CrosstabPerutYitrotDB!$C$6:$N$50,11,FALSE),0)</f>
        <v>16042</v>
      </c>
    </row>
    <row r="25" spans="1:147" x14ac:dyDescent="0.2">
      <c r="A25">
        <f t="shared" si="46"/>
        <v>17</v>
      </c>
      <c r="B25" s="20" t="str">
        <f>RicusPolice!E22</f>
        <v>323405593</v>
      </c>
      <c r="C25" s="20" t="str">
        <f>RicusPolice!AL22</f>
        <v>פוליסת ביטוח חיים משולב חיסכון</v>
      </c>
      <c r="D25" s="20" t="str">
        <f>RicusPolice!F22</f>
        <v>מגדל</v>
      </c>
      <c r="E25" s="20" t="str">
        <f>RicusPolice!R22</f>
        <v>יותר</v>
      </c>
      <c r="F25" s="20" t="str">
        <f>RicusPolice!N22</f>
        <v>מוקפא</v>
      </c>
      <c r="G25" s="20" t="str">
        <f>IFERROR(VLOOKUP($B25,PerutYitrot!$D$6:$P$100,4,FALSE),0)</f>
        <v>קצבה משלמת</v>
      </c>
      <c r="H25" s="20" t="str">
        <f t="shared" si="29"/>
        <v>קצבה משלמת</v>
      </c>
      <c r="I25" s="20" t="str">
        <f>RicusPolice!L22</f>
        <v>עדיף</v>
      </c>
      <c r="J25" s="179" t="str">
        <f>IFERROR(VLOOKUP(TRIM(K25),MyData!$J$44:$K$50,2,FALSE),0)</f>
        <v>(מ)</v>
      </c>
      <c r="K25" s="20" t="str">
        <f>RicusPolice!M22</f>
        <v>שכיר</v>
      </c>
      <c r="L25" s="20">
        <f>RicusPolice!AM22</f>
        <v>1</v>
      </c>
      <c r="M25" s="20">
        <f>IF(B25&gt;0,RicusPolice!Y22," ")</f>
        <v>2</v>
      </c>
      <c r="N25" s="20" t="str">
        <f t="shared" si="30"/>
        <v>משתתף ברווחים</v>
      </c>
      <c r="O25" s="20" t="str">
        <f>RicusPolice!N22</f>
        <v>מוקפא</v>
      </c>
      <c r="P25" s="20" t="str">
        <f>IFERROR(VLOOKUP(B25,PerutMasluleiHashkaa!$D$6:$R$100,4,FALSE),0)</f>
        <v>קרן ו'</v>
      </c>
      <c r="Q25" s="19"/>
      <c r="R25" s="1011">
        <f>IF(B25&gt;0,RicusPolice!P24," ")</f>
        <v>0</v>
      </c>
      <c r="S25" s="20">
        <f>IFERROR(VLOOKUP($B25,'נתונים ידניים'!$B$9:$G$51,6,FALSE),0)</f>
        <v>2.5</v>
      </c>
      <c r="T25" s="21">
        <f>'נתונים ידניים'!J26</f>
        <v>0</v>
      </c>
      <c r="U25" s="21">
        <f>'נתונים ידניים'!K26</f>
        <v>0</v>
      </c>
      <c r="V25" s="20">
        <f>IFERROR(VLOOKUP($B25,PerutHafrashotLePolisa!$D$6:$N$50,2,FALSE),0)</f>
        <v>0</v>
      </c>
      <c r="W25" s="20">
        <f>IFERROR(VLOOKUP($B25,PerutHafrashotLePolisa!$D$6:$N$50,4,FALSE),0)</f>
        <v>5</v>
      </c>
      <c r="X25" s="20">
        <f>IFERROR(VLOOKUP($B25,PerutHafrashotLePolisa!$D$6:$N$50,3,FALSE),0)</f>
        <v>5</v>
      </c>
      <c r="Y25">
        <f t="shared" si="31"/>
        <v>10</v>
      </c>
      <c r="Z25">
        <f>RicusPolice!AP22</f>
        <v>0</v>
      </c>
      <c r="AA25">
        <f>IFERROR(VLOOKUP(B25,PirteiHaasaka!$D$6:$R$100,5,FALSE),0)</f>
        <v>0</v>
      </c>
      <c r="AC25">
        <f>IFERROR(VLOOKUP(B25,HafkadotMetchilatShanaAverages!$D$6:$E$100,2,FALSE),0)</f>
        <v>0</v>
      </c>
      <c r="AF25">
        <f>'נתונים ידניים'!L26</f>
        <v>0</v>
      </c>
      <c r="AG25">
        <f>IFERROR(VLOOKUP(B25,CrossTabYitraLeTkufa_till_2000!$D$6:$AB$100,6,FALSE),0)+IFERROR(VLOOKUP(B25,CrossTabYitraLeTkufa_after_2000!$D$6:$AB$100,6,FALSE),0)</f>
        <v>0</v>
      </c>
      <c r="AH25">
        <f>IFERROR(VLOOKUP(B25,CrossTabYitraLeTkufa_till_2000!$D$6:$AB$100,16,FALSE),0)</f>
        <v>0</v>
      </c>
      <c r="AI25">
        <f>IFERROR(VLOOKUP(B25,CrossTabYitraLeTkufa_after_2000!$D$6:$AB$100,16,FALSE),0)</f>
        <v>0</v>
      </c>
      <c r="AJ25">
        <f>IFERROR(VLOOKUP(B25,CrossTabYitraLeTkufa_till_2000!$D$6:$AB$100,17,FALSE),0)</f>
        <v>0</v>
      </c>
      <c r="AK25">
        <f>IFERROR(VLOOKUP(B25,CrossTabYitraLeTkufa_after_2000!$D$6:$AB$100,17,FALSE),0)</f>
        <v>0</v>
      </c>
      <c r="AL25" s="5">
        <f t="shared" si="32"/>
        <v>0</v>
      </c>
      <c r="AO25">
        <f>IFERROR(VLOOKUP(B25,PirteiKisuiBeMutzar_procerur!$C$6:$AA$100,2,FALSE),0)</f>
        <v>0</v>
      </c>
      <c r="AQ25">
        <f>IFERROR(VLOOKUP($B25,PirteiKisuiBeMutzar_procerur!$C$6:$AA$100,5,FALSE),0)</f>
        <v>0</v>
      </c>
      <c r="AR25">
        <f>IFERROR(VLOOKUP($B25,PirteiKisuiBeMutzar_procerur!$C$6:$AA$100,3,FALSE),0)</f>
        <v>0</v>
      </c>
      <c r="AS25">
        <f>IFERROR(VLOOKUP($B25,PirteiKisuiBeMutzar_procerur!$C$6:$AA$100,6,FALSE),0)</f>
        <v>0</v>
      </c>
      <c r="AT25">
        <f>IFERROR(VLOOKUP($B25,PirteiKisuiBeMutzar_procerur!$C$6:$AA$100,7,FALSE),0)</f>
        <v>0</v>
      </c>
      <c r="AX25" s="997">
        <f t="shared" si="33"/>
        <v>0</v>
      </c>
      <c r="AY25" s="997">
        <f t="shared" si="34"/>
        <v>0</v>
      </c>
      <c r="AZ25" s="997">
        <f t="shared" si="35"/>
        <v>0</v>
      </c>
      <c r="BA25" s="997">
        <f>IFERROR(FV(S25/100/12,'נתוני יסוד'!$B$16*12,AX25,AG25)*(-1),0)</f>
        <v>0</v>
      </c>
      <c r="BB25" s="997">
        <f>IFERROR(FV(S25/100/12,'נתוני יסוד'!$B$16*12,0,AH25)*(-1),0)</f>
        <v>0</v>
      </c>
      <c r="BC25" s="997">
        <f>IFERROR(FV(S25/100/12,'נתוני יסוד'!$B$16*12,AY25,AI25)*(-1),0)</f>
        <v>0</v>
      </c>
      <c r="BD25" s="997">
        <f>IFERROR(FV(S25/100/12,'נתוני יסוד'!$B$16*12,0,AJ25)*(-1),0)</f>
        <v>0</v>
      </c>
      <c r="BE25" s="997">
        <f>IFERROR(FV(S25/100/12,'נתוני יסוד'!$B$16*12,AZ25,AK25)*(-1),0)</f>
        <v>0</v>
      </c>
      <c r="BF25" s="997">
        <f t="shared" si="36"/>
        <v>0</v>
      </c>
      <c r="BG25" s="997">
        <f>IFERROR(FV(S25/100/12,'נתוני יסוד'!$B$16*12,AF25,AL25)*(-1),0)</f>
        <v>0</v>
      </c>
      <c r="BH25" s="997">
        <f t="shared" si="37"/>
        <v>0</v>
      </c>
      <c r="BI25" s="997">
        <f t="shared" si="38"/>
        <v>0</v>
      </c>
      <c r="BJ25" s="997">
        <f t="shared" si="39"/>
        <v>0</v>
      </c>
      <c r="BK25" s="997">
        <f t="shared" si="40"/>
        <v>0</v>
      </c>
      <c r="BL25" s="997">
        <f t="shared" si="1"/>
        <v>0</v>
      </c>
      <c r="BM25" s="997">
        <f t="shared" si="2"/>
        <v>0</v>
      </c>
      <c r="BN25" s="997">
        <f t="shared" si="3"/>
        <v>0</v>
      </c>
      <c r="BO25" s="997">
        <f t="shared" si="41"/>
        <v>0</v>
      </c>
      <c r="BP25" s="997">
        <f t="shared" si="4"/>
        <v>0</v>
      </c>
      <c r="BS25">
        <f t="shared" si="5"/>
        <v>0</v>
      </c>
      <c r="BT25">
        <f t="shared" si="6"/>
        <v>0</v>
      </c>
      <c r="BU25">
        <f t="shared" si="7"/>
        <v>0</v>
      </c>
      <c r="BV25">
        <f t="shared" si="42"/>
        <v>0</v>
      </c>
      <c r="BW25">
        <f t="shared" si="8"/>
        <v>0</v>
      </c>
      <c r="BY25" s="997">
        <f t="shared" si="9"/>
        <v>0</v>
      </c>
      <c r="BZ25" s="997">
        <f t="shared" si="10"/>
        <v>0</v>
      </c>
      <c r="CA25" s="997">
        <f t="shared" si="11"/>
        <v>0</v>
      </c>
      <c r="CB25" s="997">
        <f t="shared" si="43"/>
        <v>0</v>
      </c>
      <c r="CC25" s="997">
        <f t="shared" si="12"/>
        <v>0</v>
      </c>
      <c r="CD25" s="997">
        <f t="shared" si="13"/>
        <v>0</v>
      </c>
      <c r="CE25" s="997">
        <f t="shared" si="14"/>
        <v>0</v>
      </c>
      <c r="CF25" s="997">
        <f t="shared" si="15"/>
        <v>0</v>
      </c>
      <c r="CG25" s="997">
        <f t="shared" si="16"/>
        <v>0</v>
      </c>
      <c r="CH25" s="997">
        <f t="shared" si="17"/>
        <v>0</v>
      </c>
      <c r="CI25" s="997">
        <f t="shared" si="18"/>
        <v>0</v>
      </c>
      <c r="CJ25" s="997">
        <f t="shared" si="19"/>
        <v>0</v>
      </c>
      <c r="CK25" s="997"/>
      <c r="CL25" s="997"/>
      <c r="CM25" s="997">
        <f t="shared" si="20"/>
        <v>0</v>
      </c>
      <c r="CN25" s="997">
        <f t="shared" si="21"/>
        <v>0</v>
      </c>
      <c r="CO25" s="997">
        <f t="shared" si="22"/>
        <v>0</v>
      </c>
      <c r="CP25" s="997">
        <f t="shared" si="44"/>
        <v>0</v>
      </c>
      <c r="CQ25" s="997">
        <f t="shared" si="23"/>
        <v>0</v>
      </c>
      <c r="CR25" s="997">
        <f>IFERROR(VLOOKUP($B25,SchumeiBituahYesodi!$C$6:$AA$100,8,FALSE),0)</f>
        <v>0</v>
      </c>
      <c r="CS25" s="997">
        <f>IFERROR(VLOOKUP($B25,PirteiKisuiBeMutzar_procerur!$C$6:$AA$100,2,FALSE),0)</f>
        <v>0</v>
      </c>
      <c r="CT25" s="997">
        <f>IFERROR(VLOOKUP($B25,PirteiKisuiBeMutzar_procerur!$C$6:$AA$100,3,FALSE),0)</f>
        <v>0</v>
      </c>
      <c r="CU25" s="997">
        <f>IFERROR(VLOOKUP($B25,PirteiKisuiBeMutzar_procerur!$C$6:$AA$100,4,FALSE),0)</f>
        <v>0</v>
      </c>
      <c r="CV25" s="997">
        <f>IFERROR(VLOOKUP($B25,PirteiKisuiBeMutzar_procerur!$C$6:$AA$100,5,FALSE),0)</f>
        <v>0</v>
      </c>
      <c r="CW25" s="997">
        <f>IFERROR(VLOOKUP($B25,PirteiKisuiBeMutzar_procerur!$C$6:$AA$100,6,FALSE),0)</f>
        <v>0</v>
      </c>
      <c r="CX25" s="997">
        <f>IFERROR(VLOOKUP($B25,PirteiKisuiBeMutzar_procerur!$C$6:$AA$100,7,FALSE),0)</f>
        <v>0</v>
      </c>
      <c r="CY25" s="997">
        <f>IFERROR(VLOOKUP($B25,PirteiKisuiBeMutzar_procerur!$C$6:$AA$100,8,FALSE),0)</f>
        <v>0</v>
      </c>
      <c r="CZ25" s="997">
        <f>IFERROR(VLOOKUP($B25,PirteiKisuiBeMutzar_procerur!$C$6:$AA$100,9,FALSE),0)</f>
        <v>0</v>
      </c>
      <c r="DA25" s="997">
        <f>IFERROR(VLOOKUP($B25,PirteiKisuiBeMutzar_procerur!$C$6:$AA$100,10,FALSE),0)</f>
        <v>0</v>
      </c>
      <c r="DB25" s="997">
        <f>IFERROR(VLOOKUP($B25,PirteiKisuiBeMutzar_procerur!$C$6:$AA$100,11,FALSE),0)</f>
        <v>0</v>
      </c>
      <c r="DC25" s="997">
        <f>IFERROR(VLOOKUP($B25,PirteiKisuiBeMutzarPrmia!$C$6:$Z$100,2,FALSE),0)</f>
        <v>0</v>
      </c>
      <c r="DD25" s="997">
        <f>IFERROR(VLOOKUP($B25,PirteiKisuiBeMutzarPrmia!$C$6:$Z$100,3,FALSE),0)</f>
        <v>0</v>
      </c>
      <c r="DE25" s="997">
        <f>IFERROR(VLOOKUP($B25,PirteiKisuiBeMutzarPrmia!$C$6:$Z$100,4,FALSE),0)</f>
        <v>0</v>
      </c>
      <c r="DF25" s="997">
        <f>IFERROR(VLOOKUP($B25,PirteiKisuiBeMutzarPrmia!$C$6:$Z$100,5,FALSE),0)</f>
        <v>0</v>
      </c>
      <c r="DG25" s="997">
        <f>IFERROR(VLOOKUP($B25,PirteiKisuiBeMutzarPrmia!$C$6:$Z$100,6,FALSE),0)</f>
        <v>0</v>
      </c>
      <c r="DH25" s="997">
        <f>IFERROR(VLOOKUP($B25,PirteiKisuiBeMutzarPrmia!$C$6:$Z$100,7,FALSE),0)</f>
        <v>0</v>
      </c>
      <c r="DI25" s="997">
        <f>IFERROR(VLOOKUP($B25,PirteiKisuiBeMutzarPrmia!$C$6:$Z$100,8,FALSE),0)</f>
        <v>0</v>
      </c>
      <c r="DJ25" s="997">
        <f>IFERROR(VLOOKUP($B25,PirteiKisuiBeMutzarPrmia!$C$6:$Z$100,9,FALSE),0)</f>
        <v>0</v>
      </c>
      <c r="DK25" s="997">
        <f>IFERROR(VLOOKUP($B25,PirteiKisuiBeMutzarPrmia!$C$6:$Z$100,10,FALSE),0)</f>
        <v>0</v>
      </c>
      <c r="DL25" s="997">
        <f>IFERROR(VLOOKUP($B25,PirteiKisuiBeMutzarPrmia!$C$6:$Z$100,11,FALSE),0)</f>
        <v>0</v>
      </c>
      <c r="DM25" s="997">
        <f t="shared" si="24"/>
        <v>0</v>
      </c>
      <c r="DN25" s="997">
        <f t="shared" si="25"/>
        <v>0</v>
      </c>
      <c r="DO25" s="997">
        <f t="shared" si="26"/>
        <v>0</v>
      </c>
      <c r="DP25" s="997">
        <f t="shared" si="27"/>
        <v>0</v>
      </c>
      <c r="DQ25" s="997">
        <f t="shared" si="28"/>
        <v>0</v>
      </c>
      <c r="DR25" s="997">
        <f>IF(OR(L25=1,L25=3),IFERROR(VLOOKUP($B25,PerutHafkadotMetchilatShanaAvgM!$C$6:$G$100,3,FALSE),0),0)</f>
        <v>0</v>
      </c>
      <c r="DS25" s="997">
        <f>IF(OR(L25=2,L25=4),IFERROR(VLOOKUP($B25,PerutHafkadotMetchilatShanaAvgM!$C$6:$G$100,3,FALSE),0),0)</f>
        <v>0</v>
      </c>
      <c r="DT25" s="997">
        <f>IFERROR(VLOOKUP($B25,PerutHafkadotMetchilatShanaAvgM!$C$6:$G$100,4,FALSE),0)</f>
        <v>0</v>
      </c>
      <c r="DU25" s="997">
        <f>IFERROR(VLOOKUP($B25,Kupa!$D$6:$AA$100,5,FALSE),0)</f>
        <v>0</v>
      </c>
      <c r="DV25" s="997">
        <f>IFERROR(VLOOKUP($B25,Kupa!$D$6:$AA$100,6,FALSE),0)</f>
        <v>0</v>
      </c>
      <c r="DW25" s="997">
        <f>IFERROR(VLOOKUP($B25,KisuiBKerenPensiaDBWithParams!$D$6:$AP$100,9,FALSE),0)</f>
        <v>0</v>
      </c>
      <c r="DX25" s="997">
        <f>IFERROR(VLOOKUP($B25,KisuiBKerenPensiaDBWithParams!$D$6:$AP$100,12,FALSE),0)</f>
        <v>0</v>
      </c>
      <c r="DY25" s="997">
        <f>IFERROR(VLOOKUP($B25,KisuiBKerenPensiaDBWithParams!$D$6:$AP$100,13,FALSE),0)</f>
        <v>0</v>
      </c>
      <c r="DZ25" s="997">
        <f>IFERROR(VLOOKUP($B25,KisuiBKerenPensiaDBWithParams!$D$6:$AP$100,7,FALSE),0)</f>
        <v>0</v>
      </c>
      <c r="EA25" s="997">
        <f>IFERROR(VLOOKUP($B25,KisuiBKerenPensiaDBWithParams!$D$6:$AP$100,17,FALSE),0)</f>
        <v>0</v>
      </c>
      <c r="EB25" s="997">
        <f>IFERROR(VLOOKUP($B25,KisuiBKerenPensiaDBWithParams!$D$6:$AP$100,20,FALSE),0)</f>
        <v>0</v>
      </c>
      <c r="EC25" s="997">
        <f>IFERROR(VLOOKUP($B25,KisuiBKerenPensiaDBWithParams!$D$6:$AP$100,21,FALSE),0)</f>
        <v>0</v>
      </c>
      <c r="ED25" s="997">
        <f t="shared" si="45"/>
        <v>0</v>
      </c>
      <c r="EE25" s="997"/>
      <c r="EF25" s="1020">
        <f>IFERROR(VLOOKUP($B25,KisuiBKerenPensiaDBWithParams!$D$6:$AP$100,21,FALSE),0)</f>
        <v>0</v>
      </c>
      <c r="EG25" s="1020">
        <f>IFERROR(VLOOKUP($B25,KisuiBKerenPensiaDBWithParams!$D$6:$AP$100,21,FALSE),0)</f>
        <v>0</v>
      </c>
      <c r="EH25">
        <f>IF(OR(G25=MyData!$J$51,G25=MyData!$J$52,G25=MyData!$J$53),1,IF(G25=MyData!$J$50,2,0))</f>
        <v>1</v>
      </c>
      <c r="EI25">
        <f>IFERROR(VLOOKUP($B25,CrosstabPerutYitrotDB!$C$6:$N$50,3,FALSE),0)</f>
        <v>0</v>
      </c>
      <c r="EJ25">
        <f>IFERROR(VLOOKUP($B25,CrosstabPerutYitrotDB!$C$6:$N$50,4,FALSE),0)</f>
        <v>6395</v>
      </c>
      <c r="EK25">
        <f>IFERROR(VLOOKUP($B25,CrosstabPerutYitrotDB!$C$6:$N$50,5,FALSE),0)</f>
        <v>6395</v>
      </c>
      <c r="EL25">
        <f>IFERROR(VLOOKUP($B25,CrosstabPerutYitrotDB!$C$6:$N$50,6,FALSE),0)</f>
        <v>0</v>
      </c>
      <c r="EM25">
        <f>IFERROR(VLOOKUP($B25,CrosstabPerutYitrotDB!$C$6:$N$50,7,FALSE),0)</f>
        <v>0</v>
      </c>
      <c r="EN25">
        <f>IFERROR(VLOOKUP($B25,CrosstabPerutYitrotDB!$C$6:$N$50,8,FALSE),0)</f>
        <v>0</v>
      </c>
      <c r="EO25">
        <f>IFERROR(VLOOKUP($B25,CrosstabPerutYitrotDB!$C$6:$N$50,9,FALSE),0)</f>
        <v>0</v>
      </c>
      <c r="EP25">
        <f>IFERROR(VLOOKUP($B25,CrosstabPerutYitrotDB!$C$6:$N$50,10,FALSE),0)</f>
        <v>0</v>
      </c>
      <c r="EQ25">
        <f>IFERROR(VLOOKUP($B25,CrosstabPerutYitrotDB!$C$6:$N$50,11,FALSE),0)</f>
        <v>0</v>
      </c>
    </row>
    <row r="26" spans="1:147" x14ac:dyDescent="0.2">
      <c r="A26">
        <f t="shared" si="46"/>
        <v>18</v>
      </c>
      <c r="B26" s="20" t="str">
        <f>RicusPolice!E23</f>
        <v>056078603</v>
      </c>
      <c r="C26" s="20" t="str">
        <f>RicusPolice!AL23</f>
        <v>קרן פנסיה</v>
      </c>
      <c r="D26" s="20" t="str">
        <f>RicusPolice!F23</f>
        <v>מבטחים מוסד לביטוח סוציאלי של העובדים</v>
      </c>
      <c r="E26" s="20" t="str">
        <f>RicusPolice!R23</f>
        <v>מקיפה</v>
      </c>
      <c r="F26" s="20" t="str">
        <f>RicusPolice!N23</f>
        <v>פעיל</v>
      </c>
      <c r="G26" s="20" t="str">
        <f>IFERROR(VLOOKUP($B26,PerutYitrot!$D$6:$P$100,4,FALSE),0)</f>
        <v>קצבה משלמת</v>
      </c>
      <c r="H26" s="20" t="str">
        <f t="shared" si="29"/>
        <v>קצבה משלמת</v>
      </c>
      <c r="I26" s="20">
        <f>RicusPolice!L23</f>
        <v>0</v>
      </c>
      <c r="J26" s="179" t="str">
        <f>IFERROR(VLOOKUP(TRIM(K26),MyData!$J$44:$K$50,2,FALSE),0)</f>
        <v>(מ)</v>
      </c>
      <c r="K26" s="20" t="str">
        <f>RicusPolice!M23</f>
        <v>שכיר</v>
      </c>
      <c r="L26" s="20">
        <f>RicusPolice!AM23</f>
        <v>1</v>
      </c>
      <c r="M26" s="20">
        <f>IF(B26&gt;0,RicusPolice!Y23," ")</f>
        <v>2</v>
      </c>
      <c r="N26" s="20" t="str">
        <f t="shared" si="30"/>
        <v>משתתף ברווחים</v>
      </c>
      <c r="O26" s="20" t="str">
        <f>RicusPolice!N23</f>
        <v>פעיל</v>
      </c>
      <c r="P26" s="20">
        <f>IFERROR(VLOOKUP(B26,PerutMasluleiHashkaa!$D$6:$R$100,4,FALSE),0)</f>
        <v>0</v>
      </c>
      <c r="Q26" s="19"/>
      <c r="R26" s="1011">
        <f>IF(B26&gt;0,RicusPolice!P25," ")</f>
        <v>0</v>
      </c>
      <c r="S26" s="20">
        <f>IFERROR(VLOOKUP($B26,'נתונים ידניים'!$B$9:$G$51,6,FALSE),0)</f>
        <v>4</v>
      </c>
      <c r="T26" s="21">
        <f>'נתונים ידניים'!J27</f>
        <v>0</v>
      </c>
      <c r="U26" s="21">
        <f>'נתונים ידניים'!K27</f>
        <v>0</v>
      </c>
      <c r="V26" s="20">
        <f>IFERROR(VLOOKUP($B26,PerutHafrashotLePolisa!$D$6:$N$50,2,FALSE),0)</f>
        <v>0</v>
      </c>
      <c r="W26" s="20">
        <f>IFERROR(VLOOKUP($B26,PerutHafrashotLePolisa!$D$6:$N$50,4,FALSE),0)</f>
        <v>0</v>
      </c>
      <c r="X26" s="20">
        <f>IFERROR(VLOOKUP($B26,PerutHafrashotLePolisa!$D$6:$N$50,3,FALSE),0)</f>
        <v>0</v>
      </c>
      <c r="Y26">
        <f t="shared" si="31"/>
        <v>0</v>
      </c>
      <c r="Z26">
        <f>RicusPolice!AP23</f>
        <v>4010.17</v>
      </c>
      <c r="AA26">
        <f>IFERROR(VLOOKUP(B26,PirteiHaasaka!$D$6:$R$100,5,FALSE),0)</f>
        <v>19502.36</v>
      </c>
      <c r="AC26">
        <f>IFERROR(VLOOKUP(B26,HafkadotMetchilatShanaAverages!$D$6:$E$100,2,FALSE),0)</f>
        <v>0</v>
      </c>
      <c r="AF26">
        <f>'נתונים ידניים'!L27</f>
        <v>0</v>
      </c>
      <c r="AG26">
        <f>IFERROR(VLOOKUP(B26,CrossTabYitraLeTkufa_till_2000!$D$6:$AB$100,6,FALSE),0)+IFERROR(VLOOKUP(B26,CrossTabYitraLeTkufa_after_2000!$D$6:$AB$100,6,FALSE),0)</f>
        <v>0</v>
      </c>
      <c r="AH26">
        <f>IFERROR(VLOOKUP(B26,CrossTabYitraLeTkufa_till_2000!$D$6:$AB$100,16,FALSE),0)</f>
        <v>0</v>
      </c>
      <c r="AI26">
        <f>IFERROR(VLOOKUP(B26,CrossTabYitraLeTkufa_after_2000!$D$6:$AB$100,16,FALSE),0)</f>
        <v>0</v>
      </c>
      <c r="AJ26">
        <f>IFERROR(VLOOKUP(B26,CrossTabYitraLeTkufa_till_2000!$D$6:$AB$100,17,FALSE),0)</f>
        <v>0</v>
      </c>
      <c r="AK26">
        <f>IFERROR(VLOOKUP(B26,CrossTabYitraLeTkufa_after_2000!$D$6:$AB$100,17,FALSE),0)</f>
        <v>0</v>
      </c>
      <c r="AL26" s="5">
        <f t="shared" si="32"/>
        <v>0</v>
      </c>
      <c r="AO26">
        <f>IFERROR(VLOOKUP(B26,PirteiKisuiBeMutzar_procerur!$C$6:$AA$100,2,FALSE),0)</f>
        <v>0</v>
      </c>
      <c r="AQ26">
        <f>IFERROR(VLOOKUP($B26,PirteiKisuiBeMutzar_procerur!$C$6:$AA$100,5,FALSE),0)</f>
        <v>0</v>
      </c>
      <c r="AR26">
        <f>IFERROR(VLOOKUP($B26,PirteiKisuiBeMutzar_procerur!$C$6:$AA$100,3,FALSE),0)</f>
        <v>0</v>
      </c>
      <c r="AS26">
        <f>IFERROR(VLOOKUP($B26,PirteiKisuiBeMutzar_procerur!$C$6:$AA$100,6,FALSE),0)</f>
        <v>0</v>
      </c>
      <c r="AT26">
        <f>IFERROR(VLOOKUP($B26,PirteiKisuiBeMutzar_procerur!$C$6:$AA$100,7,FALSE),0)</f>
        <v>0</v>
      </c>
      <c r="AX26" s="997">
        <f t="shared" si="33"/>
        <v>0</v>
      </c>
      <c r="AY26" s="997">
        <f t="shared" si="34"/>
        <v>0</v>
      </c>
      <c r="AZ26" s="997">
        <f t="shared" si="35"/>
        <v>0</v>
      </c>
      <c r="BA26" s="997">
        <f>IFERROR(FV(S26/100/12,'נתוני יסוד'!$B$16*12,AX26,AG26)*(-1),0)</f>
        <v>0</v>
      </c>
      <c r="BB26" s="997">
        <f>IFERROR(FV(S26/100/12,'נתוני יסוד'!$B$16*12,0,AH26)*(-1),0)</f>
        <v>0</v>
      </c>
      <c r="BC26" s="997">
        <f>IFERROR(FV(S26/100/12,'נתוני יסוד'!$B$16*12,AY26,AI26)*(-1),0)</f>
        <v>0</v>
      </c>
      <c r="BD26" s="997">
        <f>IFERROR(FV(S26/100/12,'נתוני יסוד'!$B$16*12,0,AJ26)*(-1),0)</f>
        <v>0</v>
      </c>
      <c r="BE26" s="997">
        <f>IFERROR(FV(S26/100/12,'נתוני יסוד'!$B$16*12,AZ26,AK26)*(-1),0)</f>
        <v>0</v>
      </c>
      <c r="BF26" s="997">
        <f t="shared" si="36"/>
        <v>0</v>
      </c>
      <c r="BG26" s="997">
        <f>IFERROR(FV(S26/100/12,'נתוני יסוד'!$B$16*12,AF26,AL26)*(-1),0)</f>
        <v>0</v>
      </c>
      <c r="BH26" s="997">
        <f t="shared" si="37"/>
        <v>0</v>
      </c>
      <c r="BI26" s="997">
        <f t="shared" si="38"/>
        <v>0</v>
      </c>
      <c r="BJ26" s="997">
        <f t="shared" si="39"/>
        <v>0</v>
      </c>
      <c r="BK26" s="997">
        <f t="shared" si="40"/>
        <v>0</v>
      </c>
      <c r="BL26" s="997">
        <f t="shared" si="1"/>
        <v>0</v>
      </c>
      <c r="BM26" s="997">
        <f t="shared" si="2"/>
        <v>0</v>
      </c>
      <c r="BN26" s="997">
        <f t="shared" si="3"/>
        <v>0</v>
      </c>
      <c r="BO26" s="997">
        <f t="shared" si="41"/>
        <v>0</v>
      </c>
      <c r="BP26" s="997">
        <f t="shared" si="4"/>
        <v>0</v>
      </c>
      <c r="BS26">
        <f t="shared" si="5"/>
        <v>0</v>
      </c>
      <c r="BT26">
        <f t="shared" si="6"/>
        <v>0</v>
      </c>
      <c r="BU26">
        <f t="shared" si="7"/>
        <v>0</v>
      </c>
      <c r="BV26">
        <f t="shared" si="42"/>
        <v>0</v>
      </c>
      <c r="BW26">
        <f t="shared" si="8"/>
        <v>0</v>
      </c>
      <c r="BY26" s="997">
        <f t="shared" si="9"/>
        <v>0</v>
      </c>
      <c r="BZ26" s="997">
        <f t="shared" si="10"/>
        <v>0</v>
      </c>
      <c r="CA26" s="997">
        <f t="shared" si="11"/>
        <v>0</v>
      </c>
      <c r="CB26" s="997">
        <f t="shared" si="43"/>
        <v>0</v>
      </c>
      <c r="CC26" s="997">
        <f t="shared" si="12"/>
        <v>0</v>
      </c>
      <c r="CD26" s="997">
        <f t="shared" si="13"/>
        <v>0</v>
      </c>
      <c r="CE26" s="997">
        <f t="shared" si="14"/>
        <v>0</v>
      </c>
      <c r="CF26" s="997">
        <f t="shared" si="15"/>
        <v>0</v>
      </c>
      <c r="CG26" s="997">
        <f t="shared" si="16"/>
        <v>0</v>
      </c>
      <c r="CH26" s="997">
        <f t="shared" si="17"/>
        <v>0</v>
      </c>
      <c r="CI26" s="997">
        <f t="shared" si="18"/>
        <v>0</v>
      </c>
      <c r="CJ26" s="997">
        <f t="shared" si="19"/>
        <v>0</v>
      </c>
      <c r="CK26" s="997"/>
      <c r="CL26" s="997"/>
      <c r="CM26" s="997">
        <f t="shared" si="20"/>
        <v>0</v>
      </c>
      <c r="CN26" s="997">
        <f t="shared" si="21"/>
        <v>0</v>
      </c>
      <c r="CO26" s="997">
        <f t="shared" si="22"/>
        <v>0</v>
      </c>
      <c r="CP26" s="997">
        <f t="shared" si="44"/>
        <v>0</v>
      </c>
      <c r="CQ26" s="997">
        <f t="shared" si="23"/>
        <v>0</v>
      </c>
      <c r="CR26" s="997">
        <f>IFERROR(VLOOKUP($B26,SchumeiBituahYesodi!$C$6:$AA$100,8,FALSE),0)</f>
        <v>0</v>
      </c>
      <c r="CS26" s="997">
        <f>IFERROR(VLOOKUP($B26,PirteiKisuiBeMutzar_procerur!$C$6:$AA$100,2,FALSE),0)</f>
        <v>0</v>
      </c>
      <c r="CT26" s="997">
        <f>IFERROR(VLOOKUP($B26,PirteiKisuiBeMutzar_procerur!$C$6:$AA$100,3,FALSE),0)</f>
        <v>0</v>
      </c>
      <c r="CU26" s="997">
        <f>IFERROR(VLOOKUP($B26,PirteiKisuiBeMutzar_procerur!$C$6:$AA$100,4,FALSE),0)</f>
        <v>0</v>
      </c>
      <c r="CV26" s="997">
        <f>IFERROR(VLOOKUP($B26,PirteiKisuiBeMutzar_procerur!$C$6:$AA$100,5,FALSE),0)</f>
        <v>0</v>
      </c>
      <c r="CW26" s="997">
        <f>IFERROR(VLOOKUP($B26,PirteiKisuiBeMutzar_procerur!$C$6:$AA$100,6,FALSE),0)</f>
        <v>0</v>
      </c>
      <c r="CX26" s="997">
        <f>IFERROR(VLOOKUP($B26,PirteiKisuiBeMutzar_procerur!$C$6:$AA$100,7,FALSE),0)</f>
        <v>0</v>
      </c>
      <c r="CY26" s="997">
        <f>IFERROR(VLOOKUP($B26,PirteiKisuiBeMutzar_procerur!$C$6:$AA$100,8,FALSE),0)</f>
        <v>0</v>
      </c>
      <c r="CZ26" s="997">
        <f>IFERROR(VLOOKUP($B26,PirteiKisuiBeMutzar_procerur!$C$6:$AA$100,9,FALSE),0)</f>
        <v>0</v>
      </c>
      <c r="DA26" s="997">
        <f>IFERROR(VLOOKUP($B26,PirteiKisuiBeMutzar_procerur!$C$6:$AA$100,10,FALSE),0)</f>
        <v>0</v>
      </c>
      <c r="DB26" s="997">
        <f>IFERROR(VLOOKUP($B26,PirteiKisuiBeMutzar_procerur!$C$6:$AA$100,11,FALSE),0)</f>
        <v>0</v>
      </c>
      <c r="DC26" s="997">
        <f>IFERROR(VLOOKUP($B26,PirteiKisuiBeMutzarPrmia!$C$6:$Z$100,2,FALSE),0)</f>
        <v>0</v>
      </c>
      <c r="DD26" s="997">
        <f>IFERROR(VLOOKUP($B26,PirteiKisuiBeMutzarPrmia!$C$6:$Z$100,3,FALSE),0)</f>
        <v>0</v>
      </c>
      <c r="DE26" s="997">
        <f>IFERROR(VLOOKUP($B26,PirteiKisuiBeMutzarPrmia!$C$6:$Z$100,4,FALSE),0)</f>
        <v>0</v>
      </c>
      <c r="DF26" s="997">
        <f>IFERROR(VLOOKUP($B26,PirteiKisuiBeMutzarPrmia!$C$6:$Z$100,5,FALSE),0)</f>
        <v>0</v>
      </c>
      <c r="DG26" s="997">
        <f>IFERROR(VLOOKUP($B26,PirteiKisuiBeMutzarPrmia!$C$6:$Z$100,6,FALSE),0)</f>
        <v>0</v>
      </c>
      <c r="DH26" s="997">
        <f>IFERROR(VLOOKUP($B26,PirteiKisuiBeMutzarPrmia!$C$6:$Z$100,7,FALSE),0)</f>
        <v>0</v>
      </c>
      <c r="DI26" s="997">
        <f>IFERROR(VLOOKUP($B26,PirteiKisuiBeMutzarPrmia!$C$6:$Z$100,8,FALSE),0)</f>
        <v>0</v>
      </c>
      <c r="DJ26" s="997">
        <f>IFERROR(VLOOKUP($B26,PirteiKisuiBeMutzarPrmia!$C$6:$Z$100,9,FALSE),0)</f>
        <v>0</v>
      </c>
      <c r="DK26" s="997">
        <f>IFERROR(VLOOKUP($B26,PirteiKisuiBeMutzarPrmia!$C$6:$Z$100,10,FALSE),0)</f>
        <v>0</v>
      </c>
      <c r="DL26" s="997">
        <f>IFERROR(VLOOKUP($B26,PirteiKisuiBeMutzarPrmia!$C$6:$Z$100,11,FALSE),0)</f>
        <v>0</v>
      </c>
      <c r="DM26" s="997">
        <f t="shared" si="24"/>
        <v>0</v>
      </c>
      <c r="DN26" s="997">
        <f t="shared" si="25"/>
        <v>0</v>
      </c>
      <c r="DO26" s="997">
        <f t="shared" si="26"/>
        <v>0</v>
      </c>
      <c r="DP26" s="997">
        <f t="shared" si="27"/>
        <v>0</v>
      </c>
      <c r="DQ26" s="997">
        <f t="shared" si="28"/>
        <v>0</v>
      </c>
      <c r="DR26" s="997">
        <f>IF(OR(L26=1,L26=3),IFERROR(VLOOKUP($B26,PerutHafkadotMetchilatShanaAvgM!$C$6:$G$100,3,FALSE),0),0)</f>
        <v>8090.2376923076918</v>
      </c>
      <c r="DS26" s="997">
        <f>IF(OR(L26=2,L26=4),IFERROR(VLOOKUP($B26,PerutHafkadotMetchilatShanaAvgM!$C$6:$G$100,3,FALSE),0),0)</f>
        <v>0</v>
      </c>
      <c r="DT26" s="997">
        <f>IFERROR(VLOOKUP($B26,PerutHafkadotMetchilatShanaAvgM!$C$6:$G$100,4,FALSE),0)</f>
        <v>9480.16</v>
      </c>
      <c r="DU26" s="997">
        <f>IFERROR(VLOOKUP($B26,Kupa!$D$6:$AA$100,5,FALSE),0)</f>
        <v>0</v>
      </c>
      <c r="DV26" s="997">
        <f>IFERROR(VLOOKUP($B26,Kupa!$D$6:$AA$100,6,FALSE),0)</f>
        <v>42.18</v>
      </c>
      <c r="DW26" s="997">
        <f>IFERROR(VLOOKUP($B26,KisuiBKerenPensiaDBWithParams!$D$6:$AP$100,9,FALSE),0)</f>
        <v>0</v>
      </c>
      <c r="DX26" s="997">
        <f>IFERROR(VLOOKUP($B26,KisuiBKerenPensiaDBWithParams!$D$6:$AP$100,12,FALSE),0)</f>
        <v>0</v>
      </c>
      <c r="DY26" s="997">
        <f>IFERROR(VLOOKUP($B26,KisuiBKerenPensiaDBWithParams!$D$6:$AP$100,13,FALSE),0)</f>
        <v>0</v>
      </c>
      <c r="DZ26" s="997">
        <f>IFERROR(VLOOKUP($B26,KisuiBKerenPensiaDBWithParams!$D$6:$AP$100,7,FALSE),0)</f>
        <v>0</v>
      </c>
      <c r="EA26" s="997">
        <f>IFERROR(VLOOKUP($B26,KisuiBKerenPensiaDBWithParams!$D$6:$AP$100,17,FALSE),0)</f>
        <v>67</v>
      </c>
      <c r="EB26" s="997">
        <f>IFERROR(VLOOKUP($B26,KisuiBKerenPensiaDBWithParams!$D$6:$AP$100,20,FALSE),0)</f>
        <v>0</v>
      </c>
      <c r="EC26" s="997">
        <f>IFERROR(VLOOKUP($B26,KisuiBKerenPensiaDBWithParams!$D$6:$AP$100,21,FALSE),0)</f>
        <v>21.84</v>
      </c>
      <c r="ED26" s="997">
        <f t="shared" si="45"/>
        <v>0</v>
      </c>
      <c r="EE26" s="997"/>
      <c r="EF26" s="1020">
        <f>IFERROR(VLOOKUP($B26,KisuiBKerenPensiaDBWithParams!$D$6:$AP$100,21,FALSE),0)</f>
        <v>21.84</v>
      </c>
      <c r="EG26" s="1020">
        <f>IFERROR(VLOOKUP($B26,KisuiBKerenPensiaDBWithParams!$D$6:$AP$100,21,FALSE),0)</f>
        <v>21.84</v>
      </c>
      <c r="EH26">
        <f>IF(OR(G26=MyData!$J$51,G26=MyData!$J$52,G26=MyData!$J$53),1,IF(G26=MyData!$J$50,2,0))</f>
        <v>1</v>
      </c>
      <c r="EI26">
        <f>IFERROR(VLOOKUP($B26,CrosstabPerutYitrotDB!$C$6:$N$50,3,FALSE),0)</f>
        <v>209735.74</v>
      </c>
      <c r="EJ26">
        <f>IFERROR(VLOOKUP($B26,CrosstabPerutYitrotDB!$C$6:$N$50,4,FALSE),0)</f>
        <v>242620.43</v>
      </c>
      <c r="EK26">
        <f>IFERROR(VLOOKUP($B26,CrosstabPerutYitrotDB!$C$6:$N$50,5,FALSE),0)</f>
        <v>260098.27</v>
      </c>
      <c r="EL26">
        <f>IFERROR(VLOOKUP($B26,CrosstabPerutYitrotDB!$C$6:$N$50,6,FALSE),0)</f>
        <v>0</v>
      </c>
      <c r="EM26">
        <f>IFERROR(VLOOKUP($B26,CrosstabPerutYitrotDB!$C$6:$N$50,7,FALSE),0)</f>
        <v>0</v>
      </c>
      <c r="EN26">
        <f>IFERROR(VLOOKUP($B26,CrosstabPerutYitrotDB!$C$6:$N$50,8,FALSE),0)</f>
        <v>0</v>
      </c>
      <c r="EO26">
        <f>IFERROR(VLOOKUP($B26,CrosstabPerutYitrotDB!$C$6:$N$50,9,FALSE),0)</f>
        <v>0</v>
      </c>
      <c r="EP26">
        <f>IFERROR(VLOOKUP($B26,CrosstabPerutYitrotDB!$C$6:$N$50,10,FALSE),0)</f>
        <v>0</v>
      </c>
      <c r="EQ26">
        <f>IFERROR(VLOOKUP($B26,CrosstabPerutYitrotDB!$C$6:$N$50,11,FALSE),0)</f>
        <v>0</v>
      </c>
    </row>
    <row r="27" spans="1:147" x14ac:dyDescent="0.2">
      <c r="A27">
        <f t="shared" si="46"/>
        <v>0</v>
      </c>
      <c r="B27" s="20">
        <f>RicusPolice!E24</f>
        <v>0</v>
      </c>
      <c r="C27" s="20">
        <f>RicusPolice!AL24</f>
        <v>0</v>
      </c>
      <c r="D27" s="20">
        <f>RicusPolice!F24</f>
        <v>0</v>
      </c>
      <c r="E27" s="20">
        <f>RicusPolice!R24</f>
        <v>0</v>
      </c>
      <c r="F27" s="20">
        <f>RicusPolice!N24</f>
        <v>0</v>
      </c>
      <c r="G27" s="20">
        <f>IFERROR(VLOOKUP($B27,PerutYitrot!$D$6:$P$100,4,FALSE),0)</f>
        <v>0</v>
      </c>
      <c r="H27" s="20">
        <f t="shared" si="29"/>
        <v>0</v>
      </c>
      <c r="I27" s="20">
        <f>RicusPolice!L24</f>
        <v>0</v>
      </c>
      <c r="J27" s="179">
        <f>IFERROR(VLOOKUP(TRIM(K27),MyData!$J$44:$K$50,2,FALSE),0)</f>
        <v>0</v>
      </c>
      <c r="K27" s="20">
        <f>RicusPolice!M24</f>
        <v>0</v>
      </c>
      <c r="L27" s="20">
        <f>RicusPolice!AM24</f>
        <v>0</v>
      </c>
      <c r="M27" s="20" t="str">
        <f>IF(B27&gt;0,RicusPolice!Y24," ")</f>
        <v xml:space="preserve"> </v>
      </c>
      <c r="N27" s="20" t="str">
        <f t="shared" si="30"/>
        <v/>
      </c>
      <c r="O27" s="20">
        <f>RicusPolice!N24</f>
        <v>0</v>
      </c>
      <c r="P27" s="20">
        <f>IFERROR(VLOOKUP(B27,PerutMasluleiHashkaa!$D$6:$R$100,4,FALSE),0)</f>
        <v>0</v>
      </c>
      <c r="Q27" s="19"/>
      <c r="R27" s="1011" t="str">
        <f>IF(B27&gt;0,RicusPolice!P26," ")</f>
        <v xml:space="preserve"> </v>
      </c>
      <c r="S27" s="20">
        <f>IFERROR(VLOOKUP($B27,'נתונים ידניים'!$B$9:$G$51,6,FALSE),0)</f>
        <v>0</v>
      </c>
      <c r="T27" s="21">
        <f>'נתונים ידניים'!J28</f>
        <v>0</v>
      </c>
      <c r="U27" s="21">
        <f>'נתונים ידניים'!K28</f>
        <v>0</v>
      </c>
      <c r="V27" s="20">
        <f>IFERROR(VLOOKUP($B27,PerutHafrashotLePolisa!$D$6:$N$50,2,FALSE),0)</f>
        <v>0</v>
      </c>
      <c r="W27" s="20">
        <f>IFERROR(VLOOKUP($B27,PerutHafrashotLePolisa!$D$6:$N$50,4,FALSE),0)</f>
        <v>0</v>
      </c>
      <c r="X27" s="20">
        <f>IFERROR(VLOOKUP($B27,PerutHafrashotLePolisa!$D$6:$N$50,3,FALSE),0)</f>
        <v>0</v>
      </c>
      <c r="Y27">
        <f t="shared" si="31"/>
        <v>0</v>
      </c>
      <c r="Z27">
        <f>RicusPolice!AP24</f>
        <v>0</v>
      </c>
      <c r="AA27">
        <f>IFERROR(VLOOKUP(B27,PirteiHaasaka!$D$6:$R$100,5,FALSE),0)</f>
        <v>0</v>
      </c>
      <c r="AC27">
        <f>IFERROR(VLOOKUP(B27,HafkadotMetchilatShanaAverages!$D$6:$E$100,2,FALSE),0)</f>
        <v>0</v>
      </c>
      <c r="AF27">
        <f>'נתונים ידניים'!L28</f>
        <v>0</v>
      </c>
      <c r="AG27">
        <f>IFERROR(VLOOKUP(B27,CrossTabYitraLeTkufa_till_2000!$D$6:$AB$100,6,FALSE),0)+IFERROR(VLOOKUP(B27,CrossTabYitraLeTkufa_after_2000!$D$6:$AB$100,6,FALSE),0)</f>
        <v>0</v>
      </c>
      <c r="AH27">
        <f>IFERROR(VLOOKUP(B27,CrossTabYitraLeTkufa_till_2000!$D$6:$AB$100,16,FALSE),0)</f>
        <v>0</v>
      </c>
      <c r="AI27">
        <f>IFERROR(VLOOKUP(B27,CrossTabYitraLeTkufa_after_2000!$D$6:$AB$100,16,FALSE),0)</f>
        <v>0</v>
      </c>
      <c r="AJ27">
        <f>IFERROR(VLOOKUP(B27,CrossTabYitraLeTkufa_till_2000!$D$6:$AB$100,17,FALSE),0)</f>
        <v>0</v>
      </c>
      <c r="AK27">
        <f>IFERROR(VLOOKUP(B27,CrossTabYitraLeTkufa_after_2000!$D$6:$AB$100,17,FALSE),0)</f>
        <v>0</v>
      </c>
      <c r="AL27" s="5">
        <f t="shared" si="32"/>
        <v>0</v>
      </c>
      <c r="AO27">
        <f>IFERROR(VLOOKUP(B27,PirteiKisuiBeMutzar_procerur!$C$6:$AA$100,2,FALSE),0)</f>
        <v>0</v>
      </c>
      <c r="AQ27">
        <f>IFERROR(VLOOKUP($B27,PirteiKisuiBeMutzar_procerur!$C$6:$AA$100,5,FALSE),0)</f>
        <v>0</v>
      </c>
      <c r="AR27">
        <f>IFERROR(VLOOKUP($B27,PirteiKisuiBeMutzar_procerur!$C$6:$AA$100,3,FALSE),0)</f>
        <v>0</v>
      </c>
      <c r="AS27">
        <f>IFERROR(VLOOKUP($B27,PirteiKisuiBeMutzar_procerur!$C$6:$AA$100,6,FALSE),0)</f>
        <v>0</v>
      </c>
      <c r="AT27">
        <f>IFERROR(VLOOKUP($B27,PirteiKisuiBeMutzar_procerur!$C$6:$AA$100,7,FALSE),0)</f>
        <v>0</v>
      </c>
      <c r="AX27" s="997">
        <f t="shared" si="33"/>
        <v>0</v>
      </c>
      <c r="AY27" s="997">
        <f t="shared" si="34"/>
        <v>0</v>
      </c>
      <c r="AZ27" s="997">
        <f t="shared" si="35"/>
        <v>0</v>
      </c>
      <c r="BA27" s="997">
        <f>IFERROR(FV(S27/100/12,'נתוני יסוד'!$B$16*12,AX27,AG27)*(-1),0)</f>
        <v>0</v>
      </c>
      <c r="BB27" s="997">
        <f>IFERROR(FV(S27/100/12,'נתוני יסוד'!$B$16*12,0,AH27)*(-1),0)</f>
        <v>0</v>
      </c>
      <c r="BC27" s="997">
        <f>IFERROR(FV(S27/100/12,'נתוני יסוד'!$B$16*12,AY27,AI27)*(-1),0)</f>
        <v>0</v>
      </c>
      <c r="BD27" s="997">
        <f>IFERROR(FV(S27/100/12,'נתוני יסוד'!$B$16*12,0,AJ27)*(-1),0)</f>
        <v>0</v>
      </c>
      <c r="BE27" s="997">
        <f>IFERROR(FV(S27/100/12,'נתוני יסוד'!$B$16*12,AZ27,AK27)*(-1),0)</f>
        <v>0</v>
      </c>
      <c r="BF27" s="997">
        <f t="shared" si="36"/>
        <v>0</v>
      </c>
      <c r="BG27" s="997">
        <f>IFERROR(FV(S27/100/12,'נתוני יסוד'!$B$16*12,AF27,AL27)*(-1),0)</f>
        <v>0</v>
      </c>
      <c r="BH27" s="997">
        <f t="shared" si="37"/>
        <v>0</v>
      </c>
      <c r="BI27" s="997">
        <f t="shared" si="38"/>
        <v>0</v>
      </c>
      <c r="BJ27" s="997">
        <f t="shared" si="39"/>
        <v>0</v>
      </c>
      <c r="BK27" s="997">
        <f t="shared" si="40"/>
        <v>0</v>
      </c>
      <c r="BL27" s="997">
        <f t="shared" si="1"/>
        <v>0</v>
      </c>
      <c r="BM27" s="997">
        <f t="shared" si="2"/>
        <v>0</v>
      </c>
      <c r="BN27" s="997">
        <f t="shared" si="3"/>
        <v>0</v>
      </c>
      <c r="BO27" s="997">
        <f t="shared" si="41"/>
        <v>0</v>
      </c>
      <c r="BP27" s="997">
        <f t="shared" si="4"/>
        <v>0</v>
      </c>
      <c r="BS27">
        <f t="shared" si="5"/>
        <v>0</v>
      </c>
      <c r="BT27">
        <f t="shared" si="6"/>
        <v>0</v>
      </c>
      <c r="BU27">
        <f t="shared" si="7"/>
        <v>0</v>
      </c>
      <c r="BV27">
        <f t="shared" si="42"/>
        <v>0</v>
      </c>
      <c r="BW27">
        <f t="shared" si="8"/>
        <v>0</v>
      </c>
      <c r="BY27" s="997">
        <f t="shared" si="9"/>
        <v>0</v>
      </c>
      <c r="BZ27" s="997">
        <f t="shared" si="10"/>
        <v>0</v>
      </c>
      <c r="CA27" s="997">
        <f t="shared" si="11"/>
        <v>0</v>
      </c>
      <c r="CB27" s="997">
        <f t="shared" si="43"/>
        <v>0</v>
      </c>
      <c r="CC27" s="997">
        <f t="shared" si="12"/>
        <v>0</v>
      </c>
      <c r="CD27" s="997">
        <f t="shared" si="13"/>
        <v>0</v>
      </c>
      <c r="CE27" s="997">
        <f t="shared" si="14"/>
        <v>0</v>
      </c>
      <c r="CF27" s="997">
        <f t="shared" si="15"/>
        <v>0</v>
      </c>
      <c r="CG27" s="997">
        <f t="shared" si="16"/>
        <v>0</v>
      </c>
      <c r="CH27" s="997">
        <f t="shared" si="17"/>
        <v>0</v>
      </c>
      <c r="CI27" s="997">
        <f t="shared" si="18"/>
        <v>0</v>
      </c>
      <c r="CJ27" s="997">
        <f t="shared" si="19"/>
        <v>0</v>
      </c>
      <c r="CK27" s="997"/>
      <c r="CL27" s="997"/>
      <c r="CM27" s="997">
        <f t="shared" si="20"/>
        <v>0</v>
      </c>
      <c r="CN27" s="997">
        <f t="shared" si="21"/>
        <v>0</v>
      </c>
      <c r="CO27" s="997">
        <f t="shared" si="22"/>
        <v>0</v>
      </c>
      <c r="CP27" s="997">
        <f t="shared" si="44"/>
        <v>0</v>
      </c>
      <c r="CQ27" s="997">
        <f t="shared" si="23"/>
        <v>0</v>
      </c>
      <c r="CR27" s="997">
        <f>IFERROR(VLOOKUP($B27,SchumeiBituahYesodi!$C$6:$AA$100,8,FALSE),0)</f>
        <v>0</v>
      </c>
      <c r="CS27" s="997">
        <f>IFERROR(VLOOKUP($B27,PirteiKisuiBeMutzar_procerur!$C$6:$AA$100,2,FALSE),0)</f>
        <v>0</v>
      </c>
      <c r="CT27" s="997">
        <f>IFERROR(VLOOKUP($B27,PirteiKisuiBeMutzar_procerur!$C$6:$AA$100,3,FALSE),0)</f>
        <v>0</v>
      </c>
      <c r="CU27" s="997">
        <f>IFERROR(VLOOKUP($B27,PirteiKisuiBeMutzar_procerur!$C$6:$AA$100,4,FALSE),0)</f>
        <v>0</v>
      </c>
      <c r="CV27" s="997">
        <f>IFERROR(VLOOKUP($B27,PirteiKisuiBeMutzar_procerur!$C$6:$AA$100,5,FALSE),0)</f>
        <v>0</v>
      </c>
      <c r="CW27" s="997">
        <f>IFERROR(VLOOKUP($B27,PirteiKisuiBeMutzar_procerur!$C$6:$AA$100,6,FALSE),0)</f>
        <v>0</v>
      </c>
      <c r="CX27" s="997">
        <f>IFERROR(VLOOKUP($B27,PirteiKisuiBeMutzar_procerur!$C$6:$AA$100,7,FALSE),0)</f>
        <v>0</v>
      </c>
      <c r="CY27" s="997">
        <f>IFERROR(VLOOKUP($B27,PirteiKisuiBeMutzar_procerur!$C$6:$AA$100,8,FALSE),0)</f>
        <v>0</v>
      </c>
      <c r="CZ27" s="997">
        <f>IFERROR(VLOOKUP($B27,PirteiKisuiBeMutzar_procerur!$C$6:$AA$100,9,FALSE),0)</f>
        <v>0</v>
      </c>
      <c r="DA27" s="997">
        <f>IFERROR(VLOOKUP($B27,PirteiKisuiBeMutzar_procerur!$C$6:$AA$100,10,FALSE),0)</f>
        <v>0</v>
      </c>
      <c r="DB27" s="997">
        <f>IFERROR(VLOOKUP($B27,PirteiKisuiBeMutzar_procerur!$C$6:$AA$100,11,FALSE),0)</f>
        <v>0</v>
      </c>
      <c r="DC27" s="997">
        <f>IFERROR(VLOOKUP($B27,PirteiKisuiBeMutzarPrmia!$C$6:$Z$100,2,FALSE),0)</f>
        <v>0</v>
      </c>
      <c r="DD27" s="997">
        <f>IFERROR(VLOOKUP($B27,PirteiKisuiBeMutzarPrmia!$C$6:$Z$100,3,FALSE),0)</f>
        <v>0</v>
      </c>
      <c r="DE27" s="997">
        <f>IFERROR(VLOOKUP($B27,PirteiKisuiBeMutzarPrmia!$C$6:$Z$100,4,FALSE),0)</f>
        <v>0</v>
      </c>
      <c r="DF27" s="997">
        <f>IFERROR(VLOOKUP($B27,PirteiKisuiBeMutzarPrmia!$C$6:$Z$100,5,FALSE),0)</f>
        <v>0</v>
      </c>
      <c r="DG27" s="997">
        <f>IFERROR(VLOOKUP($B27,PirteiKisuiBeMutzarPrmia!$C$6:$Z$100,6,FALSE),0)</f>
        <v>0</v>
      </c>
      <c r="DH27" s="997">
        <f>IFERROR(VLOOKUP($B27,PirteiKisuiBeMutzarPrmia!$C$6:$Z$100,7,FALSE),0)</f>
        <v>0</v>
      </c>
      <c r="DI27" s="997">
        <f>IFERROR(VLOOKUP($B27,PirteiKisuiBeMutzarPrmia!$C$6:$Z$100,8,FALSE),0)</f>
        <v>0</v>
      </c>
      <c r="DJ27" s="997">
        <f>IFERROR(VLOOKUP($B27,PirteiKisuiBeMutzarPrmia!$C$6:$Z$100,9,FALSE),0)</f>
        <v>0</v>
      </c>
      <c r="DK27" s="997">
        <f>IFERROR(VLOOKUP($B27,PirteiKisuiBeMutzarPrmia!$C$6:$Z$100,10,FALSE),0)</f>
        <v>0</v>
      </c>
      <c r="DL27" s="997">
        <f>IFERROR(VLOOKUP($B27,PirteiKisuiBeMutzarPrmia!$C$6:$Z$100,11,FALSE),0)</f>
        <v>0</v>
      </c>
      <c r="DM27" s="997">
        <f t="shared" si="24"/>
        <v>0</v>
      </c>
      <c r="DN27" s="997">
        <f t="shared" si="25"/>
        <v>0</v>
      </c>
      <c r="DO27" s="997">
        <f t="shared" si="26"/>
        <v>0</v>
      </c>
      <c r="DP27" s="997">
        <f t="shared" si="27"/>
        <v>0</v>
      </c>
      <c r="DQ27" s="997">
        <f t="shared" si="28"/>
        <v>0</v>
      </c>
      <c r="DR27" s="997">
        <f>IF(OR(L27=1,L27=3),IFERROR(VLOOKUP($B27,PerutHafkadotMetchilatShanaAvgM!$C$6:$G$100,3,FALSE),0),0)</f>
        <v>0</v>
      </c>
      <c r="DS27" s="997">
        <f>IF(OR(L27=2,L27=4),IFERROR(VLOOKUP($B27,PerutHafkadotMetchilatShanaAvgM!$C$6:$G$100,3,FALSE),0),0)</f>
        <v>0</v>
      </c>
      <c r="DT27" s="997">
        <f>IFERROR(VLOOKUP($B27,PerutHafkadotMetchilatShanaAvgM!$C$6:$G$100,4,FALSE),0)</f>
        <v>0</v>
      </c>
      <c r="DU27" s="997">
        <f>IFERROR(VLOOKUP($B27,Kupa!$D$6:$AA$100,5,FALSE),0)</f>
        <v>0</v>
      </c>
      <c r="DV27" s="997">
        <f>IFERROR(VLOOKUP($B27,Kupa!$D$6:$AA$100,6,FALSE),0)</f>
        <v>0</v>
      </c>
      <c r="DW27" s="997">
        <f>IFERROR(VLOOKUP($B27,KisuiBKerenPensiaDBWithParams!$D$6:$AP$100,9,FALSE),0)</f>
        <v>0</v>
      </c>
      <c r="DX27" s="997">
        <f>IFERROR(VLOOKUP($B27,KisuiBKerenPensiaDBWithParams!$D$6:$AP$100,12,FALSE),0)</f>
        <v>0</v>
      </c>
      <c r="DY27" s="997">
        <f>IFERROR(VLOOKUP($B27,KisuiBKerenPensiaDBWithParams!$D$6:$AP$100,13,FALSE),0)</f>
        <v>0</v>
      </c>
      <c r="DZ27" s="997">
        <f>IFERROR(VLOOKUP($B27,KisuiBKerenPensiaDBWithParams!$D$6:$AP$100,7,FALSE),0)</f>
        <v>0</v>
      </c>
      <c r="EA27" s="997">
        <f>IFERROR(VLOOKUP($B27,KisuiBKerenPensiaDBWithParams!$D$6:$AP$100,17,FALSE),0)</f>
        <v>0</v>
      </c>
      <c r="EB27" s="997">
        <f>IFERROR(VLOOKUP($B27,KisuiBKerenPensiaDBWithParams!$D$6:$AP$100,20,FALSE),0)</f>
        <v>0</v>
      </c>
      <c r="EC27" s="997">
        <f>IFERROR(VLOOKUP($B27,KisuiBKerenPensiaDBWithParams!$D$6:$AP$100,21,FALSE),0)</f>
        <v>0</v>
      </c>
      <c r="ED27" s="997">
        <f t="shared" si="45"/>
        <v>0</v>
      </c>
      <c r="EE27" s="997"/>
      <c r="EF27" s="1020">
        <f>IFERROR(VLOOKUP($B27,KisuiBKerenPensiaDBWithParams!$D$6:$AP$100,21,FALSE),0)</f>
        <v>0</v>
      </c>
      <c r="EG27" s="1020">
        <f>IFERROR(VLOOKUP($B27,KisuiBKerenPensiaDBWithParams!$D$6:$AP$100,21,FALSE),0)</f>
        <v>0</v>
      </c>
      <c r="EH27">
        <f>IF(OR(G27=MyData!$J$51,G27=MyData!$J$52,G27=MyData!$J$53),1,IF(G27=MyData!$J$50,2,0))</f>
        <v>0</v>
      </c>
      <c r="EI27">
        <f>IFERROR(VLOOKUP($B27,CrosstabPerutYitrotDB!$C$6:$N$50,3,FALSE),0)</f>
        <v>0</v>
      </c>
      <c r="EJ27">
        <f>IFERROR(VLOOKUP($B27,CrosstabPerutYitrotDB!$C$6:$N$50,4,FALSE),0)</f>
        <v>0</v>
      </c>
      <c r="EK27">
        <f>IFERROR(VLOOKUP($B27,CrosstabPerutYitrotDB!$C$6:$N$50,5,FALSE),0)</f>
        <v>0</v>
      </c>
      <c r="EL27">
        <f>IFERROR(VLOOKUP($B27,CrosstabPerutYitrotDB!$C$6:$N$50,6,FALSE),0)</f>
        <v>0</v>
      </c>
      <c r="EM27">
        <f>IFERROR(VLOOKUP($B27,CrosstabPerutYitrotDB!$C$6:$N$50,7,FALSE),0)</f>
        <v>0</v>
      </c>
      <c r="EN27">
        <f>IFERROR(VLOOKUP($B27,CrosstabPerutYitrotDB!$C$6:$N$50,8,FALSE),0)</f>
        <v>0</v>
      </c>
      <c r="EO27">
        <f>IFERROR(VLOOKUP($B27,CrosstabPerutYitrotDB!$C$6:$N$50,9,FALSE),0)</f>
        <v>0</v>
      </c>
      <c r="EP27">
        <f>IFERROR(VLOOKUP($B27,CrosstabPerutYitrotDB!$C$6:$N$50,10,FALSE),0)</f>
        <v>0</v>
      </c>
      <c r="EQ27">
        <f>IFERROR(VLOOKUP($B27,CrosstabPerutYitrotDB!$C$6:$N$50,11,FALSE),0)</f>
        <v>0</v>
      </c>
    </row>
    <row r="28" spans="1:147" x14ac:dyDescent="0.2">
      <c r="A28">
        <f t="shared" si="46"/>
        <v>0</v>
      </c>
      <c r="B28" s="20">
        <f>RicusPolice!E25</f>
        <v>0</v>
      </c>
      <c r="C28" s="20">
        <f>RicusPolice!AL25</f>
        <v>0</v>
      </c>
      <c r="D28" s="20">
        <f>RicusPolice!F25</f>
        <v>0</v>
      </c>
      <c r="E28" s="20">
        <f>RicusPolice!R25</f>
        <v>0</v>
      </c>
      <c r="F28" s="20">
        <f>RicusPolice!N25</f>
        <v>0</v>
      </c>
      <c r="G28" s="20">
        <f>IFERROR(VLOOKUP($B28,PerutYitrot!$D$6:$P$100,4,FALSE),0)</f>
        <v>0</v>
      </c>
      <c r="H28" s="20">
        <f t="shared" si="29"/>
        <v>0</v>
      </c>
      <c r="I28" s="20">
        <f>RicusPolice!L25</f>
        <v>0</v>
      </c>
      <c r="J28" s="179">
        <f>IFERROR(VLOOKUP(TRIM(K28),MyData!$J$44:$K$50,2,FALSE),0)</f>
        <v>0</v>
      </c>
      <c r="K28" s="20">
        <f>RicusPolice!M25</f>
        <v>0</v>
      </c>
      <c r="L28" s="20">
        <f>RicusPolice!AM25</f>
        <v>0</v>
      </c>
      <c r="M28" s="20" t="str">
        <f>IF(B28&gt;0,RicusPolice!Y25," ")</f>
        <v xml:space="preserve"> </v>
      </c>
      <c r="N28" s="20" t="str">
        <f t="shared" si="30"/>
        <v/>
      </c>
      <c r="O28" s="20">
        <f>RicusPolice!N25</f>
        <v>0</v>
      </c>
      <c r="P28" s="20">
        <f>IFERROR(VLOOKUP(B28,PerutMasluleiHashkaa!$D$6:$R$100,4,FALSE),0)</f>
        <v>0</v>
      </c>
      <c r="Q28" s="19"/>
      <c r="R28" s="1011" t="str">
        <f>IF(B28&gt;0,RicusPolice!P27," ")</f>
        <v xml:space="preserve"> </v>
      </c>
      <c r="S28" s="20">
        <f>IFERROR(VLOOKUP($B28,'נתונים ידניים'!$B$9:$G$51,6,FALSE),0)</f>
        <v>0</v>
      </c>
      <c r="T28" s="21">
        <f>'נתונים ידניים'!J29</f>
        <v>0</v>
      </c>
      <c r="U28" s="21">
        <f>'נתונים ידניים'!K29</f>
        <v>0</v>
      </c>
      <c r="V28" s="20">
        <f>IFERROR(VLOOKUP($B28,PerutHafrashotLePolisa!$D$6:$N$50,2,FALSE),0)</f>
        <v>0</v>
      </c>
      <c r="W28" s="20">
        <f>IFERROR(VLOOKUP($B28,PerutHafrashotLePolisa!$D$6:$N$50,4,FALSE),0)</f>
        <v>0</v>
      </c>
      <c r="X28" s="20">
        <f>IFERROR(VLOOKUP($B28,PerutHafrashotLePolisa!$D$6:$N$50,3,FALSE),0)</f>
        <v>0</v>
      </c>
      <c r="Y28">
        <f t="shared" si="31"/>
        <v>0</v>
      </c>
      <c r="Z28">
        <f>RicusPolice!AP25</f>
        <v>0</v>
      </c>
      <c r="AA28">
        <f>IFERROR(VLOOKUP(B28,PirteiHaasaka!$D$6:$R$100,5,FALSE),0)</f>
        <v>0</v>
      </c>
      <c r="AC28">
        <f>IFERROR(VLOOKUP(B28,HafkadotMetchilatShanaAverages!$D$6:$E$100,2,FALSE),0)</f>
        <v>0</v>
      </c>
      <c r="AF28">
        <f>'נתונים ידניים'!L29</f>
        <v>0</v>
      </c>
      <c r="AG28">
        <f>IFERROR(VLOOKUP(B28,CrossTabYitraLeTkufa_till_2000!$D$6:$AB$100,6,FALSE),0)+IFERROR(VLOOKUP(B28,CrossTabYitraLeTkufa_after_2000!$D$6:$AB$100,6,FALSE),0)</f>
        <v>0</v>
      </c>
      <c r="AH28">
        <f>IFERROR(VLOOKUP(B28,CrossTabYitraLeTkufa_till_2000!$D$6:$AB$100,16,FALSE),0)</f>
        <v>0</v>
      </c>
      <c r="AI28">
        <f>IFERROR(VLOOKUP(B28,CrossTabYitraLeTkufa_after_2000!$D$6:$AB$100,16,FALSE),0)</f>
        <v>0</v>
      </c>
      <c r="AJ28">
        <f>IFERROR(VLOOKUP(B28,CrossTabYitraLeTkufa_till_2000!$D$6:$AB$100,17,FALSE),0)</f>
        <v>0</v>
      </c>
      <c r="AK28">
        <f>IFERROR(VLOOKUP(B28,CrossTabYitraLeTkufa_after_2000!$D$6:$AB$100,17,FALSE),0)</f>
        <v>0</v>
      </c>
      <c r="AL28" s="5">
        <f t="shared" si="32"/>
        <v>0</v>
      </c>
      <c r="AO28">
        <f>IFERROR(VLOOKUP(B28,PirteiKisuiBeMutzar_procerur!$C$6:$AA$100,2,FALSE),0)</f>
        <v>0</v>
      </c>
      <c r="AQ28">
        <f>IFERROR(VLOOKUP($B28,PirteiKisuiBeMutzar_procerur!$C$6:$AA$100,5,FALSE),0)</f>
        <v>0</v>
      </c>
      <c r="AR28">
        <f>IFERROR(VLOOKUP($B28,PirteiKisuiBeMutzar_procerur!$C$6:$AA$100,3,FALSE),0)</f>
        <v>0</v>
      </c>
      <c r="AS28">
        <f>IFERROR(VLOOKUP($B28,PirteiKisuiBeMutzar_procerur!$C$6:$AA$100,6,FALSE),0)</f>
        <v>0</v>
      </c>
      <c r="AT28">
        <f>IFERROR(VLOOKUP($B28,PirteiKisuiBeMutzar_procerur!$C$6:$AA$100,7,FALSE),0)</f>
        <v>0</v>
      </c>
      <c r="AX28" s="997">
        <f t="shared" si="33"/>
        <v>0</v>
      </c>
      <c r="AY28" s="997">
        <f t="shared" si="34"/>
        <v>0</v>
      </c>
      <c r="AZ28" s="997">
        <f t="shared" si="35"/>
        <v>0</v>
      </c>
      <c r="BA28" s="997">
        <f>IFERROR(FV(S28/100/12,'נתוני יסוד'!$B$16*12,AX28,AG28)*(-1),0)</f>
        <v>0</v>
      </c>
      <c r="BB28" s="997">
        <f>IFERROR(FV(S28/100/12,'נתוני יסוד'!$B$16*12,0,AH28)*(-1),0)</f>
        <v>0</v>
      </c>
      <c r="BC28" s="997">
        <f>IFERROR(FV(S28/100/12,'נתוני יסוד'!$B$16*12,AY28,AI28)*(-1),0)</f>
        <v>0</v>
      </c>
      <c r="BD28" s="997">
        <f>IFERROR(FV(S28/100/12,'נתוני יסוד'!$B$16*12,0,AJ28)*(-1),0)</f>
        <v>0</v>
      </c>
      <c r="BE28" s="997">
        <f>IFERROR(FV(S28/100/12,'נתוני יסוד'!$B$16*12,AZ28,AK28)*(-1),0)</f>
        <v>0</v>
      </c>
      <c r="BF28" s="997">
        <f t="shared" si="36"/>
        <v>0</v>
      </c>
      <c r="BG28" s="997">
        <f>IFERROR(FV(S28/100/12,'נתוני יסוד'!$B$16*12,AF28,AL28)*(-1),0)</f>
        <v>0</v>
      </c>
      <c r="BH28" s="997">
        <f t="shared" si="37"/>
        <v>0</v>
      </c>
      <c r="BI28" s="997">
        <f t="shared" si="38"/>
        <v>0</v>
      </c>
      <c r="BJ28" s="997">
        <f t="shared" si="39"/>
        <v>0</v>
      </c>
      <c r="BK28" s="997">
        <f t="shared" si="40"/>
        <v>0</v>
      </c>
      <c r="BL28" s="997">
        <f t="shared" si="1"/>
        <v>0</v>
      </c>
      <c r="BM28" s="997">
        <f t="shared" si="2"/>
        <v>0</v>
      </c>
      <c r="BN28" s="997">
        <f t="shared" si="3"/>
        <v>0</v>
      </c>
      <c r="BO28" s="997">
        <f t="shared" si="41"/>
        <v>0</v>
      </c>
      <c r="BP28" s="997">
        <f t="shared" si="4"/>
        <v>0</v>
      </c>
      <c r="BS28">
        <f t="shared" si="5"/>
        <v>0</v>
      </c>
      <c r="BT28">
        <f t="shared" si="6"/>
        <v>0</v>
      </c>
      <c r="BU28">
        <f t="shared" si="7"/>
        <v>0</v>
      </c>
      <c r="BV28">
        <f t="shared" si="42"/>
        <v>0</v>
      </c>
      <c r="BW28">
        <f t="shared" si="8"/>
        <v>0</v>
      </c>
      <c r="BY28" s="997">
        <f t="shared" si="9"/>
        <v>0</v>
      </c>
      <c r="BZ28" s="997">
        <f t="shared" si="10"/>
        <v>0</v>
      </c>
      <c r="CA28" s="997">
        <f t="shared" si="11"/>
        <v>0</v>
      </c>
      <c r="CB28" s="997">
        <f t="shared" si="43"/>
        <v>0</v>
      </c>
      <c r="CC28" s="997">
        <f t="shared" si="12"/>
        <v>0</v>
      </c>
      <c r="CD28" s="997">
        <f t="shared" si="13"/>
        <v>0</v>
      </c>
      <c r="CE28" s="997">
        <f t="shared" si="14"/>
        <v>0</v>
      </c>
      <c r="CF28" s="997">
        <f t="shared" si="15"/>
        <v>0</v>
      </c>
      <c r="CG28" s="997">
        <f t="shared" si="16"/>
        <v>0</v>
      </c>
      <c r="CH28" s="997">
        <f t="shared" si="17"/>
        <v>0</v>
      </c>
      <c r="CI28" s="997">
        <f t="shared" si="18"/>
        <v>0</v>
      </c>
      <c r="CJ28" s="997">
        <f t="shared" si="19"/>
        <v>0</v>
      </c>
      <c r="CK28" s="997"/>
      <c r="CL28" s="997"/>
      <c r="CM28" s="997">
        <f t="shared" si="20"/>
        <v>0</v>
      </c>
      <c r="CN28" s="997">
        <f t="shared" si="21"/>
        <v>0</v>
      </c>
      <c r="CO28" s="997">
        <f t="shared" si="22"/>
        <v>0</v>
      </c>
      <c r="CP28" s="997">
        <f t="shared" si="44"/>
        <v>0</v>
      </c>
      <c r="CQ28" s="997">
        <f t="shared" si="23"/>
        <v>0</v>
      </c>
      <c r="CR28" s="997">
        <f>IFERROR(VLOOKUP($B28,SchumeiBituahYesodi!$C$6:$AA$100,8,FALSE),0)</f>
        <v>0</v>
      </c>
      <c r="CS28" s="997">
        <f>IFERROR(VLOOKUP($B28,PirteiKisuiBeMutzar_procerur!$C$6:$AA$100,2,FALSE),0)</f>
        <v>0</v>
      </c>
      <c r="CT28" s="997">
        <f>IFERROR(VLOOKUP($B28,PirteiKisuiBeMutzar_procerur!$C$6:$AA$100,3,FALSE),0)</f>
        <v>0</v>
      </c>
      <c r="CU28" s="997">
        <f>IFERROR(VLOOKUP($B28,PirteiKisuiBeMutzar_procerur!$C$6:$AA$100,4,FALSE),0)</f>
        <v>0</v>
      </c>
      <c r="CV28" s="997">
        <f>IFERROR(VLOOKUP($B28,PirteiKisuiBeMutzar_procerur!$C$6:$AA$100,5,FALSE),0)</f>
        <v>0</v>
      </c>
      <c r="CW28" s="997">
        <f>IFERROR(VLOOKUP($B28,PirteiKisuiBeMutzar_procerur!$C$6:$AA$100,6,FALSE),0)</f>
        <v>0</v>
      </c>
      <c r="CX28" s="997">
        <f>IFERROR(VLOOKUP($B28,PirteiKisuiBeMutzar_procerur!$C$6:$AA$100,7,FALSE),0)</f>
        <v>0</v>
      </c>
      <c r="CY28" s="997">
        <f>IFERROR(VLOOKUP($B28,PirteiKisuiBeMutzar_procerur!$C$6:$AA$100,8,FALSE),0)</f>
        <v>0</v>
      </c>
      <c r="CZ28" s="997">
        <f>IFERROR(VLOOKUP($B28,PirteiKisuiBeMutzar_procerur!$C$6:$AA$100,9,FALSE),0)</f>
        <v>0</v>
      </c>
      <c r="DA28" s="997">
        <f>IFERROR(VLOOKUP($B28,PirteiKisuiBeMutzar_procerur!$C$6:$AA$100,10,FALSE),0)</f>
        <v>0</v>
      </c>
      <c r="DB28" s="997">
        <f>IFERROR(VLOOKUP($B28,PirteiKisuiBeMutzar_procerur!$C$6:$AA$100,11,FALSE),0)</f>
        <v>0</v>
      </c>
      <c r="DC28" s="997">
        <f>IFERROR(VLOOKUP($B28,PirteiKisuiBeMutzarPrmia!$C$6:$Z$100,2,FALSE),0)</f>
        <v>0</v>
      </c>
      <c r="DD28" s="997">
        <f>IFERROR(VLOOKUP($B28,PirteiKisuiBeMutzarPrmia!$C$6:$Z$100,3,FALSE),0)</f>
        <v>0</v>
      </c>
      <c r="DE28" s="997">
        <f>IFERROR(VLOOKUP($B28,PirteiKisuiBeMutzarPrmia!$C$6:$Z$100,4,FALSE),0)</f>
        <v>0</v>
      </c>
      <c r="DF28" s="997">
        <f>IFERROR(VLOOKUP($B28,PirteiKisuiBeMutzarPrmia!$C$6:$Z$100,5,FALSE),0)</f>
        <v>0</v>
      </c>
      <c r="DG28" s="997">
        <f>IFERROR(VLOOKUP($B28,PirteiKisuiBeMutzarPrmia!$C$6:$Z$100,6,FALSE),0)</f>
        <v>0</v>
      </c>
      <c r="DH28" s="997">
        <f>IFERROR(VLOOKUP($B28,PirteiKisuiBeMutzarPrmia!$C$6:$Z$100,7,FALSE),0)</f>
        <v>0</v>
      </c>
      <c r="DI28" s="997">
        <f>IFERROR(VLOOKUP($B28,PirteiKisuiBeMutzarPrmia!$C$6:$Z$100,8,FALSE),0)</f>
        <v>0</v>
      </c>
      <c r="DJ28" s="997">
        <f>IFERROR(VLOOKUP($B28,PirteiKisuiBeMutzarPrmia!$C$6:$Z$100,9,FALSE),0)</f>
        <v>0</v>
      </c>
      <c r="DK28" s="997">
        <f>IFERROR(VLOOKUP($B28,PirteiKisuiBeMutzarPrmia!$C$6:$Z$100,10,FALSE),0)</f>
        <v>0</v>
      </c>
      <c r="DL28" s="997">
        <f>IFERROR(VLOOKUP($B28,PirteiKisuiBeMutzarPrmia!$C$6:$Z$100,11,FALSE),0)</f>
        <v>0</v>
      </c>
      <c r="DM28" s="997">
        <f t="shared" si="24"/>
        <v>0</v>
      </c>
      <c r="DN28" s="997">
        <f t="shared" si="25"/>
        <v>0</v>
      </c>
      <c r="DO28" s="997">
        <f t="shared" si="26"/>
        <v>0</v>
      </c>
      <c r="DP28" s="997">
        <f t="shared" si="27"/>
        <v>0</v>
      </c>
      <c r="DQ28" s="997">
        <f t="shared" si="28"/>
        <v>0</v>
      </c>
      <c r="DR28" s="997">
        <f>IF(OR(L28=1,L28=3),IFERROR(VLOOKUP($B28,PerutHafkadotMetchilatShanaAvgM!$C$6:$G$100,3,FALSE),0),0)</f>
        <v>0</v>
      </c>
      <c r="DS28" s="997">
        <f>IF(OR(L28=2,L28=4),IFERROR(VLOOKUP($B28,PerutHafkadotMetchilatShanaAvgM!$C$6:$G$100,3,FALSE),0),0)</f>
        <v>0</v>
      </c>
      <c r="DT28" s="997">
        <f>IFERROR(VLOOKUP($B28,PerutHafkadotMetchilatShanaAvgM!$C$6:$G$100,4,FALSE),0)</f>
        <v>0</v>
      </c>
      <c r="DU28" s="997">
        <f>IFERROR(VLOOKUP($B28,Kupa!$D$6:$AA$100,5,FALSE),0)</f>
        <v>0</v>
      </c>
      <c r="DV28" s="997">
        <f>IFERROR(VLOOKUP($B28,Kupa!$D$6:$AA$100,6,FALSE),0)</f>
        <v>0</v>
      </c>
      <c r="DW28" s="997">
        <f>IFERROR(VLOOKUP($B28,KisuiBKerenPensiaDBWithParams!$D$6:$AP$100,9,FALSE),0)</f>
        <v>0</v>
      </c>
      <c r="DX28" s="997">
        <f>IFERROR(VLOOKUP($B28,KisuiBKerenPensiaDBWithParams!$D$6:$AP$100,12,FALSE),0)</f>
        <v>0</v>
      </c>
      <c r="DY28" s="997">
        <f>IFERROR(VLOOKUP($B28,KisuiBKerenPensiaDBWithParams!$D$6:$AP$100,13,FALSE),0)</f>
        <v>0</v>
      </c>
      <c r="DZ28" s="997">
        <f>IFERROR(VLOOKUP($B28,KisuiBKerenPensiaDBWithParams!$D$6:$AP$100,7,FALSE),0)</f>
        <v>0</v>
      </c>
      <c r="EA28" s="997">
        <f>IFERROR(VLOOKUP($B28,KisuiBKerenPensiaDBWithParams!$D$6:$AP$100,17,FALSE),0)</f>
        <v>0</v>
      </c>
      <c r="EB28" s="997">
        <f>IFERROR(VLOOKUP($B28,KisuiBKerenPensiaDBWithParams!$D$6:$AP$100,20,FALSE),0)</f>
        <v>0</v>
      </c>
      <c r="EC28" s="997">
        <f>IFERROR(VLOOKUP($B28,KisuiBKerenPensiaDBWithParams!$D$6:$AP$100,21,FALSE),0)</f>
        <v>0</v>
      </c>
      <c r="ED28" s="997">
        <f t="shared" si="45"/>
        <v>0</v>
      </c>
      <c r="EE28" s="997"/>
      <c r="EF28" s="1020">
        <f>IFERROR(VLOOKUP($B28,KisuiBKerenPensiaDBWithParams!$D$6:$AP$100,21,FALSE),0)</f>
        <v>0</v>
      </c>
      <c r="EG28" s="1020">
        <f>IFERROR(VLOOKUP($B28,KisuiBKerenPensiaDBWithParams!$D$6:$AP$100,21,FALSE),0)</f>
        <v>0</v>
      </c>
      <c r="EH28">
        <f>IF(OR(G28=MyData!$J$51,G28=MyData!$J$52,G28=MyData!$J$53),1,IF(G28=MyData!$J$50,2,0))</f>
        <v>0</v>
      </c>
      <c r="EI28">
        <f>IFERROR(VLOOKUP($B28,CrosstabPerutYitrotDB!$C$6:$N$50,3,FALSE),0)</f>
        <v>0</v>
      </c>
      <c r="EJ28">
        <f>IFERROR(VLOOKUP($B28,CrosstabPerutYitrotDB!$C$6:$N$50,4,FALSE),0)</f>
        <v>0</v>
      </c>
      <c r="EK28">
        <f>IFERROR(VLOOKUP($B28,CrosstabPerutYitrotDB!$C$6:$N$50,5,FALSE),0)</f>
        <v>0</v>
      </c>
      <c r="EL28">
        <f>IFERROR(VLOOKUP($B28,CrosstabPerutYitrotDB!$C$6:$N$50,6,FALSE),0)</f>
        <v>0</v>
      </c>
      <c r="EM28">
        <f>IFERROR(VLOOKUP($B28,CrosstabPerutYitrotDB!$C$6:$N$50,7,FALSE),0)</f>
        <v>0</v>
      </c>
      <c r="EN28">
        <f>IFERROR(VLOOKUP($B28,CrosstabPerutYitrotDB!$C$6:$N$50,8,FALSE),0)</f>
        <v>0</v>
      </c>
      <c r="EO28">
        <f>IFERROR(VLOOKUP($B28,CrosstabPerutYitrotDB!$C$6:$N$50,9,FALSE),0)</f>
        <v>0</v>
      </c>
      <c r="EP28">
        <f>IFERROR(VLOOKUP($B28,CrosstabPerutYitrotDB!$C$6:$N$50,10,FALSE),0)</f>
        <v>0</v>
      </c>
      <c r="EQ28">
        <f>IFERROR(VLOOKUP($B28,CrosstabPerutYitrotDB!$C$6:$N$50,11,FALSE),0)</f>
        <v>0</v>
      </c>
    </row>
    <row r="29" spans="1:147" x14ac:dyDescent="0.2">
      <c r="A29">
        <f t="shared" si="46"/>
        <v>0</v>
      </c>
      <c r="B29" s="20">
        <f>RicusPolice!E26</f>
        <v>0</v>
      </c>
      <c r="C29" s="20">
        <f>RicusPolice!AL26</f>
        <v>0</v>
      </c>
      <c r="D29" s="20">
        <f>RicusPolice!F26</f>
        <v>0</v>
      </c>
      <c r="E29" s="20">
        <f>RicusPolice!R26</f>
        <v>0</v>
      </c>
      <c r="F29" s="20">
        <f>RicusPolice!N26</f>
        <v>0</v>
      </c>
      <c r="G29" s="20">
        <f>IFERROR(VLOOKUP($B29,PerutYitrot!$D$6:$P$100,4,FALSE),0)</f>
        <v>0</v>
      </c>
      <c r="H29" s="20">
        <f t="shared" si="29"/>
        <v>0</v>
      </c>
      <c r="I29" s="20">
        <f>RicusPolice!L26</f>
        <v>0</v>
      </c>
      <c r="J29" s="179">
        <f>IFERROR(VLOOKUP(TRIM(K29),MyData!$J$44:$K$50,2,FALSE),0)</f>
        <v>0</v>
      </c>
      <c r="K29" s="20">
        <f>RicusPolice!M26</f>
        <v>0</v>
      </c>
      <c r="L29" s="20">
        <f>RicusPolice!AM26</f>
        <v>0</v>
      </c>
      <c r="M29" s="20" t="str">
        <f>IF(B29&gt;0,RicusPolice!Y26," ")</f>
        <v xml:space="preserve"> </v>
      </c>
      <c r="N29" s="20" t="str">
        <f t="shared" si="30"/>
        <v/>
      </c>
      <c r="O29" s="20">
        <f>RicusPolice!N26</f>
        <v>0</v>
      </c>
      <c r="P29" s="20">
        <f>IFERROR(VLOOKUP(B29,PerutMasluleiHashkaa!$D$6:$R$100,4,FALSE),0)</f>
        <v>0</v>
      </c>
      <c r="Q29" s="19"/>
      <c r="R29" s="1011" t="str">
        <f>IF(B29&gt;0,RicusPolice!P28," ")</f>
        <v xml:space="preserve"> </v>
      </c>
      <c r="S29" s="20">
        <f>IFERROR(VLOOKUP($B29,'נתונים ידניים'!$B$9:$G$51,6,FALSE),0)</f>
        <v>0</v>
      </c>
      <c r="T29" s="21">
        <f>'נתונים ידניים'!J30</f>
        <v>0</v>
      </c>
      <c r="U29" s="21">
        <f>'נתונים ידניים'!K30</f>
        <v>0</v>
      </c>
      <c r="V29" s="20">
        <f>IFERROR(VLOOKUP($B29,PerutHafrashotLePolisa!$D$6:$N$50,2,FALSE),0)</f>
        <v>0</v>
      </c>
      <c r="W29" s="20">
        <f>IFERROR(VLOOKUP($B29,PerutHafrashotLePolisa!$D$6:$N$50,4,FALSE),0)</f>
        <v>0</v>
      </c>
      <c r="X29" s="20">
        <f>IFERROR(VLOOKUP($B29,PerutHafrashotLePolisa!$D$6:$N$50,3,FALSE),0)</f>
        <v>0</v>
      </c>
      <c r="Y29">
        <f t="shared" si="31"/>
        <v>0</v>
      </c>
      <c r="Z29">
        <f>RicusPolice!AP26</f>
        <v>0</v>
      </c>
      <c r="AA29">
        <f>IFERROR(VLOOKUP(B29,PirteiHaasaka!$D$6:$R$100,5,FALSE),0)</f>
        <v>0</v>
      </c>
      <c r="AC29">
        <f>IFERROR(VLOOKUP(B29,HafkadotMetchilatShanaAverages!$D$6:$E$100,2,FALSE),0)</f>
        <v>0</v>
      </c>
      <c r="AF29">
        <f>'נתונים ידניים'!L30</f>
        <v>0</v>
      </c>
      <c r="AG29">
        <f>IFERROR(VLOOKUP(B29,CrossTabYitraLeTkufa_till_2000!$D$6:$AB$100,6,FALSE),0)+IFERROR(VLOOKUP(B29,CrossTabYitraLeTkufa_after_2000!$D$6:$AB$100,6,FALSE),0)</f>
        <v>0</v>
      </c>
      <c r="AH29">
        <f>IFERROR(VLOOKUP(B29,CrossTabYitraLeTkufa_till_2000!$D$6:$AB$100,16,FALSE),0)</f>
        <v>0</v>
      </c>
      <c r="AI29">
        <f>IFERROR(VLOOKUP(B29,CrossTabYitraLeTkufa_after_2000!$D$6:$AB$100,16,FALSE),0)</f>
        <v>0</v>
      </c>
      <c r="AJ29">
        <f>IFERROR(VLOOKUP(B29,CrossTabYitraLeTkufa_till_2000!$D$6:$AB$100,17,FALSE),0)</f>
        <v>0</v>
      </c>
      <c r="AK29">
        <f>IFERROR(VLOOKUP(B29,CrossTabYitraLeTkufa_after_2000!$D$6:$AB$100,17,FALSE),0)</f>
        <v>0</v>
      </c>
      <c r="AL29" s="5">
        <f t="shared" si="32"/>
        <v>0</v>
      </c>
      <c r="AO29">
        <f>IFERROR(VLOOKUP(B29,PirteiKisuiBeMutzar_procerur!$C$6:$AA$100,2,FALSE),0)</f>
        <v>0</v>
      </c>
      <c r="AQ29">
        <f>IFERROR(VLOOKUP($B29,PirteiKisuiBeMutzar_procerur!$C$6:$AA$100,5,FALSE),0)</f>
        <v>0</v>
      </c>
      <c r="AR29">
        <f>IFERROR(VLOOKUP($B29,PirteiKisuiBeMutzar_procerur!$C$6:$AA$100,3,FALSE),0)</f>
        <v>0</v>
      </c>
      <c r="AS29">
        <f>IFERROR(VLOOKUP($B29,PirteiKisuiBeMutzar_procerur!$C$6:$AA$100,6,FALSE),0)</f>
        <v>0</v>
      </c>
      <c r="AT29">
        <f>IFERROR(VLOOKUP($B29,PirteiKisuiBeMutzar_procerur!$C$6:$AA$100,7,FALSE),0)</f>
        <v>0</v>
      </c>
      <c r="AX29" s="997">
        <f t="shared" si="33"/>
        <v>0</v>
      </c>
      <c r="AY29" s="997">
        <f t="shared" si="34"/>
        <v>0</v>
      </c>
      <c r="AZ29" s="997">
        <f t="shared" si="35"/>
        <v>0</v>
      </c>
      <c r="BA29" s="997">
        <f>IFERROR(FV(S29/100/12,'נתוני יסוד'!$B$16*12,AX29,AG29)*(-1),0)</f>
        <v>0</v>
      </c>
      <c r="BB29" s="997">
        <f>IFERROR(FV(S29/100/12,'נתוני יסוד'!$B$16*12,0,AH29)*(-1),0)</f>
        <v>0</v>
      </c>
      <c r="BC29" s="997">
        <f>IFERROR(FV(S29/100/12,'נתוני יסוד'!$B$16*12,AY29,AI29)*(-1),0)</f>
        <v>0</v>
      </c>
      <c r="BD29" s="997">
        <f>IFERROR(FV(S29/100/12,'נתוני יסוד'!$B$16*12,0,AJ29)*(-1),0)</f>
        <v>0</v>
      </c>
      <c r="BE29" s="997">
        <f>IFERROR(FV(S29/100/12,'נתוני יסוד'!$B$16*12,AZ29,AK29)*(-1),0)</f>
        <v>0</v>
      </c>
      <c r="BF29" s="997">
        <f t="shared" si="36"/>
        <v>0</v>
      </c>
      <c r="BG29" s="997">
        <f>IFERROR(FV(S29/100/12,'נתוני יסוד'!$B$16*12,AF29,AL29)*(-1),0)</f>
        <v>0</v>
      </c>
      <c r="BH29" s="997">
        <f t="shared" si="37"/>
        <v>0</v>
      </c>
      <c r="BI29" s="997">
        <f t="shared" si="38"/>
        <v>0</v>
      </c>
      <c r="BJ29" s="997">
        <f t="shared" si="39"/>
        <v>0</v>
      </c>
      <c r="BK29" s="997">
        <f t="shared" si="40"/>
        <v>0</v>
      </c>
      <c r="BL29" s="997">
        <f t="shared" si="1"/>
        <v>0</v>
      </c>
      <c r="BM29" s="997">
        <f t="shared" si="2"/>
        <v>0</v>
      </c>
      <c r="BN29" s="997">
        <f t="shared" si="3"/>
        <v>0</v>
      </c>
      <c r="BO29" s="997">
        <f t="shared" si="41"/>
        <v>0</v>
      </c>
      <c r="BP29" s="997">
        <f t="shared" si="4"/>
        <v>0</v>
      </c>
      <c r="BS29">
        <f t="shared" si="5"/>
        <v>0</v>
      </c>
      <c r="BT29">
        <f t="shared" si="6"/>
        <v>0</v>
      </c>
      <c r="BU29">
        <f t="shared" si="7"/>
        <v>0</v>
      </c>
      <c r="BV29">
        <f t="shared" si="42"/>
        <v>0</v>
      </c>
      <c r="BW29">
        <f t="shared" si="8"/>
        <v>0</v>
      </c>
      <c r="BY29" s="997">
        <f t="shared" si="9"/>
        <v>0</v>
      </c>
      <c r="BZ29" s="997">
        <f t="shared" si="10"/>
        <v>0</v>
      </c>
      <c r="CA29" s="997">
        <f t="shared" si="11"/>
        <v>0</v>
      </c>
      <c r="CB29" s="997">
        <f t="shared" si="43"/>
        <v>0</v>
      </c>
      <c r="CC29" s="997">
        <f t="shared" si="12"/>
        <v>0</v>
      </c>
      <c r="CD29" s="997">
        <f t="shared" si="13"/>
        <v>0</v>
      </c>
      <c r="CE29" s="997">
        <f t="shared" si="14"/>
        <v>0</v>
      </c>
      <c r="CF29" s="997">
        <f t="shared" si="15"/>
        <v>0</v>
      </c>
      <c r="CG29" s="997">
        <f t="shared" si="16"/>
        <v>0</v>
      </c>
      <c r="CH29" s="997">
        <f t="shared" si="17"/>
        <v>0</v>
      </c>
      <c r="CI29" s="997">
        <f t="shared" si="18"/>
        <v>0</v>
      </c>
      <c r="CJ29" s="997">
        <f t="shared" si="19"/>
        <v>0</v>
      </c>
      <c r="CK29" s="997"/>
      <c r="CL29" s="997"/>
      <c r="CM29" s="997">
        <f t="shared" si="20"/>
        <v>0</v>
      </c>
      <c r="CN29" s="997">
        <f t="shared" si="21"/>
        <v>0</v>
      </c>
      <c r="CO29" s="997">
        <f t="shared" si="22"/>
        <v>0</v>
      </c>
      <c r="CP29" s="997">
        <f t="shared" si="44"/>
        <v>0</v>
      </c>
      <c r="CQ29" s="997">
        <f t="shared" si="23"/>
        <v>0</v>
      </c>
      <c r="CR29" s="997">
        <f>IFERROR(VLOOKUP($B29,SchumeiBituahYesodi!$C$6:$AA$100,8,FALSE),0)</f>
        <v>0</v>
      </c>
      <c r="CS29" s="997">
        <f>IFERROR(VLOOKUP($B29,PirteiKisuiBeMutzar_procerur!$C$6:$AA$100,2,FALSE),0)</f>
        <v>0</v>
      </c>
      <c r="CT29" s="997">
        <f>IFERROR(VLOOKUP($B29,PirteiKisuiBeMutzar_procerur!$C$6:$AA$100,3,FALSE),0)</f>
        <v>0</v>
      </c>
      <c r="CU29" s="997">
        <f>IFERROR(VLOOKUP($B29,PirteiKisuiBeMutzar_procerur!$C$6:$AA$100,4,FALSE),0)</f>
        <v>0</v>
      </c>
      <c r="CV29" s="997">
        <f>IFERROR(VLOOKUP($B29,PirteiKisuiBeMutzar_procerur!$C$6:$AA$100,5,FALSE),0)</f>
        <v>0</v>
      </c>
      <c r="CW29" s="997">
        <f>IFERROR(VLOOKUP($B29,PirteiKisuiBeMutzar_procerur!$C$6:$AA$100,6,FALSE),0)</f>
        <v>0</v>
      </c>
      <c r="CX29" s="997">
        <f>IFERROR(VLOOKUP($B29,PirteiKisuiBeMutzar_procerur!$C$6:$AA$100,7,FALSE),0)</f>
        <v>0</v>
      </c>
      <c r="CY29" s="997">
        <f>IFERROR(VLOOKUP($B29,PirteiKisuiBeMutzar_procerur!$C$6:$AA$100,8,FALSE),0)</f>
        <v>0</v>
      </c>
      <c r="CZ29" s="997">
        <f>IFERROR(VLOOKUP($B29,PirteiKisuiBeMutzar_procerur!$C$6:$AA$100,9,FALSE),0)</f>
        <v>0</v>
      </c>
      <c r="DA29" s="997">
        <f>IFERROR(VLOOKUP($B29,PirteiKisuiBeMutzar_procerur!$C$6:$AA$100,10,FALSE),0)</f>
        <v>0</v>
      </c>
      <c r="DB29" s="997">
        <f>IFERROR(VLOOKUP($B29,PirteiKisuiBeMutzar_procerur!$C$6:$AA$100,11,FALSE),0)</f>
        <v>0</v>
      </c>
      <c r="DC29" s="997">
        <f>IFERROR(VLOOKUP($B29,PirteiKisuiBeMutzarPrmia!$C$6:$Z$100,2,FALSE),0)</f>
        <v>0</v>
      </c>
      <c r="DD29" s="997">
        <f>IFERROR(VLOOKUP($B29,PirteiKisuiBeMutzarPrmia!$C$6:$Z$100,3,FALSE),0)</f>
        <v>0</v>
      </c>
      <c r="DE29" s="997">
        <f>IFERROR(VLOOKUP($B29,PirteiKisuiBeMutzarPrmia!$C$6:$Z$100,4,FALSE),0)</f>
        <v>0</v>
      </c>
      <c r="DF29" s="997">
        <f>IFERROR(VLOOKUP($B29,PirteiKisuiBeMutzarPrmia!$C$6:$Z$100,5,FALSE),0)</f>
        <v>0</v>
      </c>
      <c r="DG29" s="997">
        <f>IFERROR(VLOOKUP($B29,PirteiKisuiBeMutzarPrmia!$C$6:$Z$100,6,FALSE),0)</f>
        <v>0</v>
      </c>
      <c r="DH29" s="997">
        <f>IFERROR(VLOOKUP($B29,PirteiKisuiBeMutzarPrmia!$C$6:$Z$100,7,FALSE),0)</f>
        <v>0</v>
      </c>
      <c r="DI29" s="997">
        <f>IFERROR(VLOOKUP($B29,PirteiKisuiBeMutzarPrmia!$C$6:$Z$100,8,FALSE),0)</f>
        <v>0</v>
      </c>
      <c r="DJ29" s="997">
        <f>IFERROR(VLOOKUP($B29,PirteiKisuiBeMutzarPrmia!$C$6:$Z$100,9,FALSE),0)</f>
        <v>0</v>
      </c>
      <c r="DK29" s="997">
        <f>IFERROR(VLOOKUP($B29,PirteiKisuiBeMutzarPrmia!$C$6:$Z$100,10,FALSE),0)</f>
        <v>0</v>
      </c>
      <c r="DL29" s="997">
        <f>IFERROR(VLOOKUP($B29,PirteiKisuiBeMutzarPrmia!$C$6:$Z$100,11,FALSE),0)</f>
        <v>0</v>
      </c>
      <c r="DM29" s="997">
        <f t="shared" si="24"/>
        <v>0</v>
      </c>
      <c r="DN29" s="997">
        <f t="shared" si="25"/>
        <v>0</v>
      </c>
      <c r="DO29" s="997">
        <f t="shared" si="26"/>
        <v>0</v>
      </c>
      <c r="DP29" s="997">
        <f t="shared" si="27"/>
        <v>0</v>
      </c>
      <c r="DQ29" s="997">
        <f t="shared" si="28"/>
        <v>0</v>
      </c>
      <c r="DR29" s="997">
        <f>IF(OR(L29=1,L29=3),IFERROR(VLOOKUP($B29,PerutHafkadotMetchilatShanaAvgM!$C$6:$G$100,3,FALSE),0),0)</f>
        <v>0</v>
      </c>
      <c r="DS29" s="997">
        <f>IF(OR(L29=2,L29=4),IFERROR(VLOOKUP($B29,PerutHafkadotMetchilatShanaAvgM!$C$6:$G$100,3,FALSE),0),0)</f>
        <v>0</v>
      </c>
      <c r="DT29" s="997">
        <f>IFERROR(VLOOKUP($B29,PerutHafkadotMetchilatShanaAvgM!$C$6:$G$100,4,FALSE),0)</f>
        <v>0</v>
      </c>
      <c r="DU29" s="997">
        <f>IFERROR(VLOOKUP($B29,Kupa!$D$6:$AA$100,5,FALSE),0)</f>
        <v>0</v>
      </c>
      <c r="DV29" s="997">
        <f>IFERROR(VLOOKUP($B29,Kupa!$D$6:$AA$100,6,FALSE),0)</f>
        <v>0</v>
      </c>
      <c r="DW29" s="997">
        <f>IFERROR(VLOOKUP($B29,KisuiBKerenPensiaDBWithParams!$D$6:$AP$100,9,FALSE),0)</f>
        <v>0</v>
      </c>
      <c r="DX29" s="997">
        <f>IFERROR(VLOOKUP($B29,KisuiBKerenPensiaDBWithParams!$D$6:$AP$100,12,FALSE),0)</f>
        <v>0</v>
      </c>
      <c r="DY29" s="997">
        <f>IFERROR(VLOOKUP($B29,KisuiBKerenPensiaDBWithParams!$D$6:$AP$100,13,FALSE),0)</f>
        <v>0</v>
      </c>
      <c r="DZ29" s="997">
        <f>IFERROR(VLOOKUP($B29,KisuiBKerenPensiaDBWithParams!$D$6:$AP$100,7,FALSE),0)</f>
        <v>0</v>
      </c>
      <c r="EA29" s="997">
        <f>IFERROR(VLOOKUP($B29,KisuiBKerenPensiaDBWithParams!$D$6:$AP$100,17,FALSE),0)</f>
        <v>0</v>
      </c>
      <c r="EB29" s="997">
        <f>IFERROR(VLOOKUP($B29,KisuiBKerenPensiaDBWithParams!$D$6:$AP$100,20,FALSE),0)</f>
        <v>0</v>
      </c>
      <c r="EC29" s="997">
        <f>IFERROR(VLOOKUP($B29,KisuiBKerenPensiaDBWithParams!$D$6:$AP$100,21,FALSE),0)</f>
        <v>0</v>
      </c>
      <c r="ED29" s="997">
        <f t="shared" si="45"/>
        <v>0</v>
      </c>
      <c r="EE29" s="997"/>
      <c r="EF29" s="1020">
        <f>IFERROR(VLOOKUP($B29,KisuiBKerenPensiaDBWithParams!$D$6:$AP$100,21,FALSE),0)</f>
        <v>0</v>
      </c>
      <c r="EG29" s="1020">
        <f>IFERROR(VLOOKUP($B29,KisuiBKerenPensiaDBWithParams!$D$6:$AP$100,21,FALSE),0)</f>
        <v>0</v>
      </c>
      <c r="EH29">
        <f>IF(OR(G29=MyData!$J$51,G29=MyData!$J$52,G29=MyData!$J$53),1,IF(G29=MyData!$J$50,2,0))</f>
        <v>0</v>
      </c>
      <c r="EI29">
        <f>IFERROR(VLOOKUP($B29,CrosstabPerutYitrotDB!$C$6:$N$50,3,FALSE),0)</f>
        <v>0</v>
      </c>
      <c r="EJ29">
        <f>IFERROR(VLOOKUP($B29,CrosstabPerutYitrotDB!$C$6:$N$50,4,FALSE),0)</f>
        <v>0</v>
      </c>
      <c r="EK29">
        <f>IFERROR(VLOOKUP($B29,CrosstabPerutYitrotDB!$C$6:$N$50,5,FALSE),0)</f>
        <v>0</v>
      </c>
      <c r="EL29">
        <f>IFERROR(VLOOKUP($B29,CrosstabPerutYitrotDB!$C$6:$N$50,6,FALSE),0)</f>
        <v>0</v>
      </c>
      <c r="EM29">
        <f>IFERROR(VLOOKUP($B29,CrosstabPerutYitrotDB!$C$6:$N$50,7,FALSE),0)</f>
        <v>0</v>
      </c>
      <c r="EN29">
        <f>IFERROR(VLOOKUP($B29,CrosstabPerutYitrotDB!$C$6:$N$50,8,FALSE),0)</f>
        <v>0</v>
      </c>
      <c r="EO29">
        <f>IFERROR(VLOOKUP($B29,CrosstabPerutYitrotDB!$C$6:$N$50,9,FALSE),0)</f>
        <v>0</v>
      </c>
      <c r="EP29">
        <f>IFERROR(VLOOKUP($B29,CrosstabPerutYitrotDB!$C$6:$N$50,10,FALSE),0)</f>
        <v>0</v>
      </c>
      <c r="EQ29">
        <f>IFERROR(VLOOKUP($B29,CrosstabPerutYitrotDB!$C$6:$N$50,11,FALSE),0)</f>
        <v>0</v>
      </c>
    </row>
    <row r="30" spans="1:147" x14ac:dyDescent="0.2">
      <c r="A30">
        <f t="shared" si="46"/>
        <v>0</v>
      </c>
      <c r="B30" s="20">
        <f>RicusPolice!E27</f>
        <v>0</v>
      </c>
      <c r="C30" s="20">
        <f>RicusPolice!AL27</f>
        <v>0</v>
      </c>
      <c r="D30" s="20">
        <f>RicusPolice!F27</f>
        <v>0</v>
      </c>
      <c r="E30" s="20">
        <f>RicusPolice!R27</f>
        <v>0</v>
      </c>
      <c r="F30" s="20">
        <f>RicusPolice!N27</f>
        <v>0</v>
      </c>
      <c r="G30" s="20">
        <f>IFERROR(VLOOKUP($B30,PerutYitrot!$D$6:$P$100,4,FALSE),0)</f>
        <v>0</v>
      </c>
      <c r="H30" s="20">
        <f t="shared" si="29"/>
        <v>0</v>
      </c>
      <c r="I30" s="20">
        <f>RicusPolice!L27</f>
        <v>0</v>
      </c>
      <c r="J30" s="179">
        <f>IFERROR(VLOOKUP(TRIM(K30),MyData!$J$44:$K$50,2,FALSE),0)</f>
        <v>0</v>
      </c>
      <c r="K30" s="20">
        <f>RicusPolice!M27</f>
        <v>0</v>
      </c>
      <c r="L30" s="20">
        <f>RicusPolice!AM27</f>
        <v>0</v>
      </c>
      <c r="M30" s="20" t="str">
        <f>IF(B30&gt;0,RicusPolice!Y27," ")</f>
        <v xml:space="preserve"> </v>
      </c>
      <c r="N30" s="20" t="str">
        <f t="shared" si="30"/>
        <v/>
      </c>
      <c r="O30" s="20">
        <f>RicusPolice!N27</f>
        <v>0</v>
      </c>
      <c r="P30" s="20">
        <f>IFERROR(VLOOKUP(B30,PerutMasluleiHashkaa!$D$6:$R$100,4,FALSE),0)</f>
        <v>0</v>
      </c>
      <c r="Q30" s="19"/>
      <c r="R30" s="1011" t="str">
        <f>IF(B30&gt;0,RicusPolice!P29," ")</f>
        <v xml:space="preserve"> </v>
      </c>
      <c r="S30" s="20">
        <f>IFERROR(VLOOKUP($B30,'נתונים ידניים'!$B$9:$G$51,6,FALSE),0)</f>
        <v>0</v>
      </c>
      <c r="T30" s="21">
        <f>'נתונים ידניים'!J31</f>
        <v>0</v>
      </c>
      <c r="U30" s="21">
        <f>'נתונים ידניים'!K31</f>
        <v>0</v>
      </c>
      <c r="V30" s="20">
        <f>IFERROR(VLOOKUP($B30,PerutHafrashotLePolisa!$D$6:$N$50,2,FALSE),0)</f>
        <v>0</v>
      </c>
      <c r="W30" s="20">
        <f>IFERROR(VLOOKUP($B30,PerutHafrashotLePolisa!$D$6:$N$50,4,FALSE),0)</f>
        <v>0</v>
      </c>
      <c r="X30" s="20">
        <f>IFERROR(VLOOKUP($B30,PerutHafrashotLePolisa!$D$6:$N$50,3,FALSE),0)</f>
        <v>0</v>
      </c>
      <c r="Y30">
        <f t="shared" si="31"/>
        <v>0</v>
      </c>
      <c r="Z30">
        <f>RicusPolice!AP27</f>
        <v>0</v>
      </c>
      <c r="AA30">
        <f>IFERROR(VLOOKUP(B30,PirteiHaasaka!$D$6:$R$100,5,FALSE),0)</f>
        <v>0</v>
      </c>
      <c r="AC30">
        <f>IFERROR(VLOOKUP(B30,HafkadotMetchilatShanaAverages!$D$6:$E$100,2,FALSE),0)</f>
        <v>0</v>
      </c>
      <c r="AF30">
        <f>'נתונים ידניים'!L31</f>
        <v>0</v>
      </c>
      <c r="AG30">
        <f>IFERROR(VLOOKUP(B30,CrossTabYitraLeTkufa_till_2000!$D$6:$AB$100,6,FALSE),0)+IFERROR(VLOOKUP(B30,CrossTabYitraLeTkufa_after_2000!$D$6:$AB$100,6,FALSE),0)</f>
        <v>0</v>
      </c>
      <c r="AH30">
        <f>IFERROR(VLOOKUP(B30,CrossTabYitraLeTkufa_till_2000!$D$6:$AB$100,16,FALSE),0)</f>
        <v>0</v>
      </c>
      <c r="AI30">
        <f>IFERROR(VLOOKUP(B30,CrossTabYitraLeTkufa_after_2000!$D$6:$AB$100,16,FALSE),0)</f>
        <v>0</v>
      </c>
      <c r="AJ30">
        <f>IFERROR(VLOOKUP(B30,CrossTabYitraLeTkufa_till_2000!$D$6:$AB$100,17,FALSE),0)</f>
        <v>0</v>
      </c>
      <c r="AK30">
        <f>IFERROR(VLOOKUP(B30,CrossTabYitraLeTkufa_after_2000!$D$6:$AB$100,17,FALSE),0)</f>
        <v>0</v>
      </c>
      <c r="AL30" s="5">
        <f t="shared" si="32"/>
        <v>0</v>
      </c>
      <c r="AO30">
        <f>IFERROR(VLOOKUP(B30,PirteiKisuiBeMutzar_procerur!$C$6:$AA$100,2,FALSE),0)</f>
        <v>0</v>
      </c>
      <c r="AQ30">
        <f>IFERROR(VLOOKUP($B30,PirteiKisuiBeMutzar_procerur!$C$6:$AA$100,5,FALSE),0)</f>
        <v>0</v>
      </c>
      <c r="AR30">
        <f>IFERROR(VLOOKUP($B30,PirteiKisuiBeMutzar_procerur!$C$6:$AA$100,3,FALSE),0)</f>
        <v>0</v>
      </c>
      <c r="AS30">
        <f>IFERROR(VLOOKUP($B30,PirteiKisuiBeMutzar_procerur!$C$6:$AA$100,6,FALSE),0)</f>
        <v>0</v>
      </c>
      <c r="AT30">
        <f>IFERROR(VLOOKUP($B30,PirteiKisuiBeMutzar_procerur!$C$6:$AA$100,7,FALSE),0)</f>
        <v>0</v>
      </c>
      <c r="AX30" s="997">
        <f t="shared" si="33"/>
        <v>0</v>
      </c>
      <c r="AY30" s="997">
        <f t="shared" si="34"/>
        <v>0</v>
      </c>
      <c r="AZ30" s="997">
        <f t="shared" si="35"/>
        <v>0</v>
      </c>
      <c r="BA30" s="997">
        <f>IFERROR(FV(S30/100/12,'נתוני יסוד'!$B$16*12,AX30,AG30)*(-1),0)</f>
        <v>0</v>
      </c>
      <c r="BB30" s="997">
        <f>IFERROR(FV(S30/100/12,'נתוני יסוד'!$B$16*12,0,AH30)*(-1),0)</f>
        <v>0</v>
      </c>
      <c r="BC30" s="997">
        <f>IFERROR(FV(S30/100/12,'נתוני יסוד'!$B$16*12,AY30,AI30)*(-1),0)</f>
        <v>0</v>
      </c>
      <c r="BD30" s="997">
        <f>IFERROR(FV(S30/100/12,'נתוני יסוד'!$B$16*12,0,AJ30)*(-1),0)</f>
        <v>0</v>
      </c>
      <c r="BE30" s="997">
        <f>IFERROR(FV(S30/100/12,'נתוני יסוד'!$B$16*12,AZ30,AK30)*(-1),0)</f>
        <v>0</v>
      </c>
      <c r="BF30" s="997">
        <f t="shared" si="36"/>
        <v>0</v>
      </c>
      <c r="BG30" s="997">
        <f>IFERROR(FV(S30/100/12,'נתוני יסוד'!$B$16*12,AF30,AL30)*(-1),0)</f>
        <v>0</v>
      </c>
      <c r="BH30" s="997">
        <f t="shared" si="37"/>
        <v>0</v>
      </c>
      <c r="BI30" s="997">
        <f t="shared" si="38"/>
        <v>0</v>
      </c>
      <c r="BJ30" s="997">
        <f t="shared" si="39"/>
        <v>0</v>
      </c>
      <c r="BK30" s="997">
        <f t="shared" si="40"/>
        <v>0</v>
      </c>
      <c r="BL30" s="997">
        <f t="shared" si="1"/>
        <v>0</v>
      </c>
      <c r="BM30" s="997">
        <f t="shared" si="2"/>
        <v>0</v>
      </c>
      <c r="BN30" s="997">
        <f t="shared" si="3"/>
        <v>0</v>
      </c>
      <c r="BO30" s="997">
        <f t="shared" si="41"/>
        <v>0</v>
      </c>
      <c r="BP30" s="997">
        <f t="shared" si="4"/>
        <v>0</v>
      </c>
      <c r="BS30">
        <f t="shared" si="5"/>
        <v>0</v>
      </c>
      <c r="BT30">
        <f t="shared" si="6"/>
        <v>0</v>
      </c>
      <c r="BU30">
        <f t="shared" si="7"/>
        <v>0</v>
      </c>
      <c r="BV30">
        <f t="shared" si="42"/>
        <v>0</v>
      </c>
      <c r="BW30">
        <f t="shared" si="8"/>
        <v>0</v>
      </c>
      <c r="BY30" s="997">
        <f t="shared" si="9"/>
        <v>0</v>
      </c>
      <c r="BZ30" s="997">
        <f t="shared" si="10"/>
        <v>0</v>
      </c>
      <c r="CA30" s="997">
        <f t="shared" si="11"/>
        <v>0</v>
      </c>
      <c r="CB30" s="997">
        <f t="shared" si="43"/>
        <v>0</v>
      </c>
      <c r="CC30" s="997">
        <f t="shared" si="12"/>
        <v>0</v>
      </c>
      <c r="CD30" s="997">
        <f t="shared" si="13"/>
        <v>0</v>
      </c>
      <c r="CE30" s="997">
        <f t="shared" si="14"/>
        <v>0</v>
      </c>
      <c r="CF30" s="997">
        <f t="shared" si="15"/>
        <v>0</v>
      </c>
      <c r="CG30" s="997">
        <f t="shared" si="16"/>
        <v>0</v>
      </c>
      <c r="CH30" s="997">
        <f t="shared" si="17"/>
        <v>0</v>
      </c>
      <c r="CI30" s="997">
        <f t="shared" si="18"/>
        <v>0</v>
      </c>
      <c r="CJ30" s="997">
        <f t="shared" si="19"/>
        <v>0</v>
      </c>
      <c r="CK30" s="997"/>
      <c r="CL30" s="997"/>
      <c r="CM30" s="997">
        <f t="shared" si="20"/>
        <v>0</v>
      </c>
      <c r="CN30" s="997">
        <f t="shared" si="21"/>
        <v>0</v>
      </c>
      <c r="CO30" s="997">
        <f t="shared" si="22"/>
        <v>0</v>
      </c>
      <c r="CP30" s="997">
        <f t="shared" si="44"/>
        <v>0</v>
      </c>
      <c r="CQ30" s="997">
        <f t="shared" si="23"/>
        <v>0</v>
      </c>
      <c r="CR30" s="997">
        <f>IFERROR(VLOOKUP($B30,SchumeiBituahYesodi!$C$6:$AA$100,8,FALSE),0)</f>
        <v>0</v>
      </c>
      <c r="CS30" s="997">
        <f>IFERROR(VLOOKUP($B30,PirteiKisuiBeMutzar_procerur!$C$6:$AA$100,2,FALSE),0)</f>
        <v>0</v>
      </c>
      <c r="CT30" s="997">
        <f>IFERROR(VLOOKUP($B30,PirteiKisuiBeMutzar_procerur!$C$6:$AA$100,3,FALSE),0)</f>
        <v>0</v>
      </c>
      <c r="CU30" s="997">
        <f>IFERROR(VLOOKUP($B30,PirteiKisuiBeMutzar_procerur!$C$6:$AA$100,4,FALSE),0)</f>
        <v>0</v>
      </c>
      <c r="CV30" s="997">
        <f>IFERROR(VLOOKUP($B30,PirteiKisuiBeMutzar_procerur!$C$6:$AA$100,5,FALSE),0)</f>
        <v>0</v>
      </c>
      <c r="CW30" s="997">
        <f>IFERROR(VLOOKUP($B30,PirteiKisuiBeMutzar_procerur!$C$6:$AA$100,6,FALSE),0)</f>
        <v>0</v>
      </c>
      <c r="CX30" s="997">
        <f>IFERROR(VLOOKUP($B30,PirteiKisuiBeMutzar_procerur!$C$6:$AA$100,7,FALSE),0)</f>
        <v>0</v>
      </c>
      <c r="CY30" s="997">
        <f>IFERROR(VLOOKUP($B30,PirteiKisuiBeMutzar_procerur!$C$6:$AA$100,8,FALSE),0)</f>
        <v>0</v>
      </c>
      <c r="CZ30" s="997">
        <f>IFERROR(VLOOKUP($B30,PirteiKisuiBeMutzar_procerur!$C$6:$AA$100,9,FALSE),0)</f>
        <v>0</v>
      </c>
      <c r="DA30" s="997">
        <f>IFERROR(VLOOKUP($B30,PirteiKisuiBeMutzar_procerur!$C$6:$AA$100,10,FALSE),0)</f>
        <v>0</v>
      </c>
      <c r="DB30" s="997">
        <f>IFERROR(VLOOKUP($B30,PirteiKisuiBeMutzar_procerur!$C$6:$AA$100,11,FALSE),0)</f>
        <v>0</v>
      </c>
      <c r="DC30" s="997">
        <f>IFERROR(VLOOKUP($B30,PirteiKisuiBeMutzarPrmia!$C$6:$Z$100,2,FALSE),0)</f>
        <v>0</v>
      </c>
      <c r="DD30" s="997">
        <f>IFERROR(VLOOKUP($B30,PirteiKisuiBeMutzarPrmia!$C$6:$Z$100,3,FALSE),0)</f>
        <v>0</v>
      </c>
      <c r="DE30" s="997">
        <f>IFERROR(VLOOKUP($B30,PirteiKisuiBeMutzarPrmia!$C$6:$Z$100,4,FALSE),0)</f>
        <v>0</v>
      </c>
      <c r="DF30" s="997">
        <f>IFERROR(VLOOKUP($B30,PirteiKisuiBeMutzarPrmia!$C$6:$Z$100,5,FALSE),0)</f>
        <v>0</v>
      </c>
      <c r="DG30" s="997">
        <f>IFERROR(VLOOKUP($B30,PirteiKisuiBeMutzarPrmia!$C$6:$Z$100,6,FALSE),0)</f>
        <v>0</v>
      </c>
      <c r="DH30" s="997">
        <f>IFERROR(VLOOKUP($B30,PirteiKisuiBeMutzarPrmia!$C$6:$Z$100,7,FALSE),0)</f>
        <v>0</v>
      </c>
      <c r="DI30" s="997">
        <f>IFERROR(VLOOKUP($B30,PirteiKisuiBeMutzarPrmia!$C$6:$Z$100,8,FALSE),0)</f>
        <v>0</v>
      </c>
      <c r="DJ30" s="997">
        <f>IFERROR(VLOOKUP($B30,PirteiKisuiBeMutzarPrmia!$C$6:$Z$100,9,FALSE),0)</f>
        <v>0</v>
      </c>
      <c r="DK30" s="997">
        <f>IFERROR(VLOOKUP($B30,PirteiKisuiBeMutzarPrmia!$C$6:$Z$100,10,FALSE),0)</f>
        <v>0</v>
      </c>
      <c r="DL30" s="997">
        <f>IFERROR(VLOOKUP($B30,PirteiKisuiBeMutzarPrmia!$C$6:$Z$100,11,FALSE),0)</f>
        <v>0</v>
      </c>
      <c r="DM30" s="997">
        <f t="shared" si="24"/>
        <v>0</v>
      </c>
      <c r="DN30" s="997">
        <f t="shared" si="25"/>
        <v>0</v>
      </c>
      <c r="DO30" s="997">
        <f t="shared" si="26"/>
        <v>0</v>
      </c>
      <c r="DP30" s="997">
        <f t="shared" si="27"/>
        <v>0</v>
      </c>
      <c r="DQ30" s="997">
        <f t="shared" si="28"/>
        <v>0</v>
      </c>
      <c r="DR30" s="997">
        <f>IF(OR(L30=1,L30=3),IFERROR(VLOOKUP($B30,PerutHafkadotMetchilatShanaAvgM!$C$6:$G$100,3,FALSE),0),0)</f>
        <v>0</v>
      </c>
      <c r="DS30" s="997">
        <f>IF(OR(L30=2,L30=4),IFERROR(VLOOKUP($B30,PerutHafkadotMetchilatShanaAvgM!$C$6:$G$100,3,FALSE),0),0)</f>
        <v>0</v>
      </c>
      <c r="DT30" s="997">
        <f>IFERROR(VLOOKUP($B30,PerutHafkadotMetchilatShanaAvgM!$C$6:$G$100,4,FALSE),0)</f>
        <v>0</v>
      </c>
      <c r="DU30" s="997">
        <f>IFERROR(VLOOKUP($B30,Kupa!$D$6:$AA$100,5,FALSE),0)</f>
        <v>0</v>
      </c>
      <c r="DV30" s="997">
        <f>IFERROR(VLOOKUP($B30,Kupa!$D$6:$AA$100,6,FALSE),0)</f>
        <v>0</v>
      </c>
      <c r="DW30" s="997">
        <f>IFERROR(VLOOKUP($B30,KisuiBKerenPensiaDBWithParams!$D$6:$AP$100,9,FALSE),0)</f>
        <v>0</v>
      </c>
      <c r="DX30" s="997">
        <f>IFERROR(VLOOKUP($B30,KisuiBKerenPensiaDBWithParams!$D$6:$AP$100,12,FALSE),0)</f>
        <v>0</v>
      </c>
      <c r="DY30" s="997">
        <f>IFERROR(VLOOKUP($B30,KisuiBKerenPensiaDBWithParams!$D$6:$AP$100,13,FALSE),0)</f>
        <v>0</v>
      </c>
      <c r="DZ30" s="997">
        <f>IFERROR(VLOOKUP($B30,KisuiBKerenPensiaDBWithParams!$D$6:$AP$100,7,FALSE),0)</f>
        <v>0</v>
      </c>
      <c r="EA30" s="997">
        <f>IFERROR(VLOOKUP($B30,KisuiBKerenPensiaDBWithParams!$D$6:$AP$100,17,FALSE),0)</f>
        <v>0</v>
      </c>
      <c r="EB30" s="997">
        <f>IFERROR(VLOOKUP($B30,KisuiBKerenPensiaDBWithParams!$D$6:$AP$100,20,FALSE),0)</f>
        <v>0</v>
      </c>
      <c r="EC30" s="997">
        <f>IFERROR(VLOOKUP($B30,KisuiBKerenPensiaDBWithParams!$D$6:$AP$100,21,FALSE),0)</f>
        <v>0</v>
      </c>
      <c r="ED30" s="997">
        <f t="shared" si="45"/>
        <v>0</v>
      </c>
      <c r="EE30" s="997"/>
      <c r="EF30" s="1020">
        <f>IFERROR(VLOOKUP($B30,KisuiBKerenPensiaDBWithParams!$D$6:$AP$100,21,FALSE),0)</f>
        <v>0</v>
      </c>
      <c r="EG30" s="1020">
        <f>IFERROR(VLOOKUP($B30,KisuiBKerenPensiaDBWithParams!$D$6:$AP$100,21,FALSE),0)</f>
        <v>0</v>
      </c>
      <c r="EH30">
        <f>IF(OR(G30=MyData!$J$51,G30=MyData!$J$52,G30=MyData!$J$53),1,IF(G30=MyData!$J$50,2,0))</f>
        <v>0</v>
      </c>
      <c r="EI30">
        <f>IFERROR(VLOOKUP($B30,CrosstabPerutYitrotDB!$C$6:$N$50,3,FALSE),0)</f>
        <v>0</v>
      </c>
      <c r="EJ30">
        <f>IFERROR(VLOOKUP($B30,CrosstabPerutYitrotDB!$C$6:$N$50,4,FALSE),0)</f>
        <v>0</v>
      </c>
      <c r="EK30">
        <f>IFERROR(VLOOKUP($B30,CrosstabPerutYitrotDB!$C$6:$N$50,5,FALSE),0)</f>
        <v>0</v>
      </c>
      <c r="EL30">
        <f>IFERROR(VLOOKUP($B30,CrosstabPerutYitrotDB!$C$6:$N$50,6,FALSE),0)</f>
        <v>0</v>
      </c>
      <c r="EM30">
        <f>IFERROR(VLOOKUP($B30,CrosstabPerutYitrotDB!$C$6:$N$50,7,FALSE),0)</f>
        <v>0</v>
      </c>
      <c r="EN30">
        <f>IFERROR(VLOOKUP($B30,CrosstabPerutYitrotDB!$C$6:$N$50,8,FALSE),0)</f>
        <v>0</v>
      </c>
      <c r="EO30">
        <f>IFERROR(VLOOKUP($B30,CrosstabPerutYitrotDB!$C$6:$N$50,9,FALSE),0)</f>
        <v>0</v>
      </c>
      <c r="EP30">
        <f>IFERROR(VLOOKUP($B30,CrosstabPerutYitrotDB!$C$6:$N$50,10,FALSE),0)</f>
        <v>0</v>
      </c>
      <c r="EQ30">
        <f>IFERROR(VLOOKUP($B30,CrosstabPerutYitrotDB!$C$6:$N$50,11,FALSE),0)</f>
        <v>0</v>
      </c>
    </row>
    <row r="31" spans="1:147" x14ac:dyDescent="0.2">
      <c r="A31">
        <f t="shared" si="46"/>
        <v>0</v>
      </c>
      <c r="B31" s="20">
        <f>RicusPolice!E28</f>
        <v>0</v>
      </c>
      <c r="C31" s="20">
        <f>RicusPolice!AL28</f>
        <v>0</v>
      </c>
      <c r="D31" s="20">
        <f>RicusPolice!F28</f>
        <v>0</v>
      </c>
      <c r="E31" s="20">
        <f>RicusPolice!R28</f>
        <v>0</v>
      </c>
      <c r="F31" s="20">
        <f>RicusPolice!N28</f>
        <v>0</v>
      </c>
      <c r="G31" s="20">
        <f>IFERROR(VLOOKUP($B31,PerutYitrot!$D$6:$P$100,4,FALSE),0)</f>
        <v>0</v>
      </c>
      <c r="H31" s="20">
        <f t="shared" si="29"/>
        <v>0</v>
      </c>
      <c r="I31" s="20">
        <f>RicusPolice!L28</f>
        <v>0</v>
      </c>
      <c r="J31" s="179">
        <f>IFERROR(VLOOKUP(TRIM(K31),MyData!$J$44:$K$50,2,FALSE),0)</f>
        <v>0</v>
      </c>
      <c r="K31" s="20">
        <f>RicusPolice!M28</f>
        <v>0</v>
      </c>
      <c r="L31" s="20">
        <f>RicusPolice!AM28</f>
        <v>0</v>
      </c>
      <c r="M31" s="20" t="str">
        <f>IF(B31&gt;0,RicusPolice!Y28," ")</f>
        <v xml:space="preserve"> </v>
      </c>
      <c r="N31" s="20" t="str">
        <f t="shared" si="30"/>
        <v/>
      </c>
      <c r="O31" s="20">
        <f>RicusPolice!N28</f>
        <v>0</v>
      </c>
      <c r="P31" s="20">
        <f>IFERROR(VLOOKUP(B31,PerutMasluleiHashkaa!$D$6:$R$100,4,FALSE),0)</f>
        <v>0</v>
      </c>
      <c r="Q31" s="19"/>
      <c r="R31" s="1011" t="str">
        <f>IF(B31&gt;0,RicusPolice!P30," ")</f>
        <v xml:space="preserve"> </v>
      </c>
      <c r="S31" s="20">
        <f>IFERROR(VLOOKUP($B31,'נתונים ידניים'!$B$9:$G$51,6,FALSE),0)</f>
        <v>0</v>
      </c>
      <c r="T31" s="21">
        <f>'נתונים ידניים'!J32</f>
        <v>0</v>
      </c>
      <c r="U31" s="21">
        <f>'נתונים ידניים'!K32</f>
        <v>0</v>
      </c>
      <c r="V31" s="20">
        <f>IFERROR(VLOOKUP($B31,PerutHafrashotLePolisa!$D$6:$N$50,2,FALSE),0)</f>
        <v>0</v>
      </c>
      <c r="W31" s="20">
        <f>IFERROR(VLOOKUP($B31,PerutHafrashotLePolisa!$D$6:$N$50,4,FALSE),0)</f>
        <v>0</v>
      </c>
      <c r="X31" s="20">
        <f>IFERROR(VLOOKUP($B31,PerutHafrashotLePolisa!$D$6:$N$50,3,FALSE),0)</f>
        <v>0</v>
      </c>
      <c r="Y31">
        <f t="shared" si="31"/>
        <v>0</v>
      </c>
      <c r="Z31">
        <f>RicusPolice!AP28</f>
        <v>0</v>
      </c>
      <c r="AA31">
        <f>IFERROR(VLOOKUP(B31,PirteiHaasaka!$D$6:$R$100,5,FALSE),0)</f>
        <v>0</v>
      </c>
      <c r="AC31">
        <f>IFERROR(VLOOKUP(B31,HafkadotMetchilatShanaAverages!$D$6:$E$100,2,FALSE),0)</f>
        <v>0</v>
      </c>
      <c r="AF31">
        <f>'נתונים ידניים'!L32</f>
        <v>0</v>
      </c>
      <c r="AG31">
        <f>IFERROR(VLOOKUP(B31,CrossTabYitraLeTkufa_till_2000!$D$6:$AB$100,6,FALSE),0)+IFERROR(VLOOKUP(B31,CrossTabYitraLeTkufa_after_2000!$D$6:$AB$100,6,FALSE),0)</f>
        <v>0</v>
      </c>
      <c r="AH31">
        <f>IFERROR(VLOOKUP(B31,CrossTabYitraLeTkufa_till_2000!$D$6:$AB$100,16,FALSE),0)</f>
        <v>0</v>
      </c>
      <c r="AI31">
        <f>IFERROR(VLOOKUP(B31,CrossTabYitraLeTkufa_after_2000!$D$6:$AB$100,16,FALSE),0)</f>
        <v>0</v>
      </c>
      <c r="AJ31">
        <f>IFERROR(VLOOKUP(B31,CrossTabYitraLeTkufa_till_2000!$D$6:$AB$100,17,FALSE),0)</f>
        <v>0</v>
      </c>
      <c r="AK31">
        <f>IFERROR(VLOOKUP(B31,CrossTabYitraLeTkufa_after_2000!$D$6:$AB$100,17,FALSE),0)</f>
        <v>0</v>
      </c>
      <c r="AL31" s="5">
        <f t="shared" si="32"/>
        <v>0</v>
      </c>
      <c r="AO31">
        <f>IFERROR(VLOOKUP(B31,PirteiKisuiBeMutzar_procerur!$C$6:$AA$100,2,FALSE),0)</f>
        <v>0</v>
      </c>
      <c r="AQ31">
        <f>IFERROR(VLOOKUP($B31,PirteiKisuiBeMutzar_procerur!$C$6:$AA$100,5,FALSE),0)</f>
        <v>0</v>
      </c>
      <c r="AR31">
        <f>IFERROR(VLOOKUP($B31,PirteiKisuiBeMutzar_procerur!$C$6:$AA$100,3,FALSE),0)</f>
        <v>0</v>
      </c>
      <c r="AS31">
        <f>IFERROR(VLOOKUP($B31,PirteiKisuiBeMutzar_procerur!$C$6:$AA$100,6,FALSE),0)</f>
        <v>0</v>
      </c>
      <c r="AT31">
        <f>IFERROR(VLOOKUP($B31,PirteiKisuiBeMutzar_procerur!$C$6:$AA$100,7,FALSE),0)</f>
        <v>0</v>
      </c>
      <c r="AX31" s="997">
        <f t="shared" si="33"/>
        <v>0</v>
      </c>
      <c r="AY31" s="997">
        <f t="shared" si="34"/>
        <v>0</v>
      </c>
      <c r="AZ31" s="997">
        <f t="shared" si="35"/>
        <v>0</v>
      </c>
      <c r="BA31" s="997">
        <f>IFERROR(FV(S31/100/12,'נתוני יסוד'!$B$16*12,AX31,AG31)*(-1),0)</f>
        <v>0</v>
      </c>
      <c r="BB31" s="997">
        <f>IFERROR(FV(S31/100/12,'נתוני יסוד'!$B$16*12,0,AH31)*(-1),0)</f>
        <v>0</v>
      </c>
      <c r="BC31" s="997">
        <f>IFERROR(FV(S31/100/12,'נתוני יסוד'!$B$16*12,AY31,AI31)*(-1),0)</f>
        <v>0</v>
      </c>
      <c r="BD31" s="997">
        <f>IFERROR(FV(S31/100/12,'נתוני יסוד'!$B$16*12,0,AJ31)*(-1),0)</f>
        <v>0</v>
      </c>
      <c r="BE31" s="997">
        <f>IFERROR(FV(S31/100/12,'נתוני יסוד'!$B$16*12,AZ31,AK31)*(-1),0)</f>
        <v>0</v>
      </c>
      <c r="BF31" s="997">
        <f t="shared" si="36"/>
        <v>0</v>
      </c>
      <c r="BG31" s="997">
        <f>IFERROR(FV(S31/100/12,'נתוני יסוד'!$B$16*12,AF31,AL31)*(-1),0)</f>
        <v>0</v>
      </c>
      <c r="BH31" s="997">
        <f t="shared" si="37"/>
        <v>0</v>
      </c>
      <c r="BI31" s="997">
        <f t="shared" si="38"/>
        <v>0</v>
      </c>
      <c r="BJ31" s="997">
        <f t="shared" si="39"/>
        <v>0</v>
      </c>
      <c r="BK31" s="997">
        <f t="shared" si="40"/>
        <v>0</v>
      </c>
      <c r="BL31" s="997">
        <f t="shared" si="1"/>
        <v>0</v>
      </c>
      <c r="BM31" s="997">
        <f t="shared" si="2"/>
        <v>0</v>
      </c>
      <c r="BN31" s="997">
        <f t="shared" si="3"/>
        <v>0</v>
      </c>
      <c r="BO31" s="997">
        <f t="shared" si="41"/>
        <v>0</v>
      </c>
      <c r="BP31" s="997">
        <f t="shared" si="4"/>
        <v>0</v>
      </c>
      <c r="BS31">
        <f t="shared" si="5"/>
        <v>0</v>
      </c>
      <c r="BT31">
        <f t="shared" si="6"/>
        <v>0</v>
      </c>
      <c r="BU31">
        <f t="shared" si="7"/>
        <v>0</v>
      </c>
      <c r="BV31">
        <f t="shared" si="42"/>
        <v>0</v>
      </c>
      <c r="BW31">
        <f t="shared" si="8"/>
        <v>0</v>
      </c>
      <c r="BY31" s="997">
        <f t="shared" si="9"/>
        <v>0</v>
      </c>
      <c r="BZ31" s="997">
        <f t="shared" si="10"/>
        <v>0</v>
      </c>
      <c r="CA31" s="997">
        <f t="shared" si="11"/>
        <v>0</v>
      </c>
      <c r="CB31" s="997">
        <f t="shared" si="43"/>
        <v>0</v>
      </c>
      <c r="CC31" s="997">
        <f t="shared" si="12"/>
        <v>0</v>
      </c>
      <c r="CD31" s="997">
        <f t="shared" si="13"/>
        <v>0</v>
      </c>
      <c r="CE31" s="997">
        <f t="shared" si="14"/>
        <v>0</v>
      </c>
      <c r="CF31" s="997">
        <f t="shared" si="15"/>
        <v>0</v>
      </c>
      <c r="CG31" s="997">
        <f t="shared" si="16"/>
        <v>0</v>
      </c>
      <c r="CH31" s="997">
        <f t="shared" si="17"/>
        <v>0</v>
      </c>
      <c r="CI31" s="997">
        <f t="shared" si="18"/>
        <v>0</v>
      </c>
      <c r="CJ31" s="997">
        <f t="shared" si="19"/>
        <v>0</v>
      </c>
      <c r="CK31" s="997"/>
      <c r="CL31" s="997"/>
      <c r="CM31" s="997">
        <f t="shared" si="20"/>
        <v>0</v>
      </c>
      <c r="CN31" s="997">
        <f t="shared" si="21"/>
        <v>0</v>
      </c>
      <c r="CO31" s="997">
        <f t="shared" si="22"/>
        <v>0</v>
      </c>
      <c r="CP31" s="997">
        <f t="shared" si="44"/>
        <v>0</v>
      </c>
      <c r="CQ31" s="997">
        <f t="shared" si="23"/>
        <v>0</v>
      </c>
      <c r="CR31" s="997">
        <f>IFERROR(VLOOKUP($B31,SchumeiBituahYesodi!$C$6:$AA$100,8,FALSE),0)</f>
        <v>0</v>
      </c>
      <c r="CS31" s="997">
        <f>IFERROR(VLOOKUP($B31,PirteiKisuiBeMutzar_procerur!$C$6:$AA$100,2,FALSE),0)</f>
        <v>0</v>
      </c>
      <c r="CT31" s="997">
        <f>IFERROR(VLOOKUP($B31,PirteiKisuiBeMutzar_procerur!$C$6:$AA$100,3,FALSE),0)</f>
        <v>0</v>
      </c>
      <c r="CU31" s="997">
        <f>IFERROR(VLOOKUP($B31,PirteiKisuiBeMutzar_procerur!$C$6:$AA$100,4,FALSE),0)</f>
        <v>0</v>
      </c>
      <c r="CV31" s="997">
        <f>IFERROR(VLOOKUP($B31,PirteiKisuiBeMutzar_procerur!$C$6:$AA$100,5,FALSE),0)</f>
        <v>0</v>
      </c>
      <c r="CW31" s="997">
        <f>IFERROR(VLOOKUP($B31,PirteiKisuiBeMutzar_procerur!$C$6:$AA$100,6,FALSE),0)</f>
        <v>0</v>
      </c>
      <c r="CX31" s="997">
        <f>IFERROR(VLOOKUP($B31,PirteiKisuiBeMutzar_procerur!$C$6:$AA$100,7,FALSE),0)</f>
        <v>0</v>
      </c>
      <c r="CY31" s="997">
        <f>IFERROR(VLOOKUP($B31,PirteiKisuiBeMutzar_procerur!$C$6:$AA$100,8,FALSE),0)</f>
        <v>0</v>
      </c>
      <c r="CZ31" s="997">
        <f>IFERROR(VLOOKUP($B31,PirteiKisuiBeMutzar_procerur!$C$6:$AA$100,9,FALSE),0)</f>
        <v>0</v>
      </c>
      <c r="DA31" s="997">
        <f>IFERROR(VLOOKUP($B31,PirteiKisuiBeMutzar_procerur!$C$6:$AA$100,10,FALSE),0)</f>
        <v>0</v>
      </c>
      <c r="DB31" s="997">
        <f>IFERROR(VLOOKUP($B31,PirteiKisuiBeMutzar_procerur!$C$6:$AA$100,11,FALSE),0)</f>
        <v>0</v>
      </c>
      <c r="DC31" s="997">
        <f>IFERROR(VLOOKUP($B31,PirteiKisuiBeMutzarPrmia!$C$6:$Z$100,2,FALSE),0)</f>
        <v>0</v>
      </c>
      <c r="DD31" s="997">
        <f>IFERROR(VLOOKUP($B31,PirteiKisuiBeMutzarPrmia!$C$6:$Z$100,3,FALSE),0)</f>
        <v>0</v>
      </c>
      <c r="DE31" s="997">
        <f>IFERROR(VLOOKUP($B31,PirteiKisuiBeMutzarPrmia!$C$6:$Z$100,4,FALSE),0)</f>
        <v>0</v>
      </c>
      <c r="DF31" s="997">
        <f>IFERROR(VLOOKUP($B31,PirteiKisuiBeMutzarPrmia!$C$6:$Z$100,5,FALSE),0)</f>
        <v>0</v>
      </c>
      <c r="DG31" s="997">
        <f>IFERROR(VLOOKUP($B31,PirteiKisuiBeMutzarPrmia!$C$6:$Z$100,6,FALSE),0)</f>
        <v>0</v>
      </c>
      <c r="DH31" s="997">
        <f>IFERROR(VLOOKUP($B31,PirteiKisuiBeMutzarPrmia!$C$6:$Z$100,7,FALSE),0)</f>
        <v>0</v>
      </c>
      <c r="DI31" s="997">
        <f>IFERROR(VLOOKUP($B31,PirteiKisuiBeMutzarPrmia!$C$6:$Z$100,8,FALSE),0)</f>
        <v>0</v>
      </c>
      <c r="DJ31" s="997">
        <f>IFERROR(VLOOKUP($B31,PirteiKisuiBeMutzarPrmia!$C$6:$Z$100,9,FALSE),0)</f>
        <v>0</v>
      </c>
      <c r="DK31" s="997">
        <f>IFERROR(VLOOKUP($B31,PirteiKisuiBeMutzarPrmia!$C$6:$Z$100,10,FALSE),0)</f>
        <v>0</v>
      </c>
      <c r="DL31" s="997">
        <f>IFERROR(VLOOKUP($B31,PirteiKisuiBeMutzarPrmia!$C$6:$Z$100,11,FALSE),0)</f>
        <v>0</v>
      </c>
      <c r="DM31" s="997">
        <f t="shared" si="24"/>
        <v>0</v>
      </c>
      <c r="DN31" s="997">
        <f t="shared" si="25"/>
        <v>0</v>
      </c>
      <c r="DO31" s="997">
        <f t="shared" si="26"/>
        <v>0</v>
      </c>
      <c r="DP31" s="997">
        <f t="shared" si="27"/>
        <v>0</v>
      </c>
      <c r="DQ31" s="997">
        <f t="shared" si="28"/>
        <v>0</v>
      </c>
      <c r="DR31" s="997">
        <f>IF(OR(L31=1,L31=3),IFERROR(VLOOKUP($B31,PerutHafkadotMetchilatShanaAvgM!$C$6:$G$100,3,FALSE),0),0)</f>
        <v>0</v>
      </c>
      <c r="DS31" s="997">
        <f>IF(OR(L31=2,L31=4),IFERROR(VLOOKUP($B31,PerutHafkadotMetchilatShanaAvgM!$C$6:$G$100,3,FALSE),0),0)</f>
        <v>0</v>
      </c>
      <c r="DT31" s="997">
        <f>IFERROR(VLOOKUP($B31,PerutHafkadotMetchilatShanaAvgM!$C$6:$G$100,4,FALSE),0)</f>
        <v>0</v>
      </c>
      <c r="DU31" s="997">
        <f>IFERROR(VLOOKUP($B31,Kupa!$D$6:$AA$100,5,FALSE),0)</f>
        <v>0</v>
      </c>
      <c r="DV31" s="997">
        <f>IFERROR(VLOOKUP($B31,Kupa!$D$6:$AA$100,6,FALSE),0)</f>
        <v>0</v>
      </c>
      <c r="DW31" s="997">
        <f>IFERROR(VLOOKUP($B31,KisuiBKerenPensiaDBWithParams!$D$6:$AP$100,9,FALSE),0)</f>
        <v>0</v>
      </c>
      <c r="DX31" s="997">
        <f>IFERROR(VLOOKUP($B31,KisuiBKerenPensiaDBWithParams!$D$6:$AP$100,12,FALSE),0)</f>
        <v>0</v>
      </c>
      <c r="DY31" s="997">
        <f>IFERROR(VLOOKUP($B31,KisuiBKerenPensiaDBWithParams!$D$6:$AP$100,13,FALSE),0)</f>
        <v>0</v>
      </c>
      <c r="DZ31" s="997">
        <f>IFERROR(VLOOKUP($B31,KisuiBKerenPensiaDBWithParams!$D$6:$AP$100,7,FALSE),0)</f>
        <v>0</v>
      </c>
      <c r="EA31" s="997">
        <f>IFERROR(VLOOKUP($B31,KisuiBKerenPensiaDBWithParams!$D$6:$AP$100,17,FALSE),0)</f>
        <v>0</v>
      </c>
      <c r="EB31" s="997">
        <f>IFERROR(VLOOKUP($B31,KisuiBKerenPensiaDBWithParams!$D$6:$AP$100,20,FALSE),0)</f>
        <v>0</v>
      </c>
      <c r="EC31" s="997">
        <f>IFERROR(VLOOKUP($B31,KisuiBKerenPensiaDBWithParams!$D$6:$AP$100,21,FALSE),0)</f>
        <v>0</v>
      </c>
      <c r="ED31" s="997">
        <f t="shared" si="45"/>
        <v>0</v>
      </c>
      <c r="EE31" s="997"/>
      <c r="EF31" s="1020">
        <f>IFERROR(VLOOKUP($B31,KisuiBKerenPensiaDBWithParams!$D$6:$AP$100,21,FALSE),0)</f>
        <v>0</v>
      </c>
      <c r="EG31" s="1020">
        <f>IFERROR(VLOOKUP($B31,KisuiBKerenPensiaDBWithParams!$D$6:$AP$100,21,FALSE),0)</f>
        <v>0</v>
      </c>
      <c r="EH31">
        <f>IF(OR(G31=MyData!$J$51,G31=MyData!$J$52,G31=MyData!$J$53),1,IF(G31=MyData!$J$50,2,0))</f>
        <v>0</v>
      </c>
      <c r="EI31">
        <f>IFERROR(VLOOKUP($B31,CrosstabPerutYitrotDB!$C$6:$N$50,3,FALSE),0)</f>
        <v>0</v>
      </c>
      <c r="EJ31">
        <f>IFERROR(VLOOKUP($B31,CrosstabPerutYitrotDB!$C$6:$N$50,4,FALSE),0)</f>
        <v>0</v>
      </c>
      <c r="EK31">
        <f>IFERROR(VLOOKUP($B31,CrosstabPerutYitrotDB!$C$6:$N$50,5,FALSE),0)</f>
        <v>0</v>
      </c>
      <c r="EL31">
        <f>IFERROR(VLOOKUP($B31,CrosstabPerutYitrotDB!$C$6:$N$50,6,FALSE),0)</f>
        <v>0</v>
      </c>
      <c r="EM31">
        <f>IFERROR(VLOOKUP($B31,CrosstabPerutYitrotDB!$C$6:$N$50,7,FALSE),0)</f>
        <v>0</v>
      </c>
      <c r="EN31">
        <f>IFERROR(VLOOKUP($B31,CrosstabPerutYitrotDB!$C$6:$N$50,8,FALSE),0)</f>
        <v>0</v>
      </c>
      <c r="EO31">
        <f>IFERROR(VLOOKUP($B31,CrosstabPerutYitrotDB!$C$6:$N$50,9,FALSE),0)</f>
        <v>0</v>
      </c>
      <c r="EP31">
        <f>IFERROR(VLOOKUP($B31,CrosstabPerutYitrotDB!$C$6:$N$50,10,FALSE),0)</f>
        <v>0</v>
      </c>
      <c r="EQ31">
        <f>IFERROR(VLOOKUP($B31,CrosstabPerutYitrotDB!$C$6:$N$50,11,FALSE),0)</f>
        <v>0</v>
      </c>
    </row>
    <row r="32" spans="1:147" x14ac:dyDescent="0.2">
      <c r="A32">
        <f t="shared" si="46"/>
        <v>0</v>
      </c>
      <c r="B32" s="20">
        <f>RicusPolice!E29</f>
        <v>0</v>
      </c>
      <c r="C32" s="20">
        <f>RicusPolice!AL29</f>
        <v>0</v>
      </c>
      <c r="D32" s="20">
        <f>RicusPolice!F29</f>
        <v>0</v>
      </c>
      <c r="E32" s="20">
        <f>RicusPolice!R29</f>
        <v>0</v>
      </c>
      <c r="F32" s="20">
        <f>RicusPolice!N29</f>
        <v>0</v>
      </c>
      <c r="G32" s="20">
        <f>IFERROR(VLOOKUP($B32,PerutYitrot!$D$6:$P$100,4,FALSE),0)</f>
        <v>0</v>
      </c>
      <c r="H32" s="20">
        <f t="shared" si="29"/>
        <v>0</v>
      </c>
      <c r="I32" s="20">
        <f>RicusPolice!L29</f>
        <v>0</v>
      </c>
      <c r="J32" s="179">
        <f>IFERROR(VLOOKUP(TRIM(K32),MyData!$J$44:$K$50,2,FALSE),0)</f>
        <v>0</v>
      </c>
      <c r="K32" s="20">
        <f>RicusPolice!M29</f>
        <v>0</v>
      </c>
      <c r="L32" s="20">
        <f>RicusPolice!AM29</f>
        <v>0</v>
      </c>
      <c r="M32" s="20" t="str">
        <f>IF(B32&gt;0,RicusPolice!Y29," ")</f>
        <v xml:space="preserve"> </v>
      </c>
      <c r="N32" s="20" t="str">
        <f t="shared" si="30"/>
        <v/>
      </c>
      <c r="O32" s="20">
        <f>RicusPolice!N29</f>
        <v>0</v>
      </c>
      <c r="P32" s="20">
        <f>IFERROR(VLOOKUP(B32,PerutMasluleiHashkaa!$D$6:$R$100,4,FALSE),0)</f>
        <v>0</v>
      </c>
      <c r="Q32" s="19"/>
      <c r="R32" s="1011" t="str">
        <f>IF(B32&gt;0,RicusPolice!P31," ")</f>
        <v xml:space="preserve"> </v>
      </c>
      <c r="S32" s="20">
        <f>IFERROR(VLOOKUP($B32,'נתונים ידניים'!$B$9:$G$51,6,FALSE),0)</f>
        <v>0</v>
      </c>
      <c r="T32" s="21">
        <f>'נתונים ידניים'!J33</f>
        <v>0</v>
      </c>
      <c r="U32" s="21">
        <f>'נתונים ידניים'!K33</f>
        <v>0</v>
      </c>
      <c r="V32" s="20">
        <f>IFERROR(VLOOKUP($B32,PerutHafrashotLePolisa!$D$6:$N$50,2,FALSE),0)</f>
        <v>0</v>
      </c>
      <c r="W32" s="20">
        <f>IFERROR(VLOOKUP($B32,PerutHafrashotLePolisa!$D$6:$N$50,4,FALSE),0)</f>
        <v>0</v>
      </c>
      <c r="X32" s="20">
        <f>IFERROR(VLOOKUP($B32,PerutHafrashotLePolisa!$D$6:$N$50,3,FALSE),0)</f>
        <v>0</v>
      </c>
      <c r="Y32">
        <f t="shared" si="31"/>
        <v>0</v>
      </c>
      <c r="Z32">
        <f>RicusPolice!AP29</f>
        <v>0</v>
      </c>
      <c r="AA32">
        <f>IFERROR(VLOOKUP(B32,PirteiHaasaka!$D$6:$R$100,5,FALSE),0)</f>
        <v>0</v>
      </c>
      <c r="AC32">
        <f>IFERROR(VLOOKUP(B32,HafkadotMetchilatShanaAverages!$D$6:$E$100,2,FALSE),0)</f>
        <v>0</v>
      </c>
      <c r="AF32">
        <f>'נתונים ידניים'!L33</f>
        <v>0</v>
      </c>
      <c r="AG32">
        <f>IFERROR(VLOOKUP(B32,CrossTabYitraLeTkufa_till_2000!$D$6:$AB$100,6,FALSE),0)+IFERROR(VLOOKUP(B32,CrossTabYitraLeTkufa_after_2000!$D$6:$AB$100,6,FALSE),0)</f>
        <v>0</v>
      </c>
      <c r="AH32">
        <f>IFERROR(VLOOKUP(B32,CrossTabYitraLeTkufa_till_2000!$D$6:$AB$100,16,FALSE),0)</f>
        <v>0</v>
      </c>
      <c r="AI32">
        <f>IFERROR(VLOOKUP(B32,CrossTabYitraLeTkufa_after_2000!$D$6:$AB$100,16,FALSE),0)</f>
        <v>0</v>
      </c>
      <c r="AJ32">
        <f>IFERROR(VLOOKUP(B32,CrossTabYitraLeTkufa_till_2000!$D$6:$AB$100,17,FALSE),0)</f>
        <v>0</v>
      </c>
      <c r="AK32">
        <f>IFERROR(VLOOKUP(B32,CrossTabYitraLeTkufa_after_2000!$D$6:$AB$100,17,FALSE),0)</f>
        <v>0</v>
      </c>
      <c r="AL32" s="5">
        <f t="shared" si="32"/>
        <v>0</v>
      </c>
      <c r="AO32">
        <f>IFERROR(VLOOKUP(B32,PirteiKisuiBeMutzar_procerur!$C$6:$AA$100,2,FALSE),0)</f>
        <v>0</v>
      </c>
      <c r="AQ32">
        <f>IFERROR(VLOOKUP($B32,PirteiKisuiBeMutzar_procerur!$C$6:$AA$100,5,FALSE),0)</f>
        <v>0</v>
      </c>
      <c r="AR32">
        <f>IFERROR(VLOOKUP($B32,PirteiKisuiBeMutzar_procerur!$C$6:$AA$100,3,FALSE),0)</f>
        <v>0</v>
      </c>
      <c r="AS32">
        <f>IFERROR(VLOOKUP($B32,PirteiKisuiBeMutzar_procerur!$C$6:$AA$100,6,FALSE),0)</f>
        <v>0</v>
      </c>
      <c r="AT32">
        <f>IFERROR(VLOOKUP($B32,PirteiKisuiBeMutzar_procerur!$C$6:$AA$100,7,FALSE),0)</f>
        <v>0</v>
      </c>
      <c r="AX32" s="997">
        <f t="shared" si="33"/>
        <v>0</v>
      </c>
      <c r="AY32" s="997">
        <f t="shared" si="34"/>
        <v>0</v>
      </c>
      <c r="AZ32" s="997">
        <f t="shared" si="35"/>
        <v>0</v>
      </c>
      <c r="BA32" s="997">
        <f>IFERROR(FV(S32/100/12,'נתוני יסוד'!$B$16*12,AX32,AG32)*(-1),0)</f>
        <v>0</v>
      </c>
      <c r="BB32" s="997">
        <f>IFERROR(FV(S32/100/12,'נתוני יסוד'!$B$16*12,0,AH32)*(-1),0)</f>
        <v>0</v>
      </c>
      <c r="BC32" s="997">
        <f>IFERROR(FV(S32/100/12,'נתוני יסוד'!$B$16*12,AY32,AI32)*(-1),0)</f>
        <v>0</v>
      </c>
      <c r="BD32" s="997">
        <f>IFERROR(FV(S32/100/12,'נתוני יסוד'!$B$16*12,0,AJ32)*(-1),0)</f>
        <v>0</v>
      </c>
      <c r="BE32" s="997">
        <f>IFERROR(FV(S32/100/12,'נתוני יסוד'!$B$16*12,AZ32,AK32)*(-1),0)</f>
        <v>0</v>
      </c>
      <c r="BF32" s="997">
        <f t="shared" si="36"/>
        <v>0</v>
      </c>
      <c r="BG32" s="997">
        <f>IFERROR(FV(S32/100/12,'נתוני יסוד'!$B$16*12,AF32,AL32)*(-1),0)</f>
        <v>0</v>
      </c>
      <c r="BH32" s="997">
        <f t="shared" si="37"/>
        <v>0</v>
      </c>
      <c r="BI32" s="997">
        <f t="shared" si="38"/>
        <v>0</v>
      </c>
      <c r="BJ32" s="997">
        <f t="shared" si="39"/>
        <v>0</v>
      </c>
      <c r="BK32" s="997">
        <f t="shared" si="40"/>
        <v>0</v>
      </c>
      <c r="BL32" s="997">
        <f t="shared" si="1"/>
        <v>0</v>
      </c>
      <c r="BM32" s="997">
        <f t="shared" si="2"/>
        <v>0</v>
      </c>
      <c r="BN32" s="997">
        <f t="shared" si="3"/>
        <v>0</v>
      </c>
      <c r="BO32" s="997">
        <f t="shared" si="41"/>
        <v>0</v>
      </c>
      <c r="BP32" s="997">
        <f t="shared" si="4"/>
        <v>0</v>
      </c>
      <c r="BS32">
        <f t="shared" si="5"/>
        <v>0</v>
      </c>
      <c r="BT32">
        <f t="shared" si="6"/>
        <v>0</v>
      </c>
      <c r="BU32">
        <f t="shared" si="7"/>
        <v>0</v>
      </c>
      <c r="BV32">
        <f t="shared" si="42"/>
        <v>0</v>
      </c>
      <c r="BW32">
        <f t="shared" si="8"/>
        <v>0</v>
      </c>
      <c r="BY32" s="997">
        <f t="shared" si="9"/>
        <v>0</v>
      </c>
      <c r="BZ32" s="997">
        <f t="shared" si="10"/>
        <v>0</v>
      </c>
      <c r="CA32" s="997">
        <f t="shared" si="11"/>
        <v>0</v>
      </c>
      <c r="CB32" s="997">
        <f t="shared" si="43"/>
        <v>0</v>
      </c>
      <c r="CC32" s="997">
        <f t="shared" si="12"/>
        <v>0</v>
      </c>
      <c r="CD32" s="997">
        <f t="shared" si="13"/>
        <v>0</v>
      </c>
      <c r="CE32" s="997">
        <f t="shared" si="14"/>
        <v>0</v>
      </c>
      <c r="CF32" s="997">
        <f t="shared" si="15"/>
        <v>0</v>
      </c>
      <c r="CG32" s="997">
        <f t="shared" si="16"/>
        <v>0</v>
      </c>
      <c r="CH32" s="997">
        <f t="shared" si="17"/>
        <v>0</v>
      </c>
      <c r="CI32" s="997">
        <f t="shared" si="18"/>
        <v>0</v>
      </c>
      <c r="CJ32" s="997">
        <f t="shared" si="19"/>
        <v>0</v>
      </c>
      <c r="CK32" s="997"/>
      <c r="CL32" s="997"/>
      <c r="CM32" s="997">
        <f t="shared" si="20"/>
        <v>0</v>
      </c>
      <c r="CN32" s="997">
        <f t="shared" si="21"/>
        <v>0</v>
      </c>
      <c r="CO32" s="997">
        <f t="shared" si="22"/>
        <v>0</v>
      </c>
      <c r="CP32" s="997">
        <f t="shared" si="44"/>
        <v>0</v>
      </c>
      <c r="CQ32" s="997">
        <f t="shared" si="23"/>
        <v>0</v>
      </c>
      <c r="CR32" s="997">
        <f>IFERROR(VLOOKUP($B32,SchumeiBituahYesodi!$C$6:$AA$100,8,FALSE),0)</f>
        <v>0</v>
      </c>
      <c r="CS32" s="997">
        <f>IFERROR(VLOOKUP($B32,PirteiKisuiBeMutzar_procerur!$C$6:$AA$100,2,FALSE),0)</f>
        <v>0</v>
      </c>
      <c r="CT32" s="997">
        <f>IFERROR(VLOOKUP($B32,PirteiKisuiBeMutzar_procerur!$C$6:$AA$100,3,FALSE),0)</f>
        <v>0</v>
      </c>
      <c r="CU32" s="997">
        <f>IFERROR(VLOOKUP($B32,PirteiKisuiBeMutzar_procerur!$C$6:$AA$100,4,FALSE),0)</f>
        <v>0</v>
      </c>
      <c r="CV32" s="997">
        <f>IFERROR(VLOOKUP($B32,PirteiKisuiBeMutzar_procerur!$C$6:$AA$100,5,FALSE),0)</f>
        <v>0</v>
      </c>
      <c r="CW32" s="997">
        <f>IFERROR(VLOOKUP($B32,PirteiKisuiBeMutzar_procerur!$C$6:$AA$100,6,FALSE),0)</f>
        <v>0</v>
      </c>
      <c r="CX32" s="997">
        <f>IFERROR(VLOOKUP($B32,PirteiKisuiBeMutzar_procerur!$C$6:$AA$100,7,FALSE),0)</f>
        <v>0</v>
      </c>
      <c r="CY32" s="997">
        <f>IFERROR(VLOOKUP($B32,PirteiKisuiBeMutzar_procerur!$C$6:$AA$100,8,FALSE),0)</f>
        <v>0</v>
      </c>
      <c r="CZ32" s="997">
        <f>IFERROR(VLOOKUP($B32,PirteiKisuiBeMutzar_procerur!$C$6:$AA$100,9,FALSE),0)</f>
        <v>0</v>
      </c>
      <c r="DA32" s="997">
        <f>IFERROR(VLOOKUP($B32,PirteiKisuiBeMutzar_procerur!$C$6:$AA$100,10,FALSE),0)</f>
        <v>0</v>
      </c>
      <c r="DB32" s="997">
        <f>IFERROR(VLOOKUP($B32,PirteiKisuiBeMutzar_procerur!$C$6:$AA$100,11,FALSE),0)</f>
        <v>0</v>
      </c>
      <c r="DC32" s="997">
        <f>IFERROR(VLOOKUP($B32,PirteiKisuiBeMutzarPrmia!$C$6:$Z$100,2,FALSE),0)</f>
        <v>0</v>
      </c>
      <c r="DD32" s="997">
        <f>IFERROR(VLOOKUP($B32,PirteiKisuiBeMutzarPrmia!$C$6:$Z$100,3,FALSE),0)</f>
        <v>0</v>
      </c>
      <c r="DE32" s="997">
        <f>IFERROR(VLOOKUP($B32,PirteiKisuiBeMutzarPrmia!$C$6:$Z$100,4,FALSE),0)</f>
        <v>0</v>
      </c>
      <c r="DF32" s="997">
        <f>IFERROR(VLOOKUP($B32,PirteiKisuiBeMutzarPrmia!$C$6:$Z$100,5,FALSE),0)</f>
        <v>0</v>
      </c>
      <c r="DG32" s="997">
        <f>IFERROR(VLOOKUP($B32,PirteiKisuiBeMutzarPrmia!$C$6:$Z$100,6,FALSE),0)</f>
        <v>0</v>
      </c>
      <c r="DH32" s="997">
        <f>IFERROR(VLOOKUP($B32,PirteiKisuiBeMutzarPrmia!$C$6:$Z$100,7,FALSE),0)</f>
        <v>0</v>
      </c>
      <c r="DI32" s="997">
        <f>IFERROR(VLOOKUP($B32,PirteiKisuiBeMutzarPrmia!$C$6:$Z$100,8,FALSE),0)</f>
        <v>0</v>
      </c>
      <c r="DJ32" s="997">
        <f>IFERROR(VLOOKUP($B32,PirteiKisuiBeMutzarPrmia!$C$6:$Z$100,9,FALSE),0)</f>
        <v>0</v>
      </c>
      <c r="DK32" s="997">
        <f>IFERROR(VLOOKUP($B32,PirteiKisuiBeMutzarPrmia!$C$6:$Z$100,10,FALSE),0)</f>
        <v>0</v>
      </c>
      <c r="DL32" s="997">
        <f>IFERROR(VLOOKUP($B32,PirteiKisuiBeMutzarPrmia!$C$6:$Z$100,11,FALSE),0)</f>
        <v>0</v>
      </c>
      <c r="DM32" s="997">
        <f t="shared" si="24"/>
        <v>0</v>
      </c>
      <c r="DN32" s="997">
        <f t="shared" si="25"/>
        <v>0</v>
      </c>
      <c r="DO32" s="997">
        <f t="shared" si="26"/>
        <v>0</v>
      </c>
      <c r="DP32" s="997">
        <f t="shared" si="27"/>
        <v>0</v>
      </c>
      <c r="DQ32" s="997">
        <f t="shared" si="28"/>
        <v>0</v>
      </c>
      <c r="DR32" s="997">
        <f>IF(OR(L32=1,L32=3),IFERROR(VLOOKUP($B32,PerutHafkadotMetchilatShanaAvgM!$C$6:$G$100,3,FALSE),0),0)</f>
        <v>0</v>
      </c>
      <c r="DS32" s="997">
        <f>IF(OR(L32=2,L32=4),IFERROR(VLOOKUP($B32,PerutHafkadotMetchilatShanaAvgM!$C$6:$G$100,3,FALSE),0),0)</f>
        <v>0</v>
      </c>
      <c r="DT32" s="997">
        <f>IFERROR(VLOOKUP($B32,PerutHafkadotMetchilatShanaAvgM!$C$6:$G$100,4,FALSE),0)</f>
        <v>0</v>
      </c>
      <c r="DU32" s="997">
        <f>IFERROR(VLOOKUP($B32,Kupa!$D$6:$AA$100,5,FALSE),0)</f>
        <v>0</v>
      </c>
      <c r="DV32" s="997">
        <f>IFERROR(VLOOKUP($B32,Kupa!$D$6:$AA$100,6,FALSE),0)</f>
        <v>0</v>
      </c>
      <c r="DW32" s="997">
        <f>IFERROR(VLOOKUP($B32,KisuiBKerenPensiaDBWithParams!$D$6:$AP$100,9,FALSE),0)</f>
        <v>0</v>
      </c>
      <c r="DX32" s="997">
        <f>IFERROR(VLOOKUP($B32,KisuiBKerenPensiaDBWithParams!$D$6:$AP$100,12,FALSE),0)</f>
        <v>0</v>
      </c>
      <c r="DY32" s="997">
        <f>IFERROR(VLOOKUP($B32,KisuiBKerenPensiaDBWithParams!$D$6:$AP$100,13,FALSE),0)</f>
        <v>0</v>
      </c>
      <c r="DZ32" s="997">
        <f>IFERROR(VLOOKUP($B32,KisuiBKerenPensiaDBWithParams!$D$6:$AP$100,7,FALSE),0)</f>
        <v>0</v>
      </c>
      <c r="EA32" s="997">
        <f>IFERROR(VLOOKUP($B32,KisuiBKerenPensiaDBWithParams!$D$6:$AP$100,17,FALSE),0)</f>
        <v>0</v>
      </c>
      <c r="EB32" s="997">
        <f>IFERROR(VLOOKUP($B32,KisuiBKerenPensiaDBWithParams!$D$6:$AP$100,20,FALSE),0)</f>
        <v>0</v>
      </c>
      <c r="EC32" s="997">
        <f>IFERROR(VLOOKUP($B32,KisuiBKerenPensiaDBWithParams!$D$6:$AP$100,21,FALSE),0)</f>
        <v>0</v>
      </c>
      <c r="ED32" s="997">
        <f t="shared" si="45"/>
        <v>0</v>
      </c>
      <c r="EE32" s="997"/>
      <c r="EF32" s="1020">
        <f>IFERROR(VLOOKUP($B32,KisuiBKerenPensiaDBWithParams!$D$6:$AP$100,21,FALSE),0)</f>
        <v>0</v>
      </c>
      <c r="EG32" s="1020">
        <f>IFERROR(VLOOKUP($B32,KisuiBKerenPensiaDBWithParams!$D$6:$AP$100,21,FALSE),0)</f>
        <v>0</v>
      </c>
      <c r="EH32">
        <f>IF(OR(G32=MyData!$J$51,G32=MyData!$J$52,G32=MyData!$J$53),1,IF(G32=MyData!$J$50,2,0))</f>
        <v>0</v>
      </c>
      <c r="EI32">
        <f>IFERROR(VLOOKUP($B32,CrosstabPerutYitrotDB!$C$6:$N$50,3,FALSE),0)</f>
        <v>0</v>
      </c>
      <c r="EJ32">
        <f>IFERROR(VLOOKUP($B32,CrosstabPerutYitrotDB!$C$6:$N$50,4,FALSE),0)</f>
        <v>0</v>
      </c>
      <c r="EK32">
        <f>IFERROR(VLOOKUP($B32,CrosstabPerutYitrotDB!$C$6:$N$50,5,FALSE),0)</f>
        <v>0</v>
      </c>
      <c r="EL32">
        <f>IFERROR(VLOOKUP($B32,CrosstabPerutYitrotDB!$C$6:$N$50,6,FALSE),0)</f>
        <v>0</v>
      </c>
      <c r="EM32">
        <f>IFERROR(VLOOKUP($B32,CrosstabPerutYitrotDB!$C$6:$N$50,7,FALSE),0)</f>
        <v>0</v>
      </c>
      <c r="EN32">
        <f>IFERROR(VLOOKUP($B32,CrosstabPerutYitrotDB!$C$6:$N$50,8,FALSE),0)</f>
        <v>0</v>
      </c>
      <c r="EO32">
        <f>IFERROR(VLOOKUP($B32,CrosstabPerutYitrotDB!$C$6:$N$50,9,FALSE),0)</f>
        <v>0</v>
      </c>
      <c r="EP32">
        <f>IFERROR(VLOOKUP($B32,CrosstabPerutYitrotDB!$C$6:$N$50,10,FALSE),0)</f>
        <v>0</v>
      </c>
      <c r="EQ32">
        <f>IFERROR(VLOOKUP($B32,CrosstabPerutYitrotDB!$C$6:$N$50,11,FALSE),0)</f>
        <v>0</v>
      </c>
    </row>
    <row r="33" spans="1:147" x14ac:dyDescent="0.2">
      <c r="A33">
        <f t="shared" si="46"/>
        <v>0</v>
      </c>
      <c r="B33" s="20">
        <f>RicusPolice!E30</f>
        <v>0</v>
      </c>
      <c r="C33" s="20">
        <f>RicusPolice!AL30</f>
        <v>0</v>
      </c>
      <c r="D33" s="20">
        <f>RicusPolice!F30</f>
        <v>0</v>
      </c>
      <c r="E33" s="20">
        <f>RicusPolice!R30</f>
        <v>0</v>
      </c>
      <c r="F33" s="20">
        <f>RicusPolice!N30</f>
        <v>0</v>
      </c>
      <c r="G33" s="20">
        <f>IFERROR(VLOOKUP($B33,PerutYitrot!$D$6:$P$100,4,FALSE),0)</f>
        <v>0</v>
      </c>
      <c r="H33" s="20">
        <f t="shared" si="29"/>
        <v>0</v>
      </c>
      <c r="I33" s="20">
        <f>RicusPolice!L30</f>
        <v>0</v>
      </c>
      <c r="J33" s="179">
        <f>IFERROR(VLOOKUP(TRIM(K33),MyData!$J$44:$K$50,2,FALSE),0)</f>
        <v>0</v>
      </c>
      <c r="K33" s="20">
        <f>RicusPolice!M30</f>
        <v>0</v>
      </c>
      <c r="L33" s="20">
        <f>RicusPolice!AM30</f>
        <v>0</v>
      </c>
      <c r="M33" s="20" t="str">
        <f>IF(B33&gt;0,RicusPolice!Y30," ")</f>
        <v xml:space="preserve"> </v>
      </c>
      <c r="N33" s="20" t="str">
        <f t="shared" si="30"/>
        <v/>
      </c>
      <c r="O33" s="20">
        <f>RicusPolice!N30</f>
        <v>0</v>
      </c>
      <c r="P33" s="20">
        <f>IFERROR(VLOOKUP(B33,PerutMasluleiHashkaa!$D$6:$R$100,4,FALSE),0)</f>
        <v>0</v>
      </c>
      <c r="Q33" s="19"/>
      <c r="R33" s="1011" t="str">
        <f>IF(B33&gt;0,RicusPolice!P32," ")</f>
        <v xml:space="preserve"> </v>
      </c>
      <c r="S33" s="20">
        <f>IFERROR(VLOOKUP($B33,'נתונים ידניים'!$B$9:$G$51,6,FALSE),0)</f>
        <v>0</v>
      </c>
      <c r="T33" s="21">
        <f>'נתונים ידניים'!J34</f>
        <v>0</v>
      </c>
      <c r="U33" s="21">
        <f>'נתונים ידניים'!K34</f>
        <v>0</v>
      </c>
      <c r="V33" s="20">
        <f>IFERROR(VLOOKUP($B33,PerutHafrashotLePolisa!$D$6:$N$50,2,FALSE),0)</f>
        <v>0</v>
      </c>
      <c r="W33" s="20">
        <f>IFERROR(VLOOKUP($B33,PerutHafrashotLePolisa!$D$6:$N$50,4,FALSE),0)</f>
        <v>0</v>
      </c>
      <c r="X33" s="20">
        <f>IFERROR(VLOOKUP($B33,PerutHafrashotLePolisa!$D$6:$N$50,3,FALSE),0)</f>
        <v>0</v>
      </c>
      <c r="Y33">
        <f t="shared" si="31"/>
        <v>0</v>
      </c>
      <c r="Z33">
        <f>RicusPolice!AP30</f>
        <v>0</v>
      </c>
      <c r="AA33">
        <f>IFERROR(VLOOKUP(B33,PirteiHaasaka!$D$6:$R$100,5,FALSE),0)</f>
        <v>0</v>
      </c>
      <c r="AC33">
        <f>IFERROR(VLOOKUP(B33,HafkadotMetchilatShanaAverages!$D$6:$E$100,2,FALSE),0)</f>
        <v>0</v>
      </c>
      <c r="AF33">
        <f>'נתונים ידניים'!L34</f>
        <v>0</v>
      </c>
      <c r="AG33">
        <f>IFERROR(VLOOKUP(B33,CrossTabYitraLeTkufa_till_2000!$D$6:$AB$100,6,FALSE),0)+IFERROR(VLOOKUP(B33,CrossTabYitraLeTkufa_after_2000!$D$6:$AB$100,6,FALSE),0)</f>
        <v>0</v>
      </c>
      <c r="AH33">
        <f>IFERROR(VLOOKUP(B33,CrossTabYitraLeTkufa_till_2000!$D$6:$AB$100,16,FALSE),0)</f>
        <v>0</v>
      </c>
      <c r="AI33">
        <f>IFERROR(VLOOKUP(B33,CrossTabYitraLeTkufa_after_2000!$D$6:$AB$100,16,FALSE),0)</f>
        <v>0</v>
      </c>
      <c r="AJ33">
        <f>IFERROR(VLOOKUP(B33,CrossTabYitraLeTkufa_till_2000!$D$6:$AB$100,17,FALSE),0)</f>
        <v>0</v>
      </c>
      <c r="AK33">
        <f>IFERROR(VLOOKUP(B33,CrossTabYitraLeTkufa_after_2000!$D$6:$AB$100,17,FALSE),0)</f>
        <v>0</v>
      </c>
      <c r="AL33" s="5">
        <f t="shared" si="32"/>
        <v>0</v>
      </c>
      <c r="AO33">
        <f>IFERROR(VLOOKUP(B33,PirteiKisuiBeMutzar_procerur!$C$6:$AA$100,2,FALSE),0)</f>
        <v>0</v>
      </c>
      <c r="AQ33">
        <f>IFERROR(VLOOKUP($B33,PirteiKisuiBeMutzar_procerur!$C$6:$AA$100,5,FALSE),0)</f>
        <v>0</v>
      </c>
      <c r="AR33">
        <f>IFERROR(VLOOKUP($B33,PirteiKisuiBeMutzar_procerur!$C$6:$AA$100,3,FALSE),0)</f>
        <v>0</v>
      </c>
      <c r="AS33">
        <f>IFERROR(VLOOKUP($B33,PirteiKisuiBeMutzar_procerur!$C$6:$AA$100,6,FALSE),0)</f>
        <v>0</v>
      </c>
      <c r="AT33">
        <f>IFERROR(VLOOKUP($B33,PirteiKisuiBeMutzar_procerur!$C$6:$AA$100,7,FALSE),0)</f>
        <v>0</v>
      </c>
      <c r="AX33" s="997">
        <f t="shared" si="33"/>
        <v>0</v>
      </c>
      <c r="AY33" s="997">
        <f t="shared" si="34"/>
        <v>0</v>
      </c>
      <c r="AZ33" s="997">
        <f t="shared" si="35"/>
        <v>0</v>
      </c>
      <c r="BA33" s="997">
        <f>IFERROR(FV(S33/100/12,'נתוני יסוד'!$B$16*12,AX33,AG33)*(-1),0)</f>
        <v>0</v>
      </c>
      <c r="BB33" s="997">
        <f>IFERROR(FV(S33/100/12,'נתוני יסוד'!$B$16*12,0,AH33)*(-1),0)</f>
        <v>0</v>
      </c>
      <c r="BC33" s="997">
        <f>IFERROR(FV(S33/100/12,'נתוני יסוד'!$B$16*12,AY33,AI33)*(-1),0)</f>
        <v>0</v>
      </c>
      <c r="BD33" s="997">
        <f>IFERROR(FV(S33/100/12,'נתוני יסוד'!$B$16*12,0,AJ33)*(-1),0)</f>
        <v>0</v>
      </c>
      <c r="BE33" s="997">
        <f>IFERROR(FV(S33/100/12,'נתוני יסוד'!$B$16*12,AZ33,AK33)*(-1),0)</f>
        <v>0</v>
      </c>
      <c r="BF33" s="997">
        <f t="shared" si="36"/>
        <v>0</v>
      </c>
      <c r="BG33" s="997">
        <f>IFERROR(FV(S33/100/12,'נתוני יסוד'!$B$16*12,AF33,AL33)*(-1),0)</f>
        <v>0</v>
      </c>
      <c r="BH33" s="997">
        <f t="shared" si="37"/>
        <v>0</v>
      </c>
      <c r="BI33" s="997">
        <f t="shared" si="38"/>
        <v>0</v>
      </c>
      <c r="BJ33" s="997">
        <f t="shared" si="39"/>
        <v>0</v>
      </c>
      <c r="BK33" s="997">
        <f t="shared" si="40"/>
        <v>0</v>
      </c>
      <c r="BL33" s="997">
        <f t="shared" si="1"/>
        <v>0</v>
      </c>
      <c r="BM33" s="997">
        <f t="shared" si="2"/>
        <v>0</v>
      </c>
      <c r="BN33" s="997">
        <f t="shared" si="3"/>
        <v>0</v>
      </c>
      <c r="BO33" s="997">
        <f t="shared" si="41"/>
        <v>0</v>
      </c>
      <c r="BP33" s="997">
        <f t="shared" si="4"/>
        <v>0</v>
      </c>
      <c r="BS33">
        <f t="shared" si="5"/>
        <v>0</v>
      </c>
      <c r="BT33">
        <f t="shared" si="6"/>
        <v>0</v>
      </c>
      <c r="BU33">
        <f t="shared" si="7"/>
        <v>0</v>
      </c>
      <c r="BV33">
        <f t="shared" si="42"/>
        <v>0</v>
      </c>
      <c r="BW33">
        <f t="shared" si="8"/>
        <v>0</v>
      </c>
      <c r="BY33" s="997">
        <f t="shared" si="9"/>
        <v>0</v>
      </c>
      <c r="BZ33" s="997">
        <f t="shared" si="10"/>
        <v>0</v>
      </c>
      <c r="CA33" s="997">
        <f t="shared" si="11"/>
        <v>0</v>
      </c>
      <c r="CB33" s="997">
        <f t="shared" si="43"/>
        <v>0</v>
      </c>
      <c r="CC33" s="997">
        <f t="shared" si="12"/>
        <v>0</v>
      </c>
      <c r="CD33" s="997">
        <f t="shared" si="13"/>
        <v>0</v>
      </c>
      <c r="CE33" s="997">
        <f t="shared" si="14"/>
        <v>0</v>
      </c>
      <c r="CF33" s="997">
        <f t="shared" si="15"/>
        <v>0</v>
      </c>
      <c r="CG33" s="997">
        <f t="shared" si="16"/>
        <v>0</v>
      </c>
      <c r="CH33" s="997">
        <f t="shared" si="17"/>
        <v>0</v>
      </c>
      <c r="CI33" s="997">
        <f t="shared" si="18"/>
        <v>0</v>
      </c>
      <c r="CJ33" s="997">
        <f t="shared" si="19"/>
        <v>0</v>
      </c>
      <c r="CK33" s="997"/>
      <c r="CL33" s="997"/>
      <c r="CM33" s="997">
        <f t="shared" si="20"/>
        <v>0</v>
      </c>
      <c r="CN33" s="997">
        <f t="shared" si="21"/>
        <v>0</v>
      </c>
      <c r="CO33" s="997">
        <f t="shared" si="22"/>
        <v>0</v>
      </c>
      <c r="CP33" s="997">
        <f t="shared" si="44"/>
        <v>0</v>
      </c>
      <c r="CQ33" s="997">
        <f t="shared" si="23"/>
        <v>0</v>
      </c>
      <c r="CR33" s="997">
        <f>IFERROR(VLOOKUP($B33,SchumeiBituahYesodi!$C$6:$AA$100,8,FALSE),0)</f>
        <v>0</v>
      </c>
      <c r="CS33" s="997">
        <f>IFERROR(VLOOKUP($B33,PirteiKisuiBeMutzar_procerur!$C$6:$AA$100,2,FALSE),0)</f>
        <v>0</v>
      </c>
      <c r="CT33" s="997">
        <f>IFERROR(VLOOKUP($B33,PirteiKisuiBeMutzar_procerur!$C$6:$AA$100,3,FALSE),0)</f>
        <v>0</v>
      </c>
      <c r="CU33" s="997">
        <f>IFERROR(VLOOKUP($B33,PirteiKisuiBeMutzar_procerur!$C$6:$AA$100,4,FALSE),0)</f>
        <v>0</v>
      </c>
      <c r="CV33" s="997">
        <f>IFERROR(VLOOKUP($B33,PirteiKisuiBeMutzar_procerur!$C$6:$AA$100,5,FALSE),0)</f>
        <v>0</v>
      </c>
      <c r="CW33" s="997">
        <f>IFERROR(VLOOKUP($B33,PirteiKisuiBeMutzar_procerur!$C$6:$AA$100,6,FALSE),0)</f>
        <v>0</v>
      </c>
      <c r="CX33" s="997">
        <f>IFERROR(VLOOKUP($B33,PirteiKisuiBeMutzar_procerur!$C$6:$AA$100,7,FALSE),0)</f>
        <v>0</v>
      </c>
      <c r="CY33" s="997">
        <f>IFERROR(VLOOKUP($B33,PirteiKisuiBeMutzar_procerur!$C$6:$AA$100,8,FALSE),0)</f>
        <v>0</v>
      </c>
      <c r="CZ33" s="997">
        <f>IFERROR(VLOOKUP($B33,PirteiKisuiBeMutzar_procerur!$C$6:$AA$100,9,FALSE),0)</f>
        <v>0</v>
      </c>
      <c r="DA33" s="997">
        <f>IFERROR(VLOOKUP($B33,PirteiKisuiBeMutzar_procerur!$C$6:$AA$100,10,FALSE),0)</f>
        <v>0</v>
      </c>
      <c r="DB33" s="997">
        <f>IFERROR(VLOOKUP($B33,PirteiKisuiBeMutzar_procerur!$C$6:$AA$100,11,FALSE),0)</f>
        <v>0</v>
      </c>
      <c r="DC33" s="997">
        <f>IFERROR(VLOOKUP($B33,PirteiKisuiBeMutzarPrmia!$C$6:$Z$100,2,FALSE),0)</f>
        <v>0</v>
      </c>
      <c r="DD33" s="997">
        <f>IFERROR(VLOOKUP($B33,PirteiKisuiBeMutzarPrmia!$C$6:$Z$100,3,FALSE),0)</f>
        <v>0</v>
      </c>
      <c r="DE33" s="997">
        <f>IFERROR(VLOOKUP($B33,PirteiKisuiBeMutzarPrmia!$C$6:$Z$100,4,FALSE),0)</f>
        <v>0</v>
      </c>
      <c r="DF33" s="997">
        <f>IFERROR(VLOOKUP($B33,PirteiKisuiBeMutzarPrmia!$C$6:$Z$100,5,FALSE),0)</f>
        <v>0</v>
      </c>
      <c r="DG33" s="997">
        <f>IFERROR(VLOOKUP($B33,PirteiKisuiBeMutzarPrmia!$C$6:$Z$100,6,FALSE),0)</f>
        <v>0</v>
      </c>
      <c r="DH33" s="997">
        <f>IFERROR(VLOOKUP($B33,PirteiKisuiBeMutzarPrmia!$C$6:$Z$100,7,FALSE),0)</f>
        <v>0</v>
      </c>
      <c r="DI33" s="997">
        <f>IFERROR(VLOOKUP($B33,PirteiKisuiBeMutzarPrmia!$C$6:$Z$100,8,FALSE),0)</f>
        <v>0</v>
      </c>
      <c r="DJ33" s="997">
        <f>IFERROR(VLOOKUP($B33,PirteiKisuiBeMutzarPrmia!$C$6:$Z$100,9,FALSE),0)</f>
        <v>0</v>
      </c>
      <c r="DK33" s="997">
        <f>IFERROR(VLOOKUP($B33,PirteiKisuiBeMutzarPrmia!$C$6:$Z$100,10,FALSE),0)</f>
        <v>0</v>
      </c>
      <c r="DL33" s="997">
        <f>IFERROR(VLOOKUP($B33,PirteiKisuiBeMutzarPrmia!$C$6:$Z$100,11,FALSE),0)</f>
        <v>0</v>
      </c>
      <c r="DM33" s="997">
        <f t="shared" si="24"/>
        <v>0</v>
      </c>
      <c r="DN33" s="997">
        <f t="shared" si="25"/>
        <v>0</v>
      </c>
      <c r="DO33" s="997">
        <f t="shared" si="26"/>
        <v>0</v>
      </c>
      <c r="DP33" s="997">
        <f t="shared" si="27"/>
        <v>0</v>
      </c>
      <c r="DQ33" s="997">
        <f t="shared" si="28"/>
        <v>0</v>
      </c>
      <c r="DR33" s="997">
        <f>IF(OR(L33=1,L33=3),IFERROR(VLOOKUP($B33,PerutHafkadotMetchilatShanaAvgM!$C$6:$G$100,3,FALSE),0),0)</f>
        <v>0</v>
      </c>
      <c r="DS33" s="997">
        <f>IF(OR(L33=2,L33=4),IFERROR(VLOOKUP($B33,PerutHafkadotMetchilatShanaAvgM!$C$6:$G$100,3,FALSE),0),0)</f>
        <v>0</v>
      </c>
      <c r="DT33" s="997">
        <f>IFERROR(VLOOKUP($B33,PerutHafkadotMetchilatShanaAvgM!$C$6:$G$100,4,FALSE),0)</f>
        <v>0</v>
      </c>
      <c r="DU33" s="997">
        <f>IFERROR(VLOOKUP($B33,Kupa!$D$6:$AA$100,5,FALSE),0)</f>
        <v>0</v>
      </c>
      <c r="DV33" s="997">
        <f>IFERROR(VLOOKUP($B33,Kupa!$D$6:$AA$100,6,FALSE),0)</f>
        <v>0</v>
      </c>
      <c r="DW33" s="997">
        <f>IFERROR(VLOOKUP($B33,KisuiBKerenPensiaDBWithParams!$D$6:$AP$100,9,FALSE),0)</f>
        <v>0</v>
      </c>
      <c r="DX33" s="997">
        <f>IFERROR(VLOOKUP($B33,KisuiBKerenPensiaDBWithParams!$D$6:$AP$100,12,FALSE),0)</f>
        <v>0</v>
      </c>
      <c r="DY33" s="997">
        <f>IFERROR(VLOOKUP($B33,KisuiBKerenPensiaDBWithParams!$D$6:$AP$100,13,FALSE),0)</f>
        <v>0</v>
      </c>
      <c r="DZ33" s="997">
        <f>IFERROR(VLOOKUP($B33,KisuiBKerenPensiaDBWithParams!$D$6:$AP$100,7,FALSE),0)</f>
        <v>0</v>
      </c>
      <c r="EA33" s="997">
        <f>IFERROR(VLOOKUP($B33,KisuiBKerenPensiaDBWithParams!$D$6:$AP$100,17,FALSE),0)</f>
        <v>0</v>
      </c>
      <c r="EB33" s="997">
        <f>IFERROR(VLOOKUP($B33,KisuiBKerenPensiaDBWithParams!$D$6:$AP$100,20,FALSE),0)</f>
        <v>0</v>
      </c>
      <c r="EC33" s="997">
        <f>IFERROR(VLOOKUP($B33,KisuiBKerenPensiaDBWithParams!$D$6:$AP$100,21,FALSE),0)</f>
        <v>0</v>
      </c>
      <c r="ED33" s="997">
        <f t="shared" si="45"/>
        <v>0</v>
      </c>
      <c r="EE33" s="997"/>
      <c r="EF33" s="1020">
        <f>IFERROR(VLOOKUP($B33,KisuiBKerenPensiaDBWithParams!$D$6:$AP$100,21,FALSE),0)</f>
        <v>0</v>
      </c>
      <c r="EG33" s="1020">
        <f>IFERROR(VLOOKUP($B33,KisuiBKerenPensiaDBWithParams!$D$6:$AP$100,21,FALSE),0)</f>
        <v>0</v>
      </c>
      <c r="EH33">
        <f>IF(OR(G33=MyData!$J$51,G33=MyData!$J$52,G33=MyData!$J$53),1,IF(G33=MyData!$J$50,2,0))</f>
        <v>0</v>
      </c>
      <c r="EI33">
        <f>IFERROR(VLOOKUP($B33,CrosstabPerutYitrotDB!$C$6:$N$50,3,FALSE),0)</f>
        <v>0</v>
      </c>
      <c r="EJ33">
        <f>IFERROR(VLOOKUP($B33,CrosstabPerutYitrotDB!$C$6:$N$50,4,FALSE),0)</f>
        <v>0</v>
      </c>
      <c r="EK33">
        <f>IFERROR(VLOOKUP($B33,CrosstabPerutYitrotDB!$C$6:$N$50,5,FALSE),0)</f>
        <v>0</v>
      </c>
      <c r="EL33">
        <f>IFERROR(VLOOKUP($B33,CrosstabPerutYitrotDB!$C$6:$N$50,6,FALSE),0)</f>
        <v>0</v>
      </c>
      <c r="EM33">
        <f>IFERROR(VLOOKUP($B33,CrosstabPerutYitrotDB!$C$6:$N$50,7,FALSE),0)</f>
        <v>0</v>
      </c>
      <c r="EN33">
        <f>IFERROR(VLOOKUP($B33,CrosstabPerutYitrotDB!$C$6:$N$50,8,FALSE),0)</f>
        <v>0</v>
      </c>
      <c r="EO33">
        <f>IFERROR(VLOOKUP($B33,CrosstabPerutYitrotDB!$C$6:$N$50,9,FALSE),0)</f>
        <v>0</v>
      </c>
      <c r="EP33">
        <f>IFERROR(VLOOKUP($B33,CrosstabPerutYitrotDB!$C$6:$N$50,10,FALSE),0)</f>
        <v>0</v>
      </c>
      <c r="EQ33">
        <f>IFERROR(VLOOKUP($B33,CrosstabPerutYitrotDB!$C$6:$N$50,11,FALSE),0)</f>
        <v>0</v>
      </c>
    </row>
    <row r="34" spans="1:147" x14ac:dyDescent="0.2">
      <c r="A34">
        <f t="shared" si="46"/>
        <v>0</v>
      </c>
      <c r="B34" s="20">
        <f>RicusPolice!E31</f>
        <v>0</v>
      </c>
      <c r="C34" s="20">
        <f>RicusPolice!AL31</f>
        <v>0</v>
      </c>
      <c r="D34" s="20">
        <f>RicusPolice!F31</f>
        <v>0</v>
      </c>
      <c r="E34" s="20">
        <f>RicusPolice!R31</f>
        <v>0</v>
      </c>
      <c r="F34" s="20">
        <f>RicusPolice!N31</f>
        <v>0</v>
      </c>
      <c r="G34" s="20">
        <f>IFERROR(VLOOKUP($B34,PerutYitrot!$D$6:$P$100,4,FALSE),0)</f>
        <v>0</v>
      </c>
      <c r="H34" s="20">
        <f t="shared" si="29"/>
        <v>0</v>
      </c>
      <c r="I34" s="20">
        <f>RicusPolice!L31</f>
        <v>0</v>
      </c>
      <c r="J34" s="179">
        <f>IFERROR(VLOOKUP(TRIM(K34),MyData!$J$44:$K$50,2,FALSE),0)</f>
        <v>0</v>
      </c>
      <c r="K34" s="20">
        <f>RicusPolice!M31</f>
        <v>0</v>
      </c>
      <c r="L34" s="20">
        <f>RicusPolice!AM31</f>
        <v>0</v>
      </c>
      <c r="M34" s="20" t="str">
        <f>IF(B34&gt;0,RicusPolice!Y31," ")</f>
        <v xml:space="preserve"> </v>
      </c>
      <c r="N34" s="20" t="str">
        <f t="shared" si="30"/>
        <v/>
      </c>
      <c r="O34" s="20">
        <f>RicusPolice!N31</f>
        <v>0</v>
      </c>
      <c r="P34" s="20">
        <f>IFERROR(VLOOKUP(B34,PerutMasluleiHashkaa!$D$6:$R$100,4,FALSE),0)</f>
        <v>0</v>
      </c>
      <c r="Q34" s="19"/>
      <c r="R34" s="1011" t="str">
        <f>IF(B34&gt;0,RicusPolice!P33," ")</f>
        <v xml:space="preserve"> </v>
      </c>
      <c r="S34" s="20">
        <f>IFERROR(VLOOKUP($B34,'נתונים ידניים'!$B$9:$G$51,6,FALSE),0)</f>
        <v>0</v>
      </c>
      <c r="T34" s="21">
        <f>'נתונים ידניים'!J35</f>
        <v>0</v>
      </c>
      <c r="U34" s="21">
        <f>'נתונים ידניים'!K35</f>
        <v>0</v>
      </c>
      <c r="V34" s="20">
        <f>IFERROR(VLOOKUP($B34,PerutHafrashotLePolisa!$D$6:$N$50,2,FALSE),0)</f>
        <v>0</v>
      </c>
      <c r="W34" s="20">
        <f>IFERROR(VLOOKUP($B34,PerutHafrashotLePolisa!$D$6:$N$50,4,FALSE),0)</f>
        <v>0</v>
      </c>
      <c r="X34" s="20">
        <f>IFERROR(VLOOKUP($B34,PerutHafrashotLePolisa!$D$6:$N$50,3,FALSE),0)</f>
        <v>0</v>
      </c>
      <c r="Y34">
        <f t="shared" si="31"/>
        <v>0</v>
      </c>
      <c r="Z34">
        <f>RicusPolice!AP31</f>
        <v>0</v>
      </c>
      <c r="AA34">
        <f>IFERROR(VLOOKUP(B34,PirteiHaasaka!$D$6:$R$100,5,FALSE),0)</f>
        <v>0</v>
      </c>
      <c r="AC34">
        <f>IFERROR(VLOOKUP(B34,HafkadotMetchilatShanaAverages!$D$6:$E$100,2,FALSE),0)</f>
        <v>0</v>
      </c>
      <c r="AF34">
        <f>'נתונים ידניים'!L35</f>
        <v>0</v>
      </c>
      <c r="AG34">
        <f>IFERROR(VLOOKUP(B34,CrossTabYitraLeTkufa_till_2000!$D$6:$AB$100,6,FALSE),0)+IFERROR(VLOOKUP(B34,CrossTabYitraLeTkufa_after_2000!$D$6:$AB$100,6,FALSE),0)</f>
        <v>0</v>
      </c>
      <c r="AH34">
        <f>IFERROR(VLOOKUP(B34,CrossTabYitraLeTkufa_till_2000!$D$6:$AB$100,16,FALSE),0)</f>
        <v>0</v>
      </c>
      <c r="AI34">
        <f>IFERROR(VLOOKUP(B34,CrossTabYitraLeTkufa_after_2000!$D$6:$AB$100,16,FALSE),0)</f>
        <v>0</v>
      </c>
      <c r="AJ34">
        <f>IFERROR(VLOOKUP(B34,CrossTabYitraLeTkufa_till_2000!$D$6:$AB$100,17,FALSE),0)</f>
        <v>0</v>
      </c>
      <c r="AK34">
        <f>IFERROR(VLOOKUP(B34,CrossTabYitraLeTkufa_after_2000!$D$6:$AB$100,17,FALSE),0)</f>
        <v>0</v>
      </c>
      <c r="AL34" s="5">
        <f t="shared" si="32"/>
        <v>0</v>
      </c>
      <c r="AO34">
        <f>IFERROR(VLOOKUP(B34,PirteiKisuiBeMutzar_procerur!$C$6:$AA$100,2,FALSE),0)</f>
        <v>0</v>
      </c>
      <c r="AQ34">
        <f>IFERROR(VLOOKUP($B34,PirteiKisuiBeMutzar_procerur!$C$6:$AA$100,5,FALSE),0)</f>
        <v>0</v>
      </c>
      <c r="AR34">
        <f>IFERROR(VLOOKUP($B34,PirteiKisuiBeMutzar_procerur!$C$6:$AA$100,3,FALSE),0)</f>
        <v>0</v>
      </c>
      <c r="AS34">
        <f>IFERROR(VLOOKUP($B34,PirteiKisuiBeMutzar_procerur!$C$6:$AA$100,6,FALSE),0)</f>
        <v>0</v>
      </c>
      <c r="AT34">
        <f>IFERROR(VLOOKUP($B34,PirteiKisuiBeMutzar_procerur!$C$6:$AA$100,7,FALSE),0)</f>
        <v>0</v>
      </c>
      <c r="AX34" s="997">
        <f t="shared" si="33"/>
        <v>0</v>
      </c>
      <c r="AY34" s="997">
        <f t="shared" si="34"/>
        <v>0</v>
      </c>
      <c r="AZ34" s="997">
        <f t="shared" si="35"/>
        <v>0</v>
      </c>
      <c r="BA34" s="997">
        <f>IFERROR(FV(S34/100/12,'נתוני יסוד'!$B$16*12,AX34,AG34)*(-1),0)</f>
        <v>0</v>
      </c>
      <c r="BB34" s="997">
        <f>IFERROR(FV(S34/100/12,'נתוני יסוד'!$B$16*12,0,AH34)*(-1),0)</f>
        <v>0</v>
      </c>
      <c r="BC34" s="997">
        <f>IFERROR(FV(S34/100/12,'נתוני יסוד'!$B$16*12,AY34,AI34)*(-1),0)</f>
        <v>0</v>
      </c>
      <c r="BD34" s="997">
        <f>IFERROR(FV(S34/100/12,'נתוני יסוד'!$B$16*12,0,AJ34)*(-1),0)</f>
        <v>0</v>
      </c>
      <c r="BE34" s="997">
        <f>IFERROR(FV(S34/100/12,'נתוני יסוד'!$B$16*12,AZ34,AK34)*(-1),0)</f>
        <v>0</v>
      </c>
      <c r="BF34" s="997">
        <f t="shared" si="36"/>
        <v>0</v>
      </c>
      <c r="BG34" s="997">
        <f>IFERROR(FV(S34/100/12,'נתוני יסוד'!$B$16*12,AF34,AL34)*(-1),0)</f>
        <v>0</v>
      </c>
      <c r="BH34" s="997">
        <f t="shared" si="37"/>
        <v>0</v>
      </c>
      <c r="BI34" s="997">
        <f t="shared" si="38"/>
        <v>0</v>
      </c>
      <c r="BJ34" s="997">
        <f t="shared" si="39"/>
        <v>0</v>
      </c>
      <c r="BK34" s="997">
        <f t="shared" si="40"/>
        <v>0</v>
      </c>
      <c r="BL34" s="997">
        <f t="shared" si="1"/>
        <v>0</v>
      </c>
      <c r="BM34" s="997">
        <f t="shared" si="2"/>
        <v>0</v>
      </c>
      <c r="BN34" s="997">
        <f t="shared" si="3"/>
        <v>0</v>
      </c>
      <c r="BO34" s="997">
        <f t="shared" si="41"/>
        <v>0</v>
      </c>
      <c r="BP34" s="997">
        <f t="shared" si="4"/>
        <v>0</v>
      </c>
      <c r="BS34">
        <f t="shared" si="5"/>
        <v>0</v>
      </c>
      <c r="BT34">
        <f t="shared" si="6"/>
        <v>0</v>
      </c>
      <c r="BU34">
        <f t="shared" si="7"/>
        <v>0</v>
      </c>
      <c r="BV34">
        <f t="shared" si="42"/>
        <v>0</v>
      </c>
      <c r="BW34">
        <f t="shared" si="8"/>
        <v>0</v>
      </c>
      <c r="BY34" s="997">
        <f t="shared" si="9"/>
        <v>0</v>
      </c>
      <c r="BZ34" s="997">
        <f t="shared" si="10"/>
        <v>0</v>
      </c>
      <c r="CA34" s="997">
        <f t="shared" si="11"/>
        <v>0</v>
      </c>
      <c r="CB34" s="997">
        <f t="shared" si="43"/>
        <v>0</v>
      </c>
      <c r="CC34" s="997">
        <f t="shared" si="12"/>
        <v>0</v>
      </c>
      <c r="CD34" s="997">
        <f t="shared" si="13"/>
        <v>0</v>
      </c>
      <c r="CE34" s="997">
        <f t="shared" si="14"/>
        <v>0</v>
      </c>
      <c r="CF34" s="997">
        <f t="shared" si="15"/>
        <v>0</v>
      </c>
      <c r="CG34" s="997">
        <f t="shared" si="16"/>
        <v>0</v>
      </c>
      <c r="CH34" s="997">
        <f t="shared" si="17"/>
        <v>0</v>
      </c>
      <c r="CI34" s="997">
        <f t="shared" si="18"/>
        <v>0</v>
      </c>
      <c r="CJ34" s="997">
        <f t="shared" si="19"/>
        <v>0</v>
      </c>
      <c r="CK34" s="997"/>
      <c r="CL34" s="997"/>
      <c r="CM34" s="997">
        <f t="shared" si="20"/>
        <v>0</v>
      </c>
      <c r="CN34" s="997">
        <f t="shared" si="21"/>
        <v>0</v>
      </c>
      <c r="CO34" s="997">
        <f t="shared" si="22"/>
        <v>0</v>
      </c>
      <c r="CP34" s="997">
        <f t="shared" si="44"/>
        <v>0</v>
      </c>
      <c r="CQ34" s="997">
        <f t="shared" si="23"/>
        <v>0</v>
      </c>
      <c r="CR34" s="997">
        <f>IFERROR(VLOOKUP($B34,SchumeiBituahYesodi!$C$6:$AA$100,8,FALSE),0)</f>
        <v>0</v>
      </c>
      <c r="CS34" s="997">
        <f>IFERROR(VLOOKUP($B34,PirteiKisuiBeMutzar_procerur!$C$6:$AA$100,2,FALSE),0)</f>
        <v>0</v>
      </c>
      <c r="CT34" s="997">
        <f>IFERROR(VLOOKUP($B34,PirteiKisuiBeMutzar_procerur!$C$6:$AA$100,3,FALSE),0)</f>
        <v>0</v>
      </c>
      <c r="CU34" s="997">
        <f>IFERROR(VLOOKUP($B34,PirteiKisuiBeMutzar_procerur!$C$6:$AA$100,4,FALSE),0)</f>
        <v>0</v>
      </c>
      <c r="CV34" s="997">
        <f>IFERROR(VLOOKUP($B34,PirteiKisuiBeMutzar_procerur!$C$6:$AA$100,5,FALSE),0)</f>
        <v>0</v>
      </c>
      <c r="CW34" s="997">
        <f>IFERROR(VLOOKUP($B34,PirteiKisuiBeMutzar_procerur!$C$6:$AA$100,6,FALSE),0)</f>
        <v>0</v>
      </c>
      <c r="CX34" s="997">
        <f>IFERROR(VLOOKUP($B34,PirteiKisuiBeMutzar_procerur!$C$6:$AA$100,7,FALSE),0)</f>
        <v>0</v>
      </c>
      <c r="CY34" s="997">
        <f>IFERROR(VLOOKUP($B34,PirteiKisuiBeMutzar_procerur!$C$6:$AA$100,8,FALSE),0)</f>
        <v>0</v>
      </c>
      <c r="CZ34" s="997">
        <f>IFERROR(VLOOKUP($B34,PirteiKisuiBeMutzar_procerur!$C$6:$AA$100,9,FALSE),0)</f>
        <v>0</v>
      </c>
      <c r="DA34" s="997">
        <f>IFERROR(VLOOKUP($B34,PirteiKisuiBeMutzar_procerur!$C$6:$AA$100,10,FALSE),0)</f>
        <v>0</v>
      </c>
      <c r="DB34" s="997">
        <f>IFERROR(VLOOKUP($B34,PirteiKisuiBeMutzar_procerur!$C$6:$AA$100,11,FALSE),0)</f>
        <v>0</v>
      </c>
      <c r="DC34" s="997">
        <f>IFERROR(VLOOKUP($B34,PirteiKisuiBeMutzarPrmia!$C$6:$Z$100,2,FALSE),0)</f>
        <v>0</v>
      </c>
      <c r="DD34" s="997">
        <f>IFERROR(VLOOKUP($B34,PirteiKisuiBeMutzarPrmia!$C$6:$Z$100,3,FALSE),0)</f>
        <v>0</v>
      </c>
      <c r="DE34" s="997">
        <f>IFERROR(VLOOKUP($B34,PirteiKisuiBeMutzarPrmia!$C$6:$Z$100,4,FALSE),0)</f>
        <v>0</v>
      </c>
      <c r="DF34" s="997">
        <f>IFERROR(VLOOKUP($B34,PirteiKisuiBeMutzarPrmia!$C$6:$Z$100,5,FALSE),0)</f>
        <v>0</v>
      </c>
      <c r="DG34" s="997">
        <f>IFERROR(VLOOKUP($B34,PirteiKisuiBeMutzarPrmia!$C$6:$Z$100,6,FALSE),0)</f>
        <v>0</v>
      </c>
      <c r="DH34" s="997">
        <f>IFERROR(VLOOKUP($B34,PirteiKisuiBeMutzarPrmia!$C$6:$Z$100,7,FALSE),0)</f>
        <v>0</v>
      </c>
      <c r="DI34" s="997">
        <f>IFERROR(VLOOKUP($B34,PirteiKisuiBeMutzarPrmia!$C$6:$Z$100,8,FALSE),0)</f>
        <v>0</v>
      </c>
      <c r="DJ34" s="997">
        <f>IFERROR(VLOOKUP($B34,PirteiKisuiBeMutzarPrmia!$C$6:$Z$100,9,FALSE),0)</f>
        <v>0</v>
      </c>
      <c r="DK34" s="997">
        <f>IFERROR(VLOOKUP($B34,PirteiKisuiBeMutzarPrmia!$C$6:$Z$100,10,FALSE),0)</f>
        <v>0</v>
      </c>
      <c r="DL34" s="997">
        <f>IFERROR(VLOOKUP($B34,PirteiKisuiBeMutzarPrmia!$C$6:$Z$100,11,FALSE),0)</f>
        <v>0</v>
      </c>
      <c r="DM34" s="997">
        <f t="shared" si="24"/>
        <v>0</v>
      </c>
      <c r="DN34" s="997">
        <f t="shared" si="25"/>
        <v>0</v>
      </c>
      <c r="DO34" s="997">
        <f t="shared" si="26"/>
        <v>0</v>
      </c>
      <c r="DP34" s="997">
        <f t="shared" si="27"/>
        <v>0</v>
      </c>
      <c r="DQ34" s="997">
        <f t="shared" si="28"/>
        <v>0</v>
      </c>
      <c r="DR34" s="997">
        <f>IF(OR(L34=1,L34=3),IFERROR(VLOOKUP($B34,PerutHafkadotMetchilatShanaAvgM!$C$6:$G$100,3,FALSE),0),0)</f>
        <v>0</v>
      </c>
      <c r="DS34" s="997">
        <f>IF(OR(L34=2,L34=4),IFERROR(VLOOKUP($B34,PerutHafkadotMetchilatShanaAvgM!$C$6:$G$100,3,FALSE),0),0)</f>
        <v>0</v>
      </c>
      <c r="DT34" s="997">
        <f>IFERROR(VLOOKUP($B34,PerutHafkadotMetchilatShanaAvgM!$C$6:$G$100,4,FALSE),0)</f>
        <v>0</v>
      </c>
      <c r="DU34" s="997">
        <f>IFERROR(VLOOKUP($B34,Kupa!$D$6:$AA$100,5,FALSE),0)</f>
        <v>0</v>
      </c>
      <c r="DV34" s="997">
        <f>IFERROR(VLOOKUP($B34,Kupa!$D$6:$AA$100,6,FALSE),0)</f>
        <v>0</v>
      </c>
      <c r="DW34" s="997">
        <f>IFERROR(VLOOKUP($B34,KisuiBKerenPensiaDBWithParams!$D$6:$AP$100,9,FALSE),0)</f>
        <v>0</v>
      </c>
      <c r="DX34" s="997">
        <f>IFERROR(VLOOKUP($B34,KisuiBKerenPensiaDBWithParams!$D$6:$AP$100,12,FALSE),0)</f>
        <v>0</v>
      </c>
      <c r="DY34" s="997">
        <f>IFERROR(VLOOKUP($B34,KisuiBKerenPensiaDBWithParams!$D$6:$AP$100,13,FALSE),0)</f>
        <v>0</v>
      </c>
      <c r="DZ34" s="997">
        <f>IFERROR(VLOOKUP($B34,KisuiBKerenPensiaDBWithParams!$D$6:$AP$100,7,FALSE),0)</f>
        <v>0</v>
      </c>
      <c r="EA34" s="997">
        <f>IFERROR(VLOOKUP($B34,KisuiBKerenPensiaDBWithParams!$D$6:$AP$100,17,FALSE),0)</f>
        <v>0</v>
      </c>
      <c r="EB34" s="997">
        <f>IFERROR(VLOOKUP($B34,KisuiBKerenPensiaDBWithParams!$D$6:$AP$100,20,FALSE),0)</f>
        <v>0</v>
      </c>
      <c r="EC34" s="997">
        <f>IFERROR(VLOOKUP($B34,KisuiBKerenPensiaDBWithParams!$D$6:$AP$100,21,FALSE),0)</f>
        <v>0</v>
      </c>
      <c r="ED34" s="997">
        <f t="shared" si="45"/>
        <v>0</v>
      </c>
      <c r="EE34" s="997"/>
      <c r="EF34" s="1020">
        <f>IFERROR(VLOOKUP($B34,KisuiBKerenPensiaDBWithParams!$D$6:$AP$100,21,FALSE),0)</f>
        <v>0</v>
      </c>
      <c r="EG34" s="1020">
        <f>IFERROR(VLOOKUP($B34,KisuiBKerenPensiaDBWithParams!$D$6:$AP$100,21,FALSE),0)</f>
        <v>0</v>
      </c>
      <c r="EH34">
        <f>IF(OR(G34=MyData!$J$51,G34=MyData!$J$52,G34=MyData!$J$53),1,IF(G34=MyData!$J$50,2,0))</f>
        <v>0</v>
      </c>
      <c r="EI34">
        <f>IFERROR(VLOOKUP($B34,CrosstabPerutYitrotDB!$C$6:$N$50,3,FALSE),0)</f>
        <v>0</v>
      </c>
      <c r="EJ34">
        <f>IFERROR(VLOOKUP($B34,CrosstabPerutYitrotDB!$C$6:$N$50,4,FALSE),0)</f>
        <v>0</v>
      </c>
      <c r="EK34">
        <f>IFERROR(VLOOKUP($B34,CrosstabPerutYitrotDB!$C$6:$N$50,5,FALSE),0)</f>
        <v>0</v>
      </c>
      <c r="EL34">
        <f>IFERROR(VLOOKUP($B34,CrosstabPerutYitrotDB!$C$6:$N$50,6,FALSE),0)</f>
        <v>0</v>
      </c>
      <c r="EM34">
        <f>IFERROR(VLOOKUP($B34,CrosstabPerutYitrotDB!$C$6:$N$50,7,FALSE),0)</f>
        <v>0</v>
      </c>
      <c r="EN34">
        <f>IFERROR(VLOOKUP($B34,CrosstabPerutYitrotDB!$C$6:$N$50,8,FALSE),0)</f>
        <v>0</v>
      </c>
      <c r="EO34">
        <f>IFERROR(VLOOKUP($B34,CrosstabPerutYitrotDB!$C$6:$N$50,9,FALSE),0)</f>
        <v>0</v>
      </c>
      <c r="EP34">
        <f>IFERROR(VLOOKUP($B34,CrosstabPerutYitrotDB!$C$6:$N$50,10,FALSE),0)</f>
        <v>0</v>
      </c>
      <c r="EQ34">
        <f>IFERROR(VLOOKUP($B34,CrosstabPerutYitrotDB!$C$6:$N$50,11,FALSE),0)</f>
        <v>0</v>
      </c>
    </row>
    <row r="35" spans="1:147" x14ac:dyDescent="0.2">
      <c r="A35">
        <f t="shared" si="46"/>
        <v>0</v>
      </c>
      <c r="B35" s="20">
        <f>RicusPolice!E32</f>
        <v>0</v>
      </c>
      <c r="C35" s="20">
        <f>RicusPolice!AL32</f>
        <v>0</v>
      </c>
      <c r="D35" s="20">
        <f>RicusPolice!F32</f>
        <v>0</v>
      </c>
      <c r="E35" s="20">
        <f>RicusPolice!R32</f>
        <v>0</v>
      </c>
      <c r="F35" s="20">
        <f>RicusPolice!N32</f>
        <v>0</v>
      </c>
      <c r="G35" s="20">
        <f>IFERROR(VLOOKUP($B35,PerutYitrot!$D$6:$P$100,4,FALSE),0)</f>
        <v>0</v>
      </c>
      <c r="H35" s="20">
        <f t="shared" si="29"/>
        <v>0</v>
      </c>
      <c r="I35" s="20">
        <f>RicusPolice!L32</f>
        <v>0</v>
      </c>
      <c r="J35" s="179">
        <f>IFERROR(VLOOKUP(TRIM(K35),MyData!$J$44:$K$50,2,FALSE),0)</f>
        <v>0</v>
      </c>
      <c r="K35" s="20">
        <f>RicusPolice!M32</f>
        <v>0</v>
      </c>
      <c r="L35" s="20">
        <f>RicusPolice!AM32</f>
        <v>0</v>
      </c>
      <c r="M35" s="20" t="str">
        <f>IF(B35&gt;0,RicusPolice!Y32," ")</f>
        <v xml:space="preserve"> </v>
      </c>
      <c r="N35" s="20" t="str">
        <f t="shared" si="30"/>
        <v/>
      </c>
      <c r="O35" s="20">
        <f>RicusPolice!N32</f>
        <v>0</v>
      </c>
      <c r="P35" s="20">
        <f>IFERROR(VLOOKUP(B35,PerutMasluleiHashkaa!$D$6:$R$100,4,FALSE),0)</f>
        <v>0</v>
      </c>
      <c r="Q35" s="19"/>
      <c r="R35" s="1011" t="str">
        <f>IF(B35&gt;0,RicusPolice!P34," ")</f>
        <v xml:space="preserve"> </v>
      </c>
      <c r="S35" s="20">
        <f>IFERROR(VLOOKUP($B35,'נתונים ידניים'!$B$9:$G$51,6,FALSE),0)</f>
        <v>0</v>
      </c>
      <c r="T35" s="21">
        <f>'נתונים ידניים'!J36</f>
        <v>0</v>
      </c>
      <c r="U35" s="21">
        <f>'נתונים ידניים'!K36</f>
        <v>0</v>
      </c>
      <c r="V35" s="20">
        <f>IFERROR(VLOOKUP($B35,PerutHafrashotLePolisa!$D$6:$N$50,2,FALSE),0)</f>
        <v>0</v>
      </c>
      <c r="W35" s="20">
        <f>IFERROR(VLOOKUP($B35,PerutHafrashotLePolisa!$D$6:$N$50,4,FALSE),0)</f>
        <v>0</v>
      </c>
      <c r="X35" s="20">
        <f>IFERROR(VLOOKUP($B35,PerutHafrashotLePolisa!$D$6:$N$50,3,FALSE),0)</f>
        <v>0</v>
      </c>
      <c r="Y35">
        <f t="shared" si="31"/>
        <v>0</v>
      </c>
      <c r="Z35">
        <f>RicusPolice!AP32</f>
        <v>0</v>
      </c>
      <c r="AA35">
        <f>IFERROR(VLOOKUP(B35,PirteiHaasaka!$D$6:$R$100,5,FALSE),0)</f>
        <v>0</v>
      </c>
      <c r="AC35">
        <f>IFERROR(VLOOKUP(B35,HafkadotMetchilatShanaAverages!$D$6:$E$100,2,FALSE),0)</f>
        <v>0</v>
      </c>
      <c r="AF35">
        <f>'נתונים ידניים'!L36</f>
        <v>0</v>
      </c>
      <c r="AG35">
        <f>IFERROR(VLOOKUP(B35,CrossTabYitraLeTkufa_till_2000!$D$6:$AB$100,6,FALSE),0)+IFERROR(VLOOKUP(B35,CrossTabYitraLeTkufa_after_2000!$D$6:$AB$100,6,FALSE),0)</f>
        <v>0</v>
      </c>
      <c r="AH35">
        <f>IFERROR(VLOOKUP(B35,CrossTabYitraLeTkufa_till_2000!$D$6:$AB$100,16,FALSE),0)</f>
        <v>0</v>
      </c>
      <c r="AI35">
        <f>IFERROR(VLOOKUP(B35,CrossTabYitraLeTkufa_after_2000!$D$6:$AB$100,16,FALSE),0)</f>
        <v>0</v>
      </c>
      <c r="AJ35">
        <f>IFERROR(VLOOKUP(B35,CrossTabYitraLeTkufa_till_2000!$D$6:$AB$100,17,FALSE),0)</f>
        <v>0</v>
      </c>
      <c r="AK35">
        <f>IFERROR(VLOOKUP(B35,CrossTabYitraLeTkufa_after_2000!$D$6:$AB$100,17,FALSE),0)</f>
        <v>0</v>
      </c>
      <c r="AL35" s="5">
        <f t="shared" si="32"/>
        <v>0</v>
      </c>
      <c r="AO35">
        <f>IFERROR(VLOOKUP(B35,PirteiKisuiBeMutzar_procerur!$C$6:$AA$100,2,FALSE),0)</f>
        <v>0</v>
      </c>
      <c r="AQ35">
        <f>IFERROR(VLOOKUP($B35,PirteiKisuiBeMutzar_procerur!$C$6:$AA$100,5,FALSE),0)</f>
        <v>0</v>
      </c>
      <c r="AR35">
        <f>IFERROR(VLOOKUP($B35,PirteiKisuiBeMutzar_procerur!$C$6:$AA$100,3,FALSE),0)</f>
        <v>0</v>
      </c>
      <c r="AS35">
        <f>IFERROR(VLOOKUP($B35,PirteiKisuiBeMutzar_procerur!$C$6:$AA$100,6,FALSE),0)</f>
        <v>0</v>
      </c>
      <c r="AT35">
        <f>IFERROR(VLOOKUP($B35,PirteiKisuiBeMutzar_procerur!$C$6:$AA$100,7,FALSE),0)</f>
        <v>0</v>
      </c>
      <c r="AX35" s="997">
        <f t="shared" si="33"/>
        <v>0</v>
      </c>
      <c r="AY35" s="997">
        <f t="shared" si="34"/>
        <v>0</v>
      </c>
      <c r="AZ35" s="997">
        <f t="shared" si="35"/>
        <v>0</v>
      </c>
      <c r="BA35" s="997">
        <f>IFERROR(FV(S35/100/12,'נתוני יסוד'!$B$16*12,AX35,AG35)*(-1),0)</f>
        <v>0</v>
      </c>
      <c r="BB35" s="997">
        <f>IFERROR(FV(S35/100/12,'נתוני יסוד'!$B$16*12,0,AH35)*(-1),0)</f>
        <v>0</v>
      </c>
      <c r="BC35" s="997">
        <f>IFERROR(FV(S35/100/12,'נתוני יסוד'!$B$16*12,AY35,AI35)*(-1),0)</f>
        <v>0</v>
      </c>
      <c r="BD35" s="997">
        <f>IFERROR(FV(S35/100/12,'נתוני יסוד'!$B$16*12,0,AJ35)*(-1),0)</f>
        <v>0</v>
      </c>
      <c r="BE35" s="997">
        <f>IFERROR(FV(S35/100/12,'נתוני יסוד'!$B$16*12,AZ35,AK35)*(-1),0)</f>
        <v>0</v>
      </c>
      <c r="BF35" s="997">
        <f t="shared" si="36"/>
        <v>0</v>
      </c>
      <c r="BG35" s="997">
        <f>IFERROR(FV(S35/100/12,'נתוני יסוד'!$B$16*12,AF35,AL35)*(-1),0)</f>
        <v>0</v>
      </c>
      <c r="BH35" s="997">
        <f t="shared" si="37"/>
        <v>0</v>
      </c>
      <c r="BI35" s="997">
        <f t="shared" si="38"/>
        <v>0</v>
      </c>
      <c r="BJ35" s="997">
        <f t="shared" si="39"/>
        <v>0</v>
      </c>
      <c r="BK35" s="997">
        <f t="shared" si="40"/>
        <v>0</v>
      </c>
      <c r="BL35" s="997">
        <f t="shared" si="1"/>
        <v>0</v>
      </c>
      <c r="BM35" s="997">
        <f t="shared" si="2"/>
        <v>0</v>
      </c>
      <c r="BN35" s="997">
        <f t="shared" si="3"/>
        <v>0</v>
      </c>
      <c r="BO35" s="997">
        <f t="shared" si="41"/>
        <v>0</v>
      </c>
      <c r="BP35" s="997">
        <f t="shared" si="4"/>
        <v>0</v>
      </c>
      <c r="BS35">
        <f t="shared" si="5"/>
        <v>0</v>
      </c>
      <c r="BT35">
        <f t="shared" si="6"/>
        <v>0</v>
      </c>
      <c r="BU35">
        <f t="shared" si="7"/>
        <v>0</v>
      </c>
      <c r="BV35">
        <f t="shared" si="42"/>
        <v>0</v>
      </c>
      <c r="BW35">
        <f t="shared" si="8"/>
        <v>0</v>
      </c>
      <c r="BY35" s="997">
        <f t="shared" si="9"/>
        <v>0</v>
      </c>
      <c r="BZ35" s="997">
        <f t="shared" si="10"/>
        <v>0</v>
      </c>
      <c r="CA35" s="997">
        <f t="shared" si="11"/>
        <v>0</v>
      </c>
      <c r="CB35" s="997">
        <f t="shared" si="43"/>
        <v>0</v>
      </c>
      <c r="CC35" s="997">
        <f t="shared" si="12"/>
        <v>0</v>
      </c>
      <c r="CD35" s="997">
        <f t="shared" si="13"/>
        <v>0</v>
      </c>
      <c r="CE35" s="997">
        <f t="shared" si="14"/>
        <v>0</v>
      </c>
      <c r="CF35" s="997">
        <f t="shared" si="15"/>
        <v>0</v>
      </c>
      <c r="CG35" s="997">
        <f t="shared" si="16"/>
        <v>0</v>
      </c>
      <c r="CH35" s="997">
        <f t="shared" si="17"/>
        <v>0</v>
      </c>
      <c r="CI35" s="997">
        <f t="shared" si="18"/>
        <v>0</v>
      </c>
      <c r="CJ35" s="997">
        <f t="shared" si="19"/>
        <v>0</v>
      </c>
      <c r="CK35" s="997"/>
      <c r="CL35" s="997"/>
      <c r="CM35" s="997">
        <f t="shared" si="20"/>
        <v>0</v>
      </c>
      <c r="CN35" s="997">
        <f t="shared" si="21"/>
        <v>0</v>
      </c>
      <c r="CO35" s="997">
        <f t="shared" si="22"/>
        <v>0</v>
      </c>
      <c r="CP35" s="997">
        <f t="shared" si="44"/>
        <v>0</v>
      </c>
      <c r="CQ35" s="997">
        <f t="shared" si="23"/>
        <v>0</v>
      </c>
      <c r="CR35" s="997">
        <f>IFERROR(VLOOKUP($B35,SchumeiBituahYesodi!$C$6:$AA$100,8,FALSE),0)</f>
        <v>0</v>
      </c>
      <c r="CS35" s="997">
        <f>IFERROR(VLOOKUP($B35,PirteiKisuiBeMutzar_procerur!$C$6:$AA$100,2,FALSE),0)</f>
        <v>0</v>
      </c>
      <c r="CT35" s="997">
        <f>IFERROR(VLOOKUP($B35,PirteiKisuiBeMutzar_procerur!$C$6:$AA$100,3,FALSE),0)</f>
        <v>0</v>
      </c>
      <c r="CU35" s="997">
        <f>IFERROR(VLOOKUP($B35,PirteiKisuiBeMutzar_procerur!$C$6:$AA$100,4,FALSE),0)</f>
        <v>0</v>
      </c>
      <c r="CV35" s="997">
        <f>IFERROR(VLOOKUP($B35,PirteiKisuiBeMutzar_procerur!$C$6:$AA$100,5,FALSE),0)</f>
        <v>0</v>
      </c>
      <c r="CW35" s="997">
        <f>IFERROR(VLOOKUP($B35,PirteiKisuiBeMutzar_procerur!$C$6:$AA$100,6,FALSE),0)</f>
        <v>0</v>
      </c>
      <c r="CX35" s="997">
        <f>IFERROR(VLOOKUP($B35,PirteiKisuiBeMutzar_procerur!$C$6:$AA$100,7,FALSE),0)</f>
        <v>0</v>
      </c>
      <c r="CY35" s="997">
        <f>IFERROR(VLOOKUP($B35,PirteiKisuiBeMutzar_procerur!$C$6:$AA$100,8,FALSE),0)</f>
        <v>0</v>
      </c>
      <c r="CZ35" s="997">
        <f>IFERROR(VLOOKUP($B35,PirteiKisuiBeMutzar_procerur!$C$6:$AA$100,9,FALSE),0)</f>
        <v>0</v>
      </c>
      <c r="DA35" s="997">
        <f>IFERROR(VLOOKUP($B35,PirteiKisuiBeMutzar_procerur!$C$6:$AA$100,10,FALSE),0)</f>
        <v>0</v>
      </c>
      <c r="DB35" s="997">
        <f>IFERROR(VLOOKUP($B35,PirteiKisuiBeMutzar_procerur!$C$6:$AA$100,11,FALSE),0)</f>
        <v>0</v>
      </c>
      <c r="DC35" s="997">
        <f>IFERROR(VLOOKUP($B35,PirteiKisuiBeMutzarPrmia!$C$6:$Z$100,2,FALSE),0)</f>
        <v>0</v>
      </c>
      <c r="DD35" s="997">
        <f>IFERROR(VLOOKUP($B35,PirteiKisuiBeMutzarPrmia!$C$6:$Z$100,3,FALSE),0)</f>
        <v>0</v>
      </c>
      <c r="DE35" s="997">
        <f>IFERROR(VLOOKUP($B35,PirteiKisuiBeMutzarPrmia!$C$6:$Z$100,4,FALSE),0)</f>
        <v>0</v>
      </c>
      <c r="DF35" s="997">
        <f>IFERROR(VLOOKUP($B35,PirteiKisuiBeMutzarPrmia!$C$6:$Z$100,5,FALSE),0)</f>
        <v>0</v>
      </c>
      <c r="DG35" s="997">
        <f>IFERROR(VLOOKUP($B35,PirteiKisuiBeMutzarPrmia!$C$6:$Z$100,6,FALSE),0)</f>
        <v>0</v>
      </c>
      <c r="DH35" s="997">
        <f>IFERROR(VLOOKUP($B35,PirteiKisuiBeMutzarPrmia!$C$6:$Z$100,7,FALSE),0)</f>
        <v>0</v>
      </c>
      <c r="DI35" s="997">
        <f>IFERROR(VLOOKUP($B35,PirteiKisuiBeMutzarPrmia!$C$6:$Z$100,8,FALSE),0)</f>
        <v>0</v>
      </c>
      <c r="DJ35" s="997">
        <f>IFERROR(VLOOKUP($B35,PirteiKisuiBeMutzarPrmia!$C$6:$Z$100,9,FALSE),0)</f>
        <v>0</v>
      </c>
      <c r="DK35" s="997">
        <f>IFERROR(VLOOKUP($B35,PirteiKisuiBeMutzarPrmia!$C$6:$Z$100,10,FALSE),0)</f>
        <v>0</v>
      </c>
      <c r="DL35" s="997">
        <f>IFERROR(VLOOKUP($B35,PirteiKisuiBeMutzarPrmia!$C$6:$Z$100,11,FALSE),0)</f>
        <v>0</v>
      </c>
      <c r="DM35" s="997">
        <f t="shared" si="24"/>
        <v>0</v>
      </c>
      <c r="DN35" s="997">
        <f t="shared" si="25"/>
        <v>0</v>
      </c>
      <c r="DO35" s="997">
        <f t="shared" si="26"/>
        <v>0</v>
      </c>
      <c r="DP35" s="997">
        <f t="shared" si="27"/>
        <v>0</v>
      </c>
      <c r="DQ35" s="997">
        <f t="shared" si="28"/>
        <v>0</v>
      </c>
      <c r="DR35" s="997">
        <f>IF(OR(L35=1,L35=3),IFERROR(VLOOKUP($B35,PerutHafkadotMetchilatShanaAvgM!$C$6:$G$100,3,FALSE),0),0)</f>
        <v>0</v>
      </c>
      <c r="DS35" s="997">
        <f>IF(OR(L35=2,L35=4),IFERROR(VLOOKUP($B35,PerutHafkadotMetchilatShanaAvgM!$C$6:$G$100,3,FALSE),0),0)</f>
        <v>0</v>
      </c>
      <c r="DT35" s="997">
        <f>IFERROR(VLOOKUP($B35,PerutHafkadotMetchilatShanaAvgM!$C$6:$G$100,4,FALSE),0)</f>
        <v>0</v>
      </c>
      <c r="DU35" s="997">
        <f>IFERROR(VLOOKUP($B35,Kupa!$D$6:$AA$100,5,FALSE),0)</f>
        <v>0</v>
      </c>
      <c r="DV35" s="997">
        <f>IFERROR(VLOOKUP($B35,Kupa!$D$6:$AA$100,6,FALSE),0)</f>
        <v>0</v>
      </c>
      <c r="DW35" s="997">
        <f>IFERROR(VLOOKUP($B35,KisuiBKerenPensiaDBWithParams!$D$6:$AP$100,9,FALSE),0)</f>
        <v>0</v>
      </c>
      <c r="DX35" s="997">
        <f>IFERROR(VLOOKUP($B35,KisuiBKerenPensiaDBWithParams!$D$6:$AP$100,12,FALSE),0)</f>
        <v>0</v>
      </c>
      <c r="DY35" s="997">
        <f>IFERROR(VLOOKUP($B35,KisuiBKerenPensiaDBWithParams!$D$6:$AP$100,13,FALSE),0)</f>
        <v>0</v>
      </c>
      <c r="DZ35" s="997">
        <f>IFERROR(VLOOKUP($B35,KisuiBKerenPensiaDBWithParams!$D$6:$AP$100,7,FALSE),0)</f>
        <v>0</v>
      </c>
      <c r="EA35" s="997">
        <f>IFERROR(VLOOKUP($B35,KisuiBKerenPensiaDBWithParams!$D$6:$AP$100,17,FALSE),0)</f>
        <v>0</v>
      </c>
      <c r="EB35" s="997">
        <f>IFERROR(VLOOKUP($B35,KisuiBKerenPensiaDBWithParams!$D$6:$AP$100,20,FALSE),0)</f>
        <v>0</v>
      </c>
      <c r="EC35" s="997">
        <f>IFERROR(VLOOKUP($B35,KisuiBKerenPensiaDBWithParams!$D$6:$AP$100,21,FALSE),0)</f>
        <v>0</v>
      </c>
      <c r="ED35" s="997">
        <f t="shared" si="45"/>
        <v>0</v>
      </c>
      <c r="EE35" s="997"/>
      <c r="EF35" s="1020">
        <f>IFERROR(VLOOKUP($B35,KisuiBKerenPensiaDBWithParams!$D$6:$AP$100,21,FALSE),0)</f>
        <v>0</v>
      </c>
      <c r="EG35" s="1020">
        <f>IFERROR(VLOOKUP($B35,KisuiBKerenPensiaDBWithParams!$D$6:$AP$100,21,FALSE),0)</f>
        <v>0</v>
      </c>
      <c r="EH35">
        <f>IF(OR(G35=MyData!$J$51,G35=MyData!$J$52,G35=MyData!$J$53),1,IF(G35=MyData!$J$50,2,0))</f>
        <v>0</v>
      </c>
      <c r="EI35">
        <f>IFERROR(VLOOKUP($B35,CrosstabPerutYitrotDB!$C$6:$N$50,3,FALSE),0)</f>
        <v>0</v>
      </c>
      <c r="EJ35">
        <f>IFERROR(VLOOKUP($B35,CrosstabPerutYitrotDB!$C$6:$N$50,4,FALSE),0)</f>
        <v>0</v>
      </c>
      <c r="EK35">
        <f>IFERROR(VLOOKUP($B35,CrosstabPerutYitrotDB!$C$6:$N$50,5,FALSE),0)</f>
        <v>0</v>
      </c>
      <c r="EL35">
        <f>IFERROR(VLOOKUP($B35,CrosstabPerutYitrotDB!$C$6:$N$50,6,FALSE),0)</f>
        <v>0</v>
      </c>
      <c r="EM35">
        <f>IFERROR(VLOOKUP($B35,CrosstabPerutYitrotDB!$C$6:$N$50,7,FALSE),0)</f>
        <v>0</v>
      </c>
      <c r="EN35">
        <f>IFERROR(VLOOKUP($B35,CrosstabPerutYitrotDB!$C$6:$N$50,8,FALSE),0)</f>
        <v>0</v>
      </c>
      <c r="EO35">
        <f>IFERROR(VLOOKUP($B35,CrosstabPerutYitrotDB!$C$6:$N$50,9,FALSE),0)</f>
        <v>0</v>
      </c>
      <c r="EP35">
        <f>IFERROR(VLOOKUP($B35,CrosstabPerutYitrotDB!$C$6:$N$50,10,FALSE),0)</f>
        <v>0</v>
      </c>
      <c r="EQ35">
        <f>IFERROR(VLOOKUP($B35,CrosstabPerutYitrotDB!$C$6:$N$50,11,FALSE),0)</f>
        <v>0</v>
      </c>
    </row>
    <row r="36" spans="1:147" x14ac:dyDescent="0.2">
      <c r="A36">
        <f t="shared" si="46"/>
        <v>0</v>
      </c>
      <c r="B36" s="20">
        <f>RicusPolice!E33</f>
        <v>0</v>
      </c>
      <c r="C36" s="20">
        <f>RicusPolice!AL33</f>
        <v>0</v>
      </c>
      <c r="D36" s="20">
        <f>RicusPolice!F33</f>
        <v>0</v>
      </c>
      <c r="E36" s="20">
        <f>RicusPolice!R33</f>
        <v>0</v>
      </c>
      <c r="F36" s="20">
        <f>RicusPolice!N33</f>
        <v>0</v>
      </c>
      <c r="G36" s="20">
        <f>IFERROR(VLOOKUP($B36,PerutYitrot!$D$6:$P$100,4,FALSE),0)</f>
        <v>0</v>
      </c>
      <c r="H36" s="20">
        <f t="shared" si="29"/>
        <v>0</v>
      </c>
      <c r="I36" s="20">
        <f>RicusPolice!L33</f>
        <v>0</v>
      </c>
      <c r="J36" s="179">
        <f>IFERROR(VLOOKUP(TRIM(K36),MyData!$J$44:$K$50,2,FALSE),0)</f>
        <v>0</v>
      </c>
      <c r="K36" s="20">
        <f>RicusPolice!M33</f>
        <v>0</v>
      </c>
      <c r="L36" s="20">
        <f>RicusPolice!AM33</f>
        <v>0</v>
      </c>
      <c r="M36" s="20" t="str">
        <f>IF(B36&gt;0,RicusPolice!Y33," ")</f>
        <v xml:space="preserve"> </v>
      </c>
      <c r="N36" s="20" t="str">
        <f t="shared" si="30"/>
        <v/>
      </c>
      <c r="O36" s="20">
        <f>RicusPolice!N33</f>
        <v>0</v>
      </c>
      <c r="P36" s="20">
        <f>IFERROR(VLOOKUP(B36,PerutMasluleiHashkaa!$D$6:$R$100,4,FALSE),0)</f>
        <v>0</v>
      </c>
      <c r="Q36" s="19"/>
      <c r="R36" s="1011" t="str">
        <f>IF(B36&gt;0,RicusPolice!P35," ")</f>
        <v xml:space="preserve"> </v>
      </c>
      <c r="S36" s="20">
        <f>IFERROR(VLOOKUP($B36,'נתונים ידניים'!$B$9:$G$51,6,FALSE),0)</f>
        <v>0</v>
      </c>
      <c r="T36" s="21">
        <f>'נתונים ידניים'!J37</f>
        <v>0</v>
      </c>
      <c r="U36" s="21">
        <f>'נתונים ידניים'!K37</f>
        <v>0</v>
      </c>
      <c r="V36" s="20">
        <f>IFERROR(VLOOKUP($B36,PerutHafrashotLePolisa!$D$6:$N$50,2,FALSE),0)</f>
        <v>0</v>
      </c>
      <c r="W36" s="20">
        <f>IFERROR(VLOOKUP($B36,PerutHafrashotLePolisa!$D$6:$N$50,4,FALSE),0)</f>
        <v>0</v>
      </c>
      <c r="X36" s="20">
        <f>IFERROR(VLOOKUP($B36,PerutHafrashotLePolisa!$D$6:$N$50,3,FALSE),0)</f>
        <v>0</v>
      </c>
      <c r="Y36">
        <f t="shared" si="31"/>
        <v>0</v>
      </c>
      <c r="Z36">
        <f>RicusPolice!AP33</f>
        <v>0</v>
      </c>
      <c r="AA36">
        <f>IFERROR(VLOOKUP(B36,PirteiHaasaka!$D$6:$R$100,5,FALSE),0)</f>
        <v>0</v>
      </c>
      <c r="AC36">
        <f>IFERROR(VLOOKUP(B36,HafkadotMetchilatShanaAverages!$D$6:$E$100,2,FALSE),0)</f>
        <v>0</v>
      </c>
      <c r="AF36">
        <f>'נתונים ידניים'!L37</f>
        <v>0</v>
      </c>
      <c r="AG36">
        <f>IFERROR(VLOOKUP(B36,CrossTabYitraLeTkufa_till_2000!$D$6:$AB$100,6,FALSE),0)+IFERROR(VLOOKUP(B36,CrossTabYitraLeTkufa_after_2000!$D$6:$AB$100,6,FALSE),0)</f>
        <v>0</v>
      </c>
      <c r="AH36">
        <f>IFERROR(VLOOKUP(B36,CrossTabYitraLeTkufa_till_2000!$D$6:$AB$100,16,FALSE),0)</f>
        <v>0</v>
      </c>
      <c r="AI36">
        <f>IFERROR(VLOOKUP(B36,CrossTabYitraLeTkufa_after_2000!$D$6:$AB$100,16,FALSE),0)</f>
        <v>0</v>
      </c>
      <c r="AJ36">
        <f>IFERROR(VLOOKUP(B36,CrossTabYitraLeTkufa_till_2000!$D$6:$AB$100,17,FALSE),0)</f>
        <v>0</v>
      </c>
      <c r="AK36">
        <f>IFERROR(VLOOKUP(B36,CrossTabYitraLeTkufa_after_2000!$D$6:$AB$100,17,FALSE),0)</f>
        <v>0</v>
      </c>
      <c r="AL36" s="5">
        <f t="shared" si="32"/>
        <v>0</v>
      </c>
      <c r="AO36">
        <f>IFERROR(VLOOKUP(B36,PirteiKisuiBeMutzar_procerur!$C$6:$AA$100,2,FALSE),0)</f>
        <v>0</v>
      </c>
      <c r="AQ36">
        <f>IFERROR(VLOOKUP($B36,PirteiKisuiBeMutzar_procerur!$C$6:$AA$100,5,FALSE),0)</f>
        <v>0</v>
      </c>
      <c r="AR36">
        <f>IFERROR(VLOOKUP($B36,PirteiKisuiBeMutzar_procerur!$C$6:$AA$100,3,FALSE),0)</f>
        <v>0</v>
      </c>
      <c r="AS36">
        <f>IFERROR(VLOOKUP($B36,PirteiKisuiBeMutzar_procerur!$C$6:$AA$100,6,FALSE),0)</f>
        <v>0</v>
      </c>
      <c r="AT36">
        <f>IFERROR(VLOOKUP($B36,PirteiKisuiBeMutzar_procerur!$C$6:$AA$100,7,FALSE),0)</f>
        <v>0</v>
      </c>
      <c r="AX36" s="997">
        <f t="shared" si="33"/>
        <v>0</v>
      </c>
      <c r="AY36" s="997">
        <f t="shared" si="34"/>
        <v>0</v>
      </c>
      <c r="AZ36" s="997">
        <f t="shared" si="35"/>
        <v>0</v>
      </c>
      <c r="BA36" s="997">
        <f>IFERROR(FV(S36/100/12,'נתוני יסוד'!$B$16*12,AX36,AG36)*(-1),0)</f>
        <v>0</v>
      </c>
      <c r="BB36" s="997">
        <f>IFERROR(FV(S36/100/12,'נתוני יסוד'!$B$16*12,0,AH36)*(-1),0)</f>
        <v>0</v>
      </c>
      <c r="BC36" s="997">
        <f>IFERROR(FV(S36/100/12,'נתוני יסוד'!$B$16*12,AY36,AI36)*(-1),0)</f>
        <v>0</v>
      </c>
      <c r="BD36" s="997">
        <f>IFERROR(FV(S36/100/12,'נתוני יסוד'!$B$16*12,0,AJ36)*(-1),0)</f>
        <v>0</v>
      </c>
      <c r="BE36" s="997">
        <f>IFERROR(FV(S36/100/12,'נתוני יסוד'!$B$16*12,AZ36,AK36)*(-1),0)</f>
        <v>0</v>
      </c>
      <c r="BF36" s="997">
        <f t="shared" si="36"/>
        <v>0</v>
      </c>
      <c r="BG36" s="997">
        <f>IFERROR(FV(S36/100/12,'נתוני יסוד'!$B$16*12,AF36,AL36)*(-1),0)</f>
        <v>0</v>
      </c>
      <c r="BH36" s="997">
        <f t="shared" si="37"/>
        <v>0</v>
      </c>
      <c r="BI36" s="997">
        <f t="shared" si="38"/>
        <v>0</v>
      </c>
      <c r="BJ36" s="997">
        <f t="shared" si="39"/>
        <v>0</v>
      </c>
      <c r="BK36" s="997">
        <f t="shared" si="40"/>
        <v>0</v>
      </c>
      <c r="BL36" s="997">
        <f t="shared" si="1"/>
        <v>0</v>
      </c>
      <c r="BM36" s="997">
        <f t="shared" si="2"/>
        <v>0</v>
      </c>
      <c r="BN36" s="997">
        <f t="shared" si="3"/>
        <v>0</v>
      </c>
      <c r="BO36" s="997">
        <f t="shared" si="41"/>
        <v>0</v>
      </c>
      <c r="BP36" s="997">
        <f t="shared" si="4"/>
        <v>0</v>
      </c>
      <c r="BS36">
        <f t="shared" si="5"/>
        <v>0</v>
      </c>
      <c r="BT36">
        <f t="shared" si="6"/>
        <v>0</v>
      </c>
      <c r="BU36">
        <f t="shared" si="7"/>
        <v>0</v>
      </c>
      <c r="BV36">
        <f t="shared" si="42"/>
        <v>0</v>
      </c>
      <c r="BW36">
        <f t="shared" si="8"/>
        <v>0</v>
      </c>
      <c r="BY36" s="997">
        <f t="shared" si="9"/>
        <v>0</v>
      </c>
      <c r="BZ36" s="997">
        <f t="shared" si="10"/>
        <v>0</v>
      </c>
      <c r="CA36" s="997">
        <f t="shared" si="11"/>
        <v>0</v>
      </c>
      <c r="CB36" s="997">
        <f t="shared" si="43"/>
        <v>0</v>
      </c>
      <c r="CC36" s="997">
        <f t="shared" si="12"/>
        <v>0</v>
      </c>
      <c r="CD36" s="997">
        <f t="shared" si="13"/>
        <v>0</v>
      </c>
      <c r="CE36" s="997">
        <f t="shared" si="14"/>
        <v>0</v>
      </c>
      <c r="CF36" s="997">
        <f t="shared" si="15"/>
        <v>0</v>
      </c>
      <c r="CG36" s="997">
        <f t="shared" si="16"/>
        <v>0</v>
      </c>
      <c r="CH36" s="997">
        <f t="shared" si="17"/>
        <v>0</v>
      </c>
      <c r="CI36" s="997">
        <f t="shared" si="18"/>
        <v>0</v>
      </c>
      <c r="CJ36" s="997">
        <f t="shared" si="19"/>
        <v>0</v>
      </c>
      <c r="CK36" s="997"/>
      <c r="CL36" s="997"/>
      <c r="CM36" s="997">
        <f t="shared" si="20"/>
        <v>0</v>
      </c>
      <c r="CN36" s="997">
        <f t="shared" si="21"/>
        <v>0</v>
      </c>
      <c r="CO36" s="997">
        <f t="shared" si="22"/>
        <v>0</v>
      </c>
      <c r="CP36" s="997">
        <f t="shared" si="44"/>
        <v>0</v>
      </c>
      <c r="CQ36" s="997">
        <f t="shared" si="23"/>
        <v>0</v>
      </c>
      <c r="CR36" s="997">
        <f>IFERROR(VLOOKUP($B36,SchumeiBituahYesodi!$C$6:$AA$100,8,FALSE),0)</f>
        <v>0</v>
      </c>
      <c r="CS36" s="997">
        <f>IFERROR(VLOOKUP($B36,PirteiKisuiBeMutzar_procerur!$C$6:$AA$100,2,FALSE),0)</f>
        <v>0</v>
      </c>
      <c r="CT36" s="997">
        <f>IFERROR(VLOOKUP($B36,PirteiKisuiBeMutzar_procerur!$C$6:$AA$100,3,FALSE),0)</f>
        <v>0</v>
      </c>
      <c r="CU36" s="997">
        <f>IFERROR(VLOOKUP($B36,PirteiKisuiBeMutzar_procerur!$C$6:$AA$100,4,FALSE),0)</f>
        <v>0</v>
      </c>
      <c r="CV36" s="997">
        <f>IFERROR(VLOOKUP($B36,PirteiKisuiBeMutzar_procerur!$C$6:$AA$100,5,FALSE),0)</f>
        <v>0</v>
      </c>
      <c r="CW36" s="997">
        <f>IFERROR(VLOOKUP($B36,PirteiKisuiBeMutzar_procerur!$C$6:$AA$100,6,FALSE),0)</f>
        <v>0</v>
      </c>
      <c r="CX36" s="997">
        <f>IFERROR(VLOOKUP($B36,PirteiKisuiBeMutzar_procerur!$C$6:$AA$100,7,FALSE),0)</f>
        <v>0</v>
      </c>
      <c r="CY36" s="997">
        <f>IFERROR(VLOOKUP($B36,PirteiKisuiBeMutzar_procerur!$C$6:$AA$100,8,FALSE),0)</f>
        <v>0</v>
      </c>
      <c r="CZ36" s="997">
        <f>IFERROR(VLOOKUP($B36,PirteiKisuiBeMutzar_procerur!$C$6:$AA$100,9,FALSE),0)</f>
        <v>0</v>
      </c>
      <c r="DA36" s="997">
        <f>IFERROR(VLOOKUP($B36,PirteiKisuiBeMutzar_procerur!$C$6:$AA$100,10,FALSE),0)</f>
        <v>0</v>
      </c>
      <c r="DB36" s="997">
        <f>IFERROR(VLOOKUP($B36,PirteiKisuiBeMutzar_procerur!$C$6:$AA$100,11,FALSE),0)</f>
        <v>0</v>
      </c>
      <c r="DC36" s="997">
        <f>IFERROR(VLOOKUP($B36,PirteiKisuiBeMutzarPrmia!$C$6:$Z$100,2,FALSE),0)</f>
        <v>0</v>
      </c>
      <c r="DD36" s="997">
        <f>IFERROR(VLOOKUP($B36,PirteiKisuiBeMutzarPrmia!$C$6:$Z$100,3,FALSE),0)</f>
        <v>0</v>
      </c>
      <c r="DE36" s="997">
        <f>IFERROR(VLOOKUP($B36,PirteiKisuiBeMutzarPrmia!$C$6:$Z$100,4,FALSE),0)</f>
        <v>0</v>
      </c>
      <c r="DF36" s="997">
        <f>IFERROR(VLOOKUP($B36,PirteiKisuiBeMutzarPrmia!$C$6:$Z$100,5,FALSE),0)</f>
        <v>0</v>
      </c>
      <c r="DG36" s="997">
        <f>IFERROR(VLOOKUP($B36,PirteiKisuiBeMutzarPrmia!$C$6:$Z$100,6,FALSE),0)</f>
        <v>0</v>
      </c>
      <c r="DH36" s="997">
        <f>IFERROR(VLOOKUP($B36,PirteiKisuiBeMutzarPrmia!$C$6:$Z$100,7,FALSE),0)</f>
        <v>0</v>
      </c>
      <c r="DI36" s="997">
        <f>IFERROR(VLOOKUP($B36,PirteiKisuiBeMutzarPrmia!$C$6:$Z$100,8,FALSE),0)</f>
        <v>0</v>
      </c>
      <c r="DJ36" s="997">
        <f>IFERROR(VLOOKUP($B36,PirteiKisuiBeMutzarPrmia!$C$6:$Z$100,9,FALSE),0)</f>
        <v>0</v>
      </c>
      <c r="DK36" s="997">
        <f>IFERROR(VLOOKUP($B36,PirteiKisuiBeMutzarPrmia!$C$6:$Z$100,10,FALSE),0)</f>
        <v>0</v>
      </c>
      <c r="DL36" s="997">
        <f>IFERROR(VLOOKUP($B36,PirteiKisuiBeMutzarPrmia!$C$6:$Z$100,11,FALSE),0)</f>
        <v>0</v>
      </c>
      <c r="DM36" s="997">
        <f t="shared" si="24"/>
        <v>0</v>
      </c>
      <c r="DN36" s="997">
        <f t="shared" si="25"/>
        <v>0</v>
      </c>
      <c r="DO36" s="997">
        <f t="shared" si="26"/>
        <v>0</v>
      </c>
      <c r="DP36" s="997">
        <f t="shared" si="27"/>
        <v>0</v>
      </c>
      <c r="DQ36" s="997">
        <f t="shared" si="28"/>
        <v>0</v>
      </c>
      <c r="DR36" s="997">
        <f>IF(OR(L36=1,L36=3),IFERROR(VLOOKUP($B36,PerutHafkadotMetchilatShanaAvgM!$C$6:$G$100,3,FALSE),0),0)</f>
        <v>0</v>
      </c>
      <c r="DS36" s="997">
        <f>IF(OR(L36=2,L36=4),IFERROR(VLOOKUP($B36,PerutHafkadotMetchilatShanaAvgM!$C$6:$G$100,3,FALSE),0),0)</f>
        <v>0</v>
      </c>
      <c r="DT36" s="997">
        <f>IFERROR(VLOOKUP($B36,PerutHafkadotMetchilatShanaAvgM!$C$6:$G$100,4,FALSE),0)</f>
        <v>0</v>
      </c>
      <c r="DU36" s="997">
        <f>IFERROR(VLOOKUP($B36,Kupa!$D$6:$AA$100,5,FALSE),0)</f>
        <v>0</v>
      </c>
      <c r="DV36" s="997">
        <f>IFERROR(VLOOKUP($B36,Kupa!$D$6:$AA$100,6,FALSE),0)</f>
        <v>0</v>
      </c>
      <c r="DW36" s="997">
        <f>IFERROR(VLOOKUP($B36,KisuiBKerenPensiaDBWithParams!$D$6:$AP$100,9,FALSE),0)</f>
        <v>0</v>
      </c>
      <c r="DX36" s="997">
        <f>IFERROR(VLOOKUP($B36,KisuiBKerenPensiaDBWithParams!$D$6:$AP$100,12,FALSE),0)</f>
        <v>0</v>
      </c>
      <c r="DY36" s="997">
        <f>IFERROR(VLOOKUP($B36,KisuiBKerenPensiaDBWithParams!$D$6:$AP$100,13,FALSE),0)</f>
        <v>0</v>
      </c>
      <c r="DZ36" s="997">
        <f>IFERROR(VLOOKUP($B36,KisuiBKerenPensiaDBWithParams!$D$6:$AP$100,7,FALSE),0)</f>
        <v>0</v>
      </c>
      <c r="EA36" s="997">
        <f>IFERROR(VLOOKUP($B36,KisuiBKerenPensiaDBWithParams!$D$6:$AP$100,17,FALSE),0)</f>
        <v>0</v>
      </c>
      <c r="EB36" s="997">
        <f>IFERROR(VLOOKUP($B36,KisuiBKerenPensiaDBWithParams!$D$6:$AP$100,20,FALSE),0)</f>
        <v>0</v>
      </c>
      <c r="EC36" s="997">
        <f>IFERROR(VLOOKUP($B36,KisuiBKerenPensiaDBWithParams!$D$6:$AP$100,21,FALSE),0)</f>
        <v>0</v>
      </c>
      <c r="ED36" s="997">
        <f t="shared" si="45"/>
        <v>0</v>
      </c>
      <c r="EE36" s="997"/>
      <c r="EF36" s="1020">
        <f>IFERROR(VLOOKUP($B36,KisuiBKerenPensiaDBWithParams!$D$6:$AP$100,21,FALSE),0)</f>
        <v>0</v>
      </c>
      <c r="EG36" s="1020">
        <f>IFERROR(VLOOKUP($B36,KisuiBKerenPensiaDBWithParams!$D$6:$AP$100,21,FALSE),0)</f>
        <v>0</v>
      </c>
      <c r="EH36">
        <f>IF(OR(G36=MyData!$J$51,G36=MyData!$J$52,G36=MyData!$J$53),1,IF(G36=MyData!$J$50,2,0))</f>
        <v>0</v>
      </c>
      <c r="EI36">
        <f>IFERROR(VLOOKUP($B36,CrosstabPerutYitrotDB!$C$6:$N$50,3,FALSE),0)</f>
        <v>0</v>
      </c>
      <c r="EJ36">
        <f>IFERROR(VLOOKUP($B36,CrosstabPerutYitrotDB!$C$6:$N$50,4,FALSE),0)</f>
        <v>0</v>
      </c>
      <c r="EK36">
        <f>IFERROR(VLOOKUP($B36,CrosstabPerutYitrotDB!$C$6:$N$50,5,FALSE),0)</f>
        <v>0</v>
      </c>
      <c r="EL36">
        <f>IFERROR(VLOOKUP($B36,CrosstabPerutYitrotDB!$C$6:$N$50,6,FALSE),0)</f>
        <v>0</v>
      </c>
      <c r="EM36">
        <f>IFERROR(VLOOKUP($B36,CrosstabPerutYitrotDB!$C$6:$N$50,7,FALSE),0)</f>
        <v>0</v>
      </c>
      <c r="EN36">
        <f>IFERROR(VLOOKUP($B36,CrosstabPerutYitrotDB!$C$6:$N$50,8,FALSE),0)</f>
        <v>0</v>
      </c>
      <c r="EO36">
        <f>IFERROR(VLOOKUP($B36,CrosstabPerutYitrotDB!$C$6:$N$50,9,FALSE),0)</f>
        <v>0</v>
      </c>
      <c r="EP36">
        <f>IFERROR(VLOOKUP($B36,CrosstabPerutYitrotDB!$C$6:$N$50,10,FALSE),0)</f>
        <v>0</v>
      </c>
      <c r="EQ36">
        <f>IFERROR(VLOOKUP($B36,CrosstabPerutYitrotDB!$C$6:$N$50,11,FALSE),0)</f>
        <v>0</v>
      </c>
    </row>
    <row r="37" spans="1:147" x14ac:dyDescent="0.2">
      <c r="A37">
        <f t="shared" si="46"/>
        <v>0</v>
      </c>
      <c r="B37" s="20">
        <f>RicusPolice!E34</f>
        <v>0</v>
      </c>
      <c r="C37" s="20">
        <f>RicusPolice!AL34</f>
        <v>0</v>
      </c>
      <c r="D37" s="20">
        <f>RicusPolice!F34</f>
        <v>0</v>
      </c>
      <c r="E37" s="20">
        <f>RicusPolice!R34</f>
        <v>0</v>
      </c>
      <c r="F37" s="20">
        <f>RicusPolice!N34</f>
        <v>0</v>
      </c>
      <c r="G37" s="20">
        <f>IFERROR(VLOOKUP($B37,PerutYitrot!$D$6:$P$100,4,FALSE),0)</f>
        <v>0</v>
      </c>
      <c r="H37" s="20">
        <f t="shared" si="29"/>
        <v>0</v>
      </c>
      <c r="I37" s="20">
        <f>RicusPolice!L34</f>
        <v>0</v>
      </c>
      <c r="J37" s="179">
        <f>IFERROR(VLOOKUP(TRIM(K37),MyData!$J$44:$K$50,2,FALSE),0)</f>
        <v>0</v>
      </c>
      <c r="K37" s="20">
        <f>RicusPolice!M34</f>
        <v>0</v>
      </c>
      <c r="L37" s="20">
        <f>RicusPolice!AM34</f>
        <v>0</v>
      </c>
      <c r="M37" s="20" t="str">
        <f>IF(B37&gt;0,RicusPolice!Y34," ")</f>
        <v xml:space="preserve"> </v>
      </c>
      <c r="N37" s="20" t="str">
        <f t="shared" si="30"/>
        <v/>
      </c>
      <c r="O37" s="20">
        <f>RicusPolice!N34</f>
        <v>0</v>
      </c>
      <c r="P37" s="20">
        <f>IFERROR(VLOOKUP(B37,PerutMasluleiHashkaa!$D$6:$R$100,4,FALSE),0)</f>
        <v>0</v>
      </c>
      <c r="Q37" s="19"/>
      <c r="R37" s="1011" t="str">
        <f>IF(B37&gt;0,RicusPolice!P36," ")</f>
        <v xml:space="preserve"> </v>
      </c>
      <c r="S37" s="20">
        <f>IFERROR(VLOOKUP($B37,'נתונים ידניים'!$B$9:$G$51,6,FALSE),0)</f>
        <v>0</v>
      </c>
      <c r="T37" s="21">
        <f>'נתונים ידניים'!J38</f>
        <v>0</v>
      </c>
      <c r="U37" s="21">
        <f>'נתונים ידניים'!K38</f>
        <v>0</v>
      </c>
      <c r="V37" s="20">
        <f>IFERROR(VLOOKUP($B37,PerutHafrashotLePolisa!$D$6:$N$50,2,FALSE),0)</f>
        <v>0</v>
      </c>
      <c r="W37" s="20">
        <f>IFERROR(VLOOKUP($B37,PerutHafrashotLePolisa!$D$6:$N$50,4,FALSE),0)</f>
        <v>0</v>
      </c>
      <c r="X37" s="20">
        <f>IFERROR(VLOOKUP($B37,PerutHafrashotLePolisa!$D$6:$N$50,3,FALSE),0)</f>
        <v>0</v>
      </c>
      <c r="Y37">
        <f t="shared" si="31"/>
        <v>0</v>
      </c>
      <c r="Z37">
        <f>RicusPolice!AP34</f>
        <v>0</v>
      </c>
      <c r="AA37">
        <f>IFERROR(VLOOKUP(B37,PirteiHaasaka!$D$6:$R$100,5,FALSE),0)</f>
        <v>0</v>
      </c>
      <c r="AC37">
        <f>IFERROR(VLOOKUP(B37,HafkadotMetchilatShanaAverages!$D$6:$E$100,2,FALSE),0)</f>
        <v>0</v>
      </c>
      <c r="AF37">
        <f>'נתונים ידניים'!L38</f>
        <v>0</v>
      </c>
      <c r="AG37">
        <f>IFERROR(VLOOKUP(B37,CrossTabYitraLeTkufa_till_2000!$D$6:$AB$100,6,FALSE),0)+IFERROR(VLOOKUP(B37,CrossTabYitraLeTkufa_after_2000!$D$6:$AB$100,6,FALSE),0)</f>
        <v>0</v>
      </c>
      <c r="AH37">
        <f>IFERROR(VLOOKUP(B37,CrossTabYitraLeTkufa_till_2000!$D$6:$AB$100,16,FALSE),0)</f>
        <v>0</v>
      </c>
      <c r="AI37">
        <f>IFERROR(VLOOKUP(B37,CrossTabYitraLeTkufa_after_2000!$D$6:$AB$100,16,FALSE),0)</f>
        <v>0</v>
      </c>
      <c r="AJ37">
        <f>IFERROR(VLOOKUP(B37,CrossTabYitraLeTkufa_till_2000!$D$6:$AB$100,17,FALSE),0)</f>
        <v>0</v>
      </c>
      <c r="AK37">
        <f>IFERROR(VLOOKUP(B37,CrossTabYitraLeTkufa_after_2000!$D$6:$AB$100,17,FALSE),0)</f>
        <v>0</v>
      </c>
      <c r="AL37" s="5">
        <f t="shared" si="32"/>
        <v>0</v>
      </c>
      <c r="AO37">
        <f>IFERROR(VLOOKUP(B37,PirteiKisuiBeMutzar_procerur!$C$6:$AA$100,2,FALSE),0)</f>
        <v>0</v>
      </c>
      <c r="AQ37">
        <f>IFERROR(VLOOKUP($B37,PirteiKisuiBeMutzar_procerur!$C$6:$AA$100,5,FALSE),0)</f>
        <v>0</v>
      </c>
      <c r="AR37">
        <f>IFERROR(VLOOKUP($B37,PirteiKisuiBeMutzar_procerur!$C$6:$AA$100,3,FALSE),0)</f>
        <v>0</v>
      </c>
      <c r="AS37">
        <f>IFERROR(VLOOKUP($B37,PirteiKisuiBeMutzar_procerur!$C$6:$AA$100,6,FALSE),0)</f>
        <v>0</v>
      </c>
      <c r="AT37">
        <f>IFERROR(VLOOKUP($B37,PirteiKisuiBeMutzar_procerur!$C$6:$AA$100,7,FALSE),0)</f>
        <v>0</v>
      </c>
      <c r="AX37" s="997">
        <f t="shared" si="33"/>
        <v>0</v>
      </c>
      <c r="AY37" s="997">
        <f t="shared" si="34"/>
        <v>0</v>
      </c>
      <c r="AZ37" s="997">
        <f t="shared" si="35"/>
        <v>0</v>
      </c>
      <c r="BA37" s="997">
        <f>IFERROR(FV(S37/100/12,'נתוני יסוד'!$B$16*12,AX37,AG37)*(-1),0)</f>
        <v>0</v>
      </c>
      <c r="BB37" s="997">
        <f>IFERROR(FV(S37/100/12,'נתוני יסוד'!$B$16*12,0,AH37)*(-1),0)</f>
        <v>0</v>
      </c>
      <c r="BC37" s="997">
        <f>IFERROR(FV(S37/100/12,'נתוני יסוד'!$B$16*12,AY37,AI37)*(-1),0)</f>
        <v>0</v>
      </c>
      <c r="BD37" s="997">
        <f>IFERROR(FV(S37/100/12,'נתוני יסוד'!$B$16*12,0,AJ37)*(-1),0)</f>
        <v>0</v>
      </c>
      <c r="BE37" s="997">
        <f>IFERROR(FV(S37/100/12,'נתוני יסוד'!$B$16*12,AZ37,AK37)*(-1),0)</f>
        <v>0</v>
      </c>
      <c r="BF37" s="997">
        <f t="shared" si="36"/>
        <v>0</v>
      </c>
      <c r="BG37" s="997">
        <f>IFERROR(FV(S37/100/12,'נתוני יסוד'!$B$16*12,AF37,AL37)*(-1),0)</f>
        <v>0</v>
      </c>
      <c r="BH37" s="997">
        <f t="shared" si="37"/>
        <v>0</v>
      </c>
      <c r="BI37" s="997">
        <f t="shared" si="38"/>
        <v>0</v>
      </c>
      <c r="BJ37" s="997">
        <f t="shared" si="39"/>
        <v>0</v>
      </c>
      <c r="BK37" s="997">
        <f t="shared" si="40"/>
        <v>0</v>
      </c>
      <c r="BL37" s="997">
        <f t="shared" si="1"/>
        <v>0</v>
      </c>
      <c r="BM37" s="997">
        <f t="shared" si="2"/>
        <v>0</v>
      </c>
      <c r="BN37" s="997">
        <f t="shared" si="3"/>
        <v>0</v>
      </c>
      <c r="BO37" s="997">
        <f t="shared" si="41"/>
        <v>0</v>
      </c>
      <c r="BP37" s="997">
        <f t="shared" si="4"/>
        <v>0</v>
      </c>
      <c r="BS37">
        <f t="shared" si="5"/>
        <v>0</v>
      </c>
      <c r="BT37">
        <f t="shared" si="6"/>
        <v>0</v>
      </c>
      <c r="BU37">
        <f t="shared" si="7"/>
        <v>0</v>
      </c>
      <c r="BV37">
        <f t="shared" si="42"/>
        <v>0</v>
      </c>
      <c r="BW37">
        <f t="shared" si="8"/>
        <v>0</v>
      </c>
      <c r="BY37" s="997">
        <f t="shared" si="9"/>
        <v>0</v>
      </c>
      <c r="BZ37" s="997">
        <f t="shared" si="10"/>
        <v>0</v>
      </c>
      <c r="CA37" s="997">
        <f t="shared" si="11"/>
        <v>0</v>
      </c>
      <c r="CB37" s="997">
        <f t="shared" si="43"/>
        <v>0</v>
      </c>
      <c r="CC37" s="997">
        <f t="shared" si="12"/>
        <v>0</v>
      </c>
      <c r="CD37" s="997">
        <f t="shared" si="13"/>
        <v>0</v>
      </c>
      <c r="CE37" s="997">
        <f t="shared" si="14"/>
        <v>0</v>
      </c>
      <c r="CF37" s="997">
        <f t="shared" si="15"/>
        <v>0</v>
      </c>
      <c r="CG37" s="997">
        <f t="shared" si="16"/>
        <v>0</v>
      </c>
      <c r="CH37" s="997">
        <f t="shared" si="17"/>
        <v>0</v>
      </c>
      <c r="CI37" s="997">
        <f t="shared" si="18"/>
        <v>0</v>
      </c>
      <c r="CJ37" s="997">
        <f t="shared" si="19"/>
        <v>0</v>
      </c>
      <c r="CK37" s="997"/>
      <c r="CL37" s="997"/>
      <c r="CM37" s="997">
        <f t="shared" si="20"/>
        <v>0</v>
      </c>
      <c r="CN37" s="997">
        <f t="shared" si="21"/>
        <v>0</v>
      </c>
      <c r="CO37" s="997">
        <f t="shared" si="22"/>
        <v>0</v>
      </c>
      <c r="CP37" s="997">
        <f t="shared" si="44"/>
        <v>0</v>
      </c>
      <c r="CQ37" s="997">
        <f t="shared" si="23"/>
        <v>0</v>
      </c>
      <c r="CR37" s="997">
        <f>IFERROR(VLOOKUP($B37,SchumeiBituahYesodi!$C$6:$AA$100,8,FALSE),0)</f>
        <v>0</v>
      </c>
      <c r="CS37" s="997">
        <f>IFERROR(VLOOKUP($B37,PirteiKisuiBeMutzar_procerur!$C$6:$AA$100,2,FALSE),0)</f>
        <v>0</v>
      </c>
      <c r="CT37" s="997">
        <f>IFERROR(VLOOKUP($B37,PirteiKisuiBeMutzar_procerur!$C$6:$AA$100,3,FALSE),0)</f>
        <v>0</v>
      </c>
      <c r="CU37" s="997">
        <f>IFERROR(VLOOKUP($B37,PirteiKisuiBeMutzar_procerur!$C$6:$AA$100,4,FALSE),0)</f>
        <v>0</v>
      </c>
      <c r="CV37" s="997">
        <f>IFERROR(VLOOKUP($B37,PirteiKisuiBeMutzar_procerur!$C$6:$AA$100,5,FALSE),0)</f>
        <v>0</v>
      </c>
      <c r="CW37" s="997">
        <f>IFERROR(VLOOKUP($B37,PirteiKisuiBeMutzar_procerur!$C$6:$AA$100,6,FALSE),0)</f>
        <v>0</v>
      </c>
      <c r="CX37" s="997">
        <f>IFERROR(VLOOKUP($B37,PirteiKisuiBeMutzar_procerur!$C$6:$AA$100,7,FALSE),0)</f>
        <v>0</v>
      </c>
      <c r="CY37" s="997">
        <f>IFERROR(VLOOKUP($B37,PirteiKisuiBeMutzar_procerur!$C$6:$AA$100,8,FALSE),0)</f>
        <v>0</v>
      </c>
      <c r="CZ37" s="997">
        <f>IFERROR(VLOOKUP($B37,PirteiKisuiBeMutzar_procerur!$C$6:$AA$100,9,FALSE),0)</f>
        <v>0</v>
      </c>
      <c r="DA37" s="997">
        <f>IFERROR(VLOOKUP($B37,PirteiKisuiBeMutzar_procerur!$C$6:$AA$100,10,FALSE),0)</f>
        <v>0</v>
      </c>
      <c r="DB37" s="997">
        <f>IFERROR(VLOOKUP($B37,PirteiKisuiBeMutzar_procerur!$C$6:$AA$100,11,FALSE),0)</f>
        <v>0</v>
      </c>
      <c r="DC37" s="997">
        <f>IFERROR(VLOOKUP($B37,PirteiKisuiBeMutzarPrmia!$C$6:$Z$100,2,FALSE),0)</f>
        <v>0</v>
      </c>
      <c r="DD37" s="997">
        <f>IFERROR(VLOOKUP($B37,PirteiKisuiBeMutzarPrmia!$C$6:$Z$100,3,FALSE),0)</f>
        <v>0</v>
      </c>
      <c r="DE37" s="997">
        <f>IFERROR(VLOOKUP($B37,PirteiKisuiBeMutzarPrmia!$C$6:$Z$100,4,FALSE),0)</f>
        <v>0</v>
      </c>
      <c r="DF37" s="997">
        <f>IFERROR(VLOOKUP($B37,PirteiKisuiBeMutzarPrmia!$C$6:$Z$100,5,FALSE),0)</f>
        <v>0</v>
      </c>
      <c r="DG37" s="997">
        <f>IFERROR(VLOOKUP($B37,PirteiKisuiBeMutzarPrmia!$C$6:$Z$100,6,FALSE),0)</f>
        <v>0</v>
      </c>
      <c r="DH37" s="997">
        <f>IFERROR(VLOOKUP($B37,PirteiKisuiBeMutzarPrmia!$C$6:$Z$100,7,FALSE),0)</f>
        <v>0</v>
      </c>
      <c r="DI37" s="997">
        <f>IFERROR(VLOOKUP($B37,PirteiKisuiBeMutzarPrmia!$C$6:$Z$100,8,FALSE),0)</f>
        <v>0</v>
      </c>
      <c r="DJ37" s="997">
        <f>IFERROR(VLOOKUP($B37,PirteiKisuiBeMutzarPrmia!$C$6:$Z$100,9,FALSE),0)</f>
        <v>0</v>
      </c>
      <c r="DK37" s="997">
        <f>IFERROR(VLOOKUP($B37,PirteiKisuiBeMutzarPrmia!$C$6:$Z$100,10,FALSE),0)</f>
        <v>0</v>
      </c>
      <c r="DL37" s="997">
        <f>IFERROR(VLOOKUP($B37,PirteiKisuiBeMutzarPrmia!$C$6:$Z$100,11,FALSE),0)</f>
        <v>0</v>
      </c>
      <c r="DM37" s="997">
        <f t="shared" si="24"/>
        <v>0</v>
      </c>
      <c r="DN37" s="997">
        <f t="shared" si="25"/>
        <v>0</v>
      </c>
      <c r="DO37" s="997">
        <f t="shared" si="26"/>
        <v>0</v>
      </c>
      <c r="DP37" s="997">
        <f t="shared" si="27"/>
        <v>0</v>
      </c>
      <c r="DQ37" s="997">
        <f t="shared" si="28"/>
        <v>0</v>
      </c>
      <c r="DR37" s="997">
        <f>IF(OR(L37=1,L37=3),IFERROR(VLOOKUP($B37,PerutHafkadotMetchilatShanaAvgM!$C$6:$G$100,3,FALSE),0),0)</f>
        <v>0</v>
      </c>
      <c r="DS37" s="997">
        <f>IF(OR(L37=2,L37=4),IFERROR(VLOOKUP($B37,PerutHafkadotMetchilatShanaAvgM!$C$6:$G$100,3,FALSE),0),0)</f>
        <v>0</v>
      </c>
      <c r="DT37" s="997">
        <f>IFERROR(VLOOKUP($B37,PerutHafkadotMetchilatShanaAvgM!$C$6:$G$100,4,FALSE),0)</f>
        <v>0</v>
      </c>
      <c r="DU37" s="997">
        <f>IFERROR(VLOOKUP($B37,Kupa!$D$6:$AA$100,5,FALSE),0)</f>
        <v>0</v>
      </c>
      <c r="DV37" s="997">
        <f>IFERROR(VLOOKUP($B37,Kupa!$D$6:$AA$100,6,FALSE),0)</f>
        <v>0</v>
      </c>
      <c r="DW37" s="997">
        <f>IFERROR(VLOOKUP($B37,KisuiBKerenPensiaDBWithParams!$D$6:$AP$100,9,FALSE),0)</f>
        <v>0</v>
      </c>
      <c r="DX37" s="997">
        <f>IFERROR(VLOOKUP($B37,KisuiBKerenPensiaDBWithParams!$D$6:$AP$100,12,FALSE),0)</f>
        <v>0</v>
      </c>
      <c r="DY37" s="997">
        <f>IFERROR(VLOOKUP($B37,KisuiBKerenPensiaDBWithParams!$D$6:$AP$100,13,FALSE),0)</f>
        <v>0</v>
      </c>
      <c r="DZ37" s="997">
        <f>IFERROR(VLOOKUP($B37,KisuiBKerenPensiaDBWithParams!$D$6:$AP$100,7,FALSE),0)</f>
        <v>0</v>
      </c>
      <c r="EA37" s="997">
        <f>IFERROR(VLOOKUP($B37,KisuiBKerenPensiaDBWithParams!$D$6:$AP$100,17,FALSE),0)</f>
        <v>0</v>
      </c>
      <c r="EB37" s="997">
        <f>IFERROR(VLOOKUP($B37,KisuiBKerenPensiaDBWithParams!$D$6:$AP$100,20,FALSE),0)</f>
        <v>0</v>
      </c>
      <c r="EC37" s="997">
        <f>IFERROR(VLOOKUP($B37,KisuiBKerenPensiaDBWithParams!$D$6:$AP$100,21,FALSE),0)</f>
        <v>0</v>
      </c>
      <c r="ED37" s="997">
        <f t="shared" si="45"/>
        <v>0</v>
      </c>
      <c r="EE37" s="997"/>
      <c r="EF37" s="1020">
        <f>IFERROR(VLOOKUP($B37,KisuiBKerenPensiaDBWithParams!$D$6:$AP$100,21,FALSE),0)</f>
        <v>0</v>
      </c>
      <c r="EG37" s="1020">
        <f>IFERROR(VLOOKUP($B37,KisuiBKerenPensiaDBWithParams!$D$6:$AP$100,21,FALSE),0)</f>
        <v>0</v>
      </c>
      <c r="EH37">
        <f>IF(OR(G37=MyData!$J$51,G37=MyData!$J$52,G37=MyData!$J$53),1,IF(G37=MyData!$J$50,2,0))</f>
        <v>0</v>
      </c>
      <c r="EI37">
        <f>IFERROR(VLOOKUP($B37,CrosstabPerutYitrotDB!$C$6:$N$50,3,FALSE),0)</f>
        <v>0</v>
      </c>
      <c r="EJ37">
        <f>IFERROR(VLOOKUP($B37,CrosstabPerutYitrotDB!$C$6:$N$50,4,FALSE),0)</f>
        <v>0</v>
      </c>
      <c r="EK37">
        <f>IFERROR(VLOOKUP($B37,CrosstabPerutYitrotDB!$C$6:$N$50,5,FALSE),0)</f>
        <v>0</v>
      </c>
      <c r="EL37">
        <f>IFERROR(VLOOKUP($B37,CrosstabPerutYitrotDB!$C$6:$N$50,6,FALSE),0)</f>
        <v>0</v>
      </c>
      <c r="EM37">
        <f>IFERROR(VLOOKUP($B37,CrosstabPerutYitrotDB!$C$6:$N$50,7,FALSE),0)</f>
        <v>0</v>
      </c>
      <c r="EN37">
        <f>IFERROR(VLOOKUP($B37,CrosstabPerutYitrotDB!$C$6:$N$50,8,FALSE),0)</f>
        <v>0</v>
      </c>
      <c r="EO37">
        <f>IFERROR(VLOOKUP($B37,CrosstabPerutYitrotDB!$C$6:$N$50,9,FALSE),0)</f>
        <v>0</v>
      </c>
      <c r="EP37">
        <f>IFERROR(VLOOKUP($B37,CrosstabPerutYitrotDB!$C$6:$N$50,10,FALSE),0)</f>
        <v>0</v>
      </c>
      <c r="EQ37">
        <f>IFERROR(VLOOKUP($B37,CrosstabPerutYitrotDB!$C$6:$N$50,11,FALSE),0)</f>
        <v>0</v>
      </c>
    </row>
    <row r="38" spans="1:147" x14ac:dyDescent="0.2">
      <c r="A38">
        <f t="shared" si="46"/>
        <v>0</v>
      </c>
      <c r="B38" s="20">
        <f>RicusPolice!E35</f>
        <v>0</v>
      </c>
      <c r="C38" s="20">
        <f>RicusPolice!AL35</f>
        <v>0</v>
      </c>
      <c r="D38" s="20">
        <f>RicusPolice!F35</f>
        <v>0</v>
      </c>
      <c r="E38" s="20">
        <f>RicusPolice!R35</f>
        <v>0</v>
      </c>
      <c r="F38" s="20">
        <f>RicusPolice!N35</f>
        <v>0</v>
      </c>
      <c r="G38" s="20">
        <f>IFERROR(VLOOKUP($B38,PerutYitrot!$D$6:$P$100,4,FALSE),0)</f>
        <v>0</v>
      </c>
      <c r="H38" s="20">
        <f t="shared" si="29"/>
        <v>0</v>
      </c>
      <c r="I38" s="20">
        <f>RicusPolice!L35</f>
        <v>0</v>
      </c>
      <c r="J38" s="179">
        <f>IFERROR(VLOOKUP(TRIM(K38),MyData!$J$44:$K$50,2,FALSE),0)</f>
        <v>0</v>
      </c>
      <c r="K38" s="20">
        <f>RicusPolice!M35</f>
        <v>0</v>
      </c>
      <c r="L38" s="20">
        <f>RicusPolice!AM35</f>
        <v>0</v>
      </c>
      <c r="M38" s="20" t="str">
        <f>IF(B38&gt;0,RicusPolice!Y35," ")</f>
        <v xml:space="preserve"> </v>
      </c>
      <c r="N38" s="20" t="str">
        <f t="shared" si="30"/>
        <v/>
      </c>
      <c r="O38" s="20">
        <f>RicusPolice!N35</f>
        <v>0</v>
      </c>
      <c r="P38" s="20">
        <f>IFERROR(VLOOKUP(B38,PerutMasluleiHashkaa!$D$6:$R$100,4,FALSE),0)</f>
        <v>0</v>
      </c>
      <c r="Q38" s="19"/>
      <c r="R38" s="1011" t="str">
        <f>IF(B38&gt;0,RicusPolice!P37," ")</f>
        <v xml:space="preserve"> </v>
      </c>
      <c r="S38" s="20">
        <f>IFERROR(VLOOKUP($B38,'נתונים ידניים'!$B$9:$G$51,6,FALSE),0)</f>
        <v>0</v>
      </c>
      <c r="T38" s="21">
        <f>'נתונים ידניים'!J39</f>
        <v>0</v>
      </c>
      <c r="U38" s="21">
        <f>'נתונים ידניים'!K39</f>
        <v>0</v>
      </c>
      <c r="V38" s="20">
        <f>IFERROR(VLOOKUP($B38,PerutHafrashotLePolisa!$D$6:$N$50,2,FALSE),0)</f>
        <v>0</v>
      </c>
      <c r="W38" s="20">
        <f>IFERROR(VLOOKUP($B38,PerutHafrashotLePolisa!$D$6:$N$50,4,FALSE),0)</f>
        <v>0</v>
      </c>
      <c r="X38" s="20">
        <f>IFERROR(VLOOKUP($B38,PerutHafrashotLePolisa!$D$6:$N$50,3,FALSE),0)</f>
        <v>0</v>
      </c>
      <c r="Y38">
        <f t="shared" si="31"/>
        <v>0</v>
      </c>
      <c r="Z38">
        <f>RicusPolice!AP35</f>
        <v>0</v>
      </c>
      <c r="AA38">
        <f>IFERROR(VLOOKUP(B38,PirteiHaasaka!$D$6:$R$100,5,FALSE),0)</f>
        <v>0</v>
      </c>
      <c r="AC38">
        <f>IFERROR(VLOOKUP(B38,HafkadotMetchilatShanaAverages!$D$6:$E$100,2,FALSE),0)</f>
        <v>0</v>
      </c>
      <c r="AF38">
        <f>'נתונים ידניים'!L39</f>
        <v>0</v>
      </c>
      <c r="AG38">
        <f>IFERROR(VLOOKUP(B38,CrossTabYitraLeTkufa_till_2000!$D$6:$AB$100,6,FALSE),0)+IFERROR(VLOOKUP(B38,CrossTabYitraLeTkufa_after_2000!$D$6:$AB$100,6,FALSE),0)</f>
        <v>0</v>
      </c>
      <c r="AH38">
        <f>IFERROR(VLOOKUP(B38,CrossTabYitraLeTkufa_till_2000!$D$6:$AB$100,16,FALSE),0)</f>
        <v>0</v>
      </c>
      <c r="AI38">
        <f>IFERROR(VLOOKUP(B38,CrossTabYitraLeTkufa_after_2000!$D$6:$AB$100,16,FALSE),0)</f>
        <v>0</v>
      </c>
      <c r="AJ38">
        <f>IFERROR(VLOOKUP(B38,CrossTabYitraLeTkufa_till_2000!$D$6:$AB$100,17,FALSE),0)</f>
        <v>0</v>
      </c>
      <c r="AK38">
        <f>IFERROR(VLOOKUP(B38,CrossTabYitraLeTkufa_after_2000!$D$6:$AB$100,17,FALSE),0)</f>
        <v>0</v>
      </c>
      <c r="AL38" s="5">
        <f t="shared" si="32"/>
        <v>0</v>
      </c>
      <c r="AO38">
        <f>IFERROR(VLOOKUP(B38,PirteiKisuiBeMutzar_procerur!$C$6:$AA$100,2,FALSE),0)</f>
        <v>0</v>
      </c>
      <c r="AQ38">
        <f>IFERROR(VLOOKUP($B38,PirteiKisuiBeMutzar_procerur!$C$6:$AA$100,5,FALSE),0)</f>
        <v>0</v>
      </c>
      <c r="AR38">
        <f>IFERROR(VLOOKUP($B38,PirteiKisuiBeMutzar_procerur!$C$6:$AA$100,3,FALSE),0)</f>
        <v>0</v>
      </c>
      <c r="AS38">
        <f>IFERROR(VLOOKUP($B38,PirteiKisuiBeMutzar_procerur!$C$6:$AA$100,6,FALSE),0)</f>
        <v>0</v>
      </c>
      <c r="AT38">
        <f>IFERROR(VLOOKUP($B38,PirteiKisuiBeMutzar_procerur!$C$6:$AA$100,7,FALSE),0)</f>
        <v>0</v>
      </c>
      <c r="AX38" s="997">
        <f t="shared" si="33"/>
        <v>0</v>
      </c>
      <c r="AY38" s="997">
        <f t="shared" si="34"/>
        <v>0</v>
      </c>
      <c r="AZ38" s="997">
        <f t="shared" si="35"/>
        <v>0</v>
      </c>
      <c r="BA38" s="997">
        <f>IFERROR(FV(S38/100/12,'נתוני יסוד'!$B$16*12,AX38,AG38)*(-1),0)</f>
        <v>0</v>
      </c>
      <c r="BB38" s="997">
        <f>IFERROR(FV(S38/100/12,'נתוני יסוד'!$B$16*12,0,AH38)*(-1),0)</f>
        <v>0</v>
      </c>
      <c r="BC38" s="997">
        <f>IFERROR(FV(S38/100/12,'נתוני יסוד'!$B$16*12,AY38,AI38)*(-1),0)</f>
        <v>0</v>
      </c>
      <c r="BD38" s="997">
        <f>IFERROR(FV(S38/100/12,'נתוני יסוד'!$B$16*12,0,AJ38)*(-1),0)</f>
        <v>0</v>
      </c>
      <c r="BE38" s="997">
        <f>IFERROR(FV(S38/100/12,'נתוני יסוד'!$B$16*12,AZ38,AK38)*(-1),0)</f>
        <v>0</v>
      </c>
      <c r="BF38" s="997">
        <f t="shared" si="36"/>
        <v>0</v>
      </c>
      <c r="BG38" s="997">
        <f>IFERROR(FV(S38/100/12,'נתוני יסוד'!$B$16*12,AF38,AL38)*(-1),0)</f>
        <v>0</v>
      </c>
      <c r="BH38" s="997">
        <f t="shared" si="37"/>
        <v>0</v>
      </c>
      <c r="BI38" s="997">
        <f t="shared" si="38"/>
        <v>0</v>
      </c>
      <c r="BJ38" s="997">
        <f t="shared" si="39"/>
        <v>0</v>
      </c>
      <c r="BK38" s="997">
        <f t="shared" si="40"/>
        <v>0</v>
      </c>
      <c r="BL38" s="997">
        <f t="shared" si="1"/>
        <v>0</v>
      </c>
      <c r="BM38" s="997">
        <f t="shared" si="2"/>
        <v>0</v>
      </c>
      <c r="BN38" s="997">
        <f t="shared" si="3"/>
        <v>0</v>
      </c>
      <c r="BO38" s="997">
        <f t="shared" si="41"/>
        <v>0</v>
      </c>
      <c r="BP38" s="997">
        <f t="shared" si="4"/>
        <v>0</v>
      </c>
      <c r="BS38">
        <f t="shared" si="5"/>
        <v>0</v>
      </c>
      <c r="BT38">
        <f t="shared" si="6"/>
        <v>0</v>
      </c>
      <c r="BU38">
        <f t="shared" si="7"/>
        <v>0</v>
      </c>
      <c r="BV38">
        <f t="shared" si="42"/>
        <v>0</v>
      </c>
      <c r="BW38">
        <f t="shared" si="8"/>
        <v>0</v>
      </c>
      <c r="BY38" s="997">
        <f t="shared" si="9"/>
        <v>0</v>
      </c>
      <c r="BZ38" s="997">
        <f t="shared" si="10"/>
        <v>0</v>
      </c>
      <c r="CA38" s="997">
        <f t="shared" si="11"/>
        <v>0</v>
      </c>
      <c r="CB38" s="997">
        <f t="shared" si="43"/>
        <v>0</v>
      </c>
      <c r="CC38" s="997">
        <f t="shared" si="12"/>
        <v>0</v>
      </c>
      <c r="CD38" s="997">
        <f t="shared" si="13"/>
        <v>0</v>
      </c>
      <c r="CE38" s="997">
        <f t="shared" si="14"/>
        <v>0</v>
      </c>
      <c r="CF38" s="997">
        <f t="shared" si="15"/>
        <v>0</v>
      </c>
      <c r="CG38" s="997">
        <f t="shared" si="16"/>
        <v>0</v>
      </c>
      <c r="CH38" s="997">
        <f t="shared" si="17"/>
        <v>0</v>
      </c>
      <c r="CI38" s="997">
        <f t="shared" si="18"/>
        <v>0</v>
      </c>
      <c r="CJ38" s="997">
        <f t="shared" si="19"/>
        <v>0</v>
      </c>
      <c r="CK38" s="997"/>
      <c r="CL38" s="997"/>
      <c r="CM38" s="997">
        <f t="shared" si="20"/>
        <v>0</v>
      </c>
      <c r="CN38" s="997">
        <f t="shared" si="21"/>
        <v>0</v>
      </c>
      <c r="CO38" s="997">
        <f t="shared" si="22"/>
        <v>0</v>
      </c>
      <c r="CP38" s="997">
        <f t="shared" si="44"/>
        <v>0</v>
      </c>
      <c r="CQ38" s="997">
        <f t="shared" si="23"/>
        <v>0</v>
      </c>
      <c r="CR38" s="997">
        <f>IFERROR(VLOOKUP($B38,SchumeiBituahYesodi!$C$6:$AA$100,8,FALSE),0)</f>
        <v>0</v>
      </c>
      <c r="CS38" s="997">
        <f>IFERROR(VLOOKUP($B38,PirteiKisuiBeMutzar_procerur!$C$6:$AA$100,2,FALSE),0)</f>
        <v>0</v>
      </c>
      <c r="CT38" s="997">
        <f>IFERROR(VLOOKUP($B38,PirteiKisuiBeMutzar_procerur!$C$6:$AA$100,3,FALSE),0)</f>
        <v>0</v>
      </c>
      <c r="CU38" s="997">
        <f>IFERROR(VLOOKUP($B38,PirteiKisuiBeMutzar_procerur!$C$6:$AA$100,4,FALSE),0)</f>
        <v>0</v>
      </c>
      <c r="CV38" s="997">
        <f>IFERROR(VLOOKUP($B38,PirteiKisuiBeMutzar_procerur!$C$6:$AA$100,5,FALSE),0)</f>
        <v>0</v>
      </c>
      <c r="CW38" s="997">
        <f>IFERROR(VLOOKUP($B38,PirteiKisuiBeMutzar_procerur!$C$6:$AA$100,6,FALSE),0)</f>
        <v>0</v>
      </c>
      <c r="CX38" s="997">
        <f>IFERROR(VLOOKUP($B38,PirteiKisuiBeMutzar_procerur!$C$6:$AA$100,7,FALSE),0)</f>
        <v>0</v>
      </c>
      <c r="CY38" s="997">
        <f>IFERROR(VLOOKUP($B38,PirteiKisuiBeMutzar_procerur!$C$6:$AA$100,8,FALSE),0)</f>
        <v>0</v>
      </c>
      <c r="CZ38" s="997">
        <f>IFERROR(VLOOKUP($B38,PirteiKisuiBeMutzar_procerur!$C$6:$AA$100,9,FALSE),0)</f>
        <v>0</v>
      </c>
      <c r="DA38" s="997">
        <f>IFERROR(VLOOKUP($B38,PirteiKisuiBeMutzar_procerur!$C$6:$AA$100,10,FALSE),0)</f>
        <v>0</v>
      </c>
      <c r="DB38" s="997">
        <f>IFERROR(VLOOKUP($B38,PirteiKisuiBeMutzar_procerur!$C$6:$AA$100,11,FALSE),0)</f>
        <v>0</v>
      </c>
      <c r="DC38" s="997">
        <f>IFERROR(VLOOKUP($B38,PirteiKisuiBeMutzarPrmia!$C$6:$Z$100,2,FALSE),0)</f>
        <v>0</v>
      </c>
      <c r="DD38" s="997">
        <f>IFERROR(VLOOKUP($B38,PirteiKisuiBeMutzarPrmia!$C$6:$Z$100,3,FALSE),0)</f>
        <v>0</v>
      </c>
      <c r="DE38" s="997">
        <f>IFERROR(VLOOKUP($B38,PirteiKisuiBeMutzarPrmia!$C$6:$Z$100,4,FALSE),0)</f>
        <v>0</v>
      </c>
      <c r="DF38" s="997">
        <f>IFERROR(VLOOKUP($B38,PirteiKisuiBeMutzarPrmia!$C$6:$Z$100,5,FALSE),0)</f>
        <v>0</v>
      </c>
      <c r="DG38" s="997">
        <f>IFERROR(VLOOKUP($B38,PirteiKisuiBeMutzarPrmia!$C$6:$Z$100,6,FALSE),0)</f>
        <v>0</v>
      </c>
      <c r="DH38" s="997">
        <f>IFERROR(VLOOKUP($B38,PirteiKisuiBeMutzarPrmia!$C$6:$Z$100,7,FALSE),0)</f>
        <v>0</v>
      </c>
      <c r="DI38" s="997">
        <f>IFERROR(VLOOKUP($B38,PirteiKisuiBeMutzarPrmia!$C$6:$Z$100,8,FALSE),0)</f>
        <v>0</v>
      </c>
      <c r="DJ38" s="997">
        <f>IFERROR(VLOOKUP($B38,PirteiKisuiBeMutzarPrmia!$C$6:$Z$100,9,FALSE),0)</f>
        <v>0</v>
      </c>
      <c r="DK38" s="997">
        <f>IFERROR(VLOOKUP($B38,PirteiKisuiBeMutzarPrmia!$C$6:$Z$100,10,FALSE),0)</f>
        <v>0</v>
      </c>
      <c r="DL38" s="997">
        <f>IFERROR(VLOOKUP($B38,PirteiKisuiBeMutzarPrmia!$C$6:$Z$100,11,FALSE),0)</f>
        <v>0</v>
      </c>
      <c r="DM38" s="997">
        <f t="shared" si="24"/>
        <v>0</v>
      </c>
      <c r="DN38" s="997">
        <f t="shared" si="25"/>
        <v>0</v>
      </c>
      <c r="DO38" s="997">
        <f t="shared" si="26"/>
        <v>0</v>
      </c>
      <c r="DP38" s="997">
        <f t="shared" si="27"/>
        <v>0</v>
      </c>
      <c r="DQ38" s="997">
        <f t="shared" si="28"/>
        <v>0</v>
      </c>
      <c r="DR38" s="997">
        <f>IF(OR(L38=1,L38=3),IFERROR(VLOOKUP($B38,PerutHafkadotMetchilatShanaAvgM!$C$6:$G$100,3,FALSE),0),0)</f>
        <v>0</v>
      </c>
      <c r="DS38" s="997">
        <f>IF(OR(L38=2,L38=4),IFERROR(VLOOKUP($B38,PerutHafkadotMetchilatShanaAvgM!$C$6:$G$100,3,FALSE),0),0)</f>
        <v>0</v>
      </c>
      <c r="DT38" s="997">
        <f>IFERROR(VLOOKUP($B38,PerutHafkadotMetchilatShanaAvgM!$C$6:$G$100,4,FALSE),0)</f>
        <v>0</v>
      </c>
      <c r="DU38" s="997">
        <f>IFERROR(VLOOKUP($B38,Kupa!$D$6:$AA$100,5,FALSE),0)</f>
        <v>0</v>
      </c>
      <c r="DV38" s="997">
        <f>IFERROR(VLOOKUP($B38,Kupa!$D$6:$AA$100,6,FALSE),0)</f>
        <v>0</v>
      </c>
      <c r="DW38" s="997">
        <f>IFERROR(VLOOKUP($B38,KisuiBKerenPensiaDBWithParams!$D$6:$AP$100,9,FALSE),0)</f>
        <v>0</v>
      </c>
      <c r="DX38" s="997">
        <f>IFERROR(VLOOKUP($B38,KisuiBKerenPensiaDBWithParams!$D$6:$AP$100,12,FALSE),0)</f>
        <v>0</v>
      </c>
      <c r="DY38" s="997">
        <f>IFERROR(VLOOKUP($B38,KisuiBKerenPensiaDBWithParams!$D$6:$AP$100,13,FALSE),0)</f>
        <v>0</v>
      </c>
      <c r="DZ38" s="997">
        <f>IFERROR(VLOOKUP($B38,KisuiBKerenPensiaDBWithParams!$D$6:$AP$100,7,FALSE),0)</f>
        <v>0</v>
      </c>
      <c r="EA38" s="997">
        <f>IFERROR(VLOOKUP($B38,KisuiBKerenPensiaDBWithParams!$D$6:$AP$100,17,FALSE),0)</f>
        <v>0</v>
      </c>
      <c r="EB38" s="997">
        <f>IFERROR(VLOOKUP($B38,KisuiBKerenPensiaDBWithParams!$D$6:$AP$100,20,FALSE),0)</f>
        <v>0</v>
      </c>
      <c r="EC38" s="997">
        <f>IFERROR(VLOOKUP($B38,KisuiBKerenPensiaDBWithParams!$D$6:$AP$100,21,FALSE),0)</f>
        <v>0</v>
      </c>
      <c r="ED38" s="997">
        <f t="shared" si="45"/>
        <v>0</v>
      </c>
      <c r="EE38" s="997"/>
      <c r="EF38" s="1020">
        <f>IFERROR(VLOOKUP($B38,KisuiBKerenPensiaDBWithParams!$D$6:$AP$100,21,FALSE),0)</f>
        <v>0</v>
      </c>
      <c r="EG38" s="1020">
        <f>IFERROR(VLOOKUP($B38,KisuiBKerenPensiaDBWithParams!$D$6:$AP$100,21,FALSE),0)</f>
        <v>0</v>
      </c>
      <c r="EH38">
        <f>IF(OR(G38=MyData!$J$51,G38=MyData!$J$52,G38=MyData!$J$53),1,IF(G38=MyData!$J$50,2,0))</f>
        <v>0</v>
      </c>
      <c r="EI38">
        <f>IFERROR(VLOOKUP($B38,CrosstabPerutYitrotDB!$C$6:$N$50,3,FALSE),0)</f>
        <v>0</v>
      </c>
      <c r="EJ38">
        <f>IFERROR(VLOOKUP($B38,CrosstabPerutYitrotDB!$C$6:$N$50,4,FALSE),0)</f>
        <v>0</v>
      </c>
      <c r="EK38">
        <f>IFERROR(VLOOKUP($B38,CrosstabPerutYitrotDB!$C$6:$N$50,5,FALSE),0)</f>
        <v>0</v>
      </c>
      <c r="EL38">
        <f>IFERROR(VLOOKUP($B38,CrosstabPerutYitrotDB!$C$6:$N$50,6,FALSE),0)</f>
        <v>0</v>
      </c>
      <c r="EM38">
        <f>IFERROR(VLOOKUP($B38,CrosstabPerutYitrotDB!$C$6:$N$50,7,FALSE),0)</f>
        <v>0</v>
      </c>
      <c r="EN38">
        <f>IFERROR(VLOOKUP($B38,CrosstabPerutYitrotDB!$C$6:$N$50,8,FALSE),0)</f>
        <v>0</v>
      </c>
      <c r="EO38">
        <f>IFERROR(VLOOKUP($B38,CrosstabPerutYitrotDB!$C$6:$N$50,9,FALSE),0)</f>
        <v>0</v>
      </c>
      <c r="EP38">
        <f>IFERROR(VLOOKUP($B38,CrosstabPerutYitrotDB!$C$6:$N$50,10,FALSE),0)</f>
        <v>0</v>
      </c>
      <c r="EQ38">
        <f>IFERROR(VLOOKUP($B38,CrosstabPerutYitrotDB!$C$6:$N$50,11,FALSE),0)</f>
        <v>0</v>
      </c>
    </row>
    <row r="39" spans="1:147" x14ac:dyDescent="0.2">
      <c r="A39">
        <f t="shared" si="46"/>
        <v>0</v>
      </c>
      <c r="B39" s="20">
        <f>RicusPolice!E36</f>
        <v>0</v>
      </c>
      <c r="C39" s="20">
        <f>RicusPolice!AL36</f>
        <v>0</v>
      </c>
      <c r="D39" s="20">
        <f>RicusPolice!F36</f>
        <v>0</v>
      </c>
      <c r="E39" s="20">
        <f>RicusPolice!R36</f>
        <v>0</v>
      </c>
      <c r="F39" s="20">
        <f>RicusPolice!N36</f>
        <v>0</v>
      </c>
      <c r="G39" s="20">
        <f>IFERROR(VLOOKUP($B39,PerutYitrot!$D$6:$P$100,4,FALSE),0)</f>
        <v>0</v>
      </c>
      <c r="H39" s="20">
        <f t="shared" si="29"/>
        <v>0</v>
      </c>
      <c r="I39" s="20">
        <f>RicusPolice!L36</f>
        <v>0</v>
      </c>
      <c r="J39" s="179">
        <f>IFERROR(VLOOKUP(TRIM(K39),MyData!$J$44:$K$50,2,FALSE),0)</f>
        <v>0</v>
      </c>
      <c r="K39" s="20">
        <f>RicusPolice!M36</f>
        <v>0</v>
      </c>
      <c r="L39" s="20">
        <f>RicusPolice!AM36</f>
        <v>0</v>
      </c>
      <c r="M39" s="20" t="str">
        <f>IF(B39&gt;0,RicusPolice!Y36," ")</f>
        <v xml:space="preserve"> </v>
      </c>
      <c r="N39" s="20" t="str">
        <f t="shared" si="30"/>
        <v/>
      </c>
      <c r="O39" s="20">
        <f>RicusPolice!N36</f>
        <v>0</v>
      </c>
      <c r="P39" s="20">
        <f>IFERROR(VLOOKUP(B39,PerutMasluleiHashkaa!$D$6:$R$100,4,FALSE),0)</f>
        <v>0</v>
      </c>
      <c r="Q39" s="19"/>
      <c r="R39" s="1011" t="str">
        <f>IF(B39&gt;0,RicusPolice!P38," ")</f>
        <v xml:space="preserve"> </v>
      </c>
      <c r="S39" s="20">
        <f>IFERROR(VLOOKUP($B39,'נתונים ידניים'!$B$9:$G$51,6,FALSE),0)</f>
        <v>0</v>
      </c>
      <c r="T39" s="21">
        <f>'נתונים ידניים'!J40</f>
        <v>0</v>
      </c>
      <c r="U39" s="21">
        <f>'נתונים ידניים'!K40</f>
        <v>0</v>
      </c>
      <c r="V39" s="20">
        <f>IFERROR(VLOOKUP($B39,PerutHafrashotLePolisa!$D$6:$N$50,2,FALSE),0)</f>
        <v>0</v>
      </c>
      <c r="W39" s="20">
        <f>IFERROR(VLOOKUP($B39,PerutHafrashotLePolisa!$D$6:$N$50,4,FALSE),0)</f>
        <v>0</v>
      </c>
      <c r="X39" s="20">
        <f>IFERROR(VLOOKUP($B39,PerutHafrashotLePolisa!$D$6:$N$50,3,FALSE),0)</f>
        <v>0</v>
      </c>
      <c r="Y39">
        <f t="shared" si="31"/>
        <v>0</v>
      </c>
      <c r="Z39">
        <f>RicusPolice!AP36</f>
        <v>0</v>
      </c>
      <c r="AA39">
        <f>IFERROR(VLOOKUP(B39,PirteiHaasaka!$D$6:$R$100,5,FALSE),0)</f>
        <v>0</v>
      </c>
      <c r="AC39">
        <f>IFERROR(VLOOKUP(B39,HafkadotMetchilatShanaAverages!$D$6:$E$100,2,FALSE),0)</f>
        <v>0</v>
      </c>
      <c r="AF39">
        <f>'נתונים ידניים'!L40</f>
        <v>0</v>
      </c>
      <c r="AG39">
        <f>IFERROR(VLOOKUP(B39,CrossTabYitraLeTkufa_till_2000!$D$6:$AB$100,6,FALSE),0)+IFERROR(VLOOKUP(B39,CrossTabYitraLeTkufa_after_2000!$D$6:$AB$100,6,FALSE),0)</f>
        <v>0</v>
      </c>
      <c r="AH39">
        <f>IFERROR(VLOOKUP(B39,CrossTabYitraLeTkufa_till_2000!$D$6:$AB$100,16,FALSE),0)</f>
        <v>0</v>
      </c>
      <c r="AI39">
        <f>IFERROR(VLOOKUP(B39,CrossTabYitraLeTkufa_after_2000!$D$6:$AB$100,16,FALSE),0)</f>
        <v>0</v>
      </c>
      <c r="AJ39">
        <f>IFERROR(VLOOKUP(B39,CrossTabYitraLeTkufa_till_2000!$D$6:$AB$100,17,FALSE),0)</f>
        <v>0</v>
      </c>
      <c r="AK39">
        <f>IFERROR(VLOOKUP(B39,CrossTabYitraLeTkufa_after_2000!$D$6:$AB$100,17,FALSE),0)</f>
        <v>0</v>
      </c>
      <c r="AL39" s="5">
        <f t="shared" si="32"/>
        <v>0</v>
      </c>
      <c r="AO39">
        <f>IFERROR(VLOOKUP(B39,PirteiKisuiBeMutzar_procerur!$C$6:$AA$100,2,FALSE),0)</f>
        <v>0</v>
      </c>
      <c r="AQ39">
        <f>IFERROR(VLOOKUP($B39,PirteiKisuiBeMutzar_procerur!$C$6:$AA$100,5,FALSE),0)</f>
        <v>0</v>
      </c>
      <c r="AR39">
        <f>IFERROR(VLOOKUP($B39,PirteiKisuiBeMutzar_procerur!$C$6:$AA$100,3,FALSE),0)</f>
        <v>0</v>
      </c>
      <c r="AS39">
        <f>IFERROR(VLOOKUP($B39,PirteiKisuiBeMutzar_procerur!$C$6:$AA$100,6,FALSE),0)</f>
        <v>0</v>
      </c>
      <c r="AT39">
        <f>IFERROR(VLOOKUP($B39,PirteiKisuiBeMutzar_procerur!$C$6:$AA$100,7,FALSE),0)</f>
        <v>0</v>
      </c>
      <c r="AX39" s="997">
        <f t="shared" si="33"/>
        <v>0</v>
      </c>
      <c r="AY39" s="997">
        <f t="shared" si="34"/>
        <v>0</v>
      </c>
      <c r="AZ39" s="997">
        <f t="shared" si="35"/>
        <v>0</v>
      </c>
      <c r="BA39" s="997">
        <f>IFERROR(FV(S39/100/12,'נתוני יסוד'!$B$16*12,AX39,AG39)*(-1),0)</f>
        <v>0</v>
      </c>
      <c r="BB39" s="997">
        <f>IFERROR(FV(S39/100/12,'נתוני יסוד'!$B$16*12,0,AH39)*(-1),0)</f>
        <v>0</v>
      </c>
      <c r="BC39" s="997">
        <f>IFERROR(FV(S39/100/12,'נתוני יסוד'!$B$16*12,AY39,AI39)*(-1),0)</f>
        <v>0</v>
      </c>
      <c r="BD39" s="997">
        <f>IFERROR(FV(S39/100/12,'נתוני יסוד'!$B$16*12,0,AJ39)*(-1),0)</f>
        <v>0</v>
      </c>
      <c r="BE39" s="997">
        <f>IFERROR(FV(S39/100/12,'נתוני יסוד'!$B$16*12,AZ39,AK39)*(-1),0)</f>
        <v>0</v>
      </c>
      <c r="BF39" s="997">
        <f t="shared" si="36"/>
        <v>0</v>
      </c>
      <c r="BG39" s="997">
        <f>IFERROR(FV(S39/100/12,'נתוני יסוד'!$B$16*12,AF39,AL39)*(-1),0)</f>
        <v>0</v>
      </c>
      <c r="BH39" s="997">
        <f t="shared" si="37"/>
        <v>0</v>
      </c>
      <c r="BI39" s="997">
        <f t="shared" si="38"/>
        <v>0</v>
      </c>
      <c r="BJ39" s="997">
        <f t="shared" si="39"/>
        <v>0</v>
      </c>
      <c r="BK39" s="997">
        <f t="shared" si="40"/>
        <v>0</v>
      </c>
      <c r="BL39" s="997">
        <f t="shared" si="1"/>
        <v>0</v>
      </c>
      <c r="BM39" s="997">
        <f t="shared" si="2"/>
        <v>0</v>
      </c>
      <c r="BN39" s="997">
        <f t="shared" si="3"/>
        <v>0</v>
      </c>
      <c r="BO39" s="997">
        <f t="shared" si="41"/>
        <v>0</v>
      </c>
      <c r="BP39" s="997">
        <f t="shared" si="4"/>
        <v>0</v>
      </c>
      <c r="BS39">
        <f t="shared" si="5"/>
        <v>0</v>
      </c>
      <c r="BT39">
        <f t="shared" si="6"/>
        <v>0</v>
      </c>
      <c r="BU39">
        <f t="shared" si="7"/>
        <v>0</v>
      </c>
      <c r="BV39">
        <f t="shared" si="42"/>
        <v>0</v>
      </c>
      <c r="BW39">
        <f t="shared" si="8"/>
        <v>0</v>
      </c>
      <c r="BY39" s="997">
        <f t="shared" si="9"/>
        <v>0</v>
      </c>
      <c r="BZ39" s="997">
        <f t="shared" si="10"/>
        <v>0</v>
      </c>
      <c r="CA39" s="997">
        <f t="shared" si="11"/>
        <v>0</v>
      </c>
      <c r="CB39" s="997">
        <f t="shared" si="43"/>
        <v>0</v>
      </c>
      <c r="CC39" s="997">
        <f t="shared" si="12"/>
        <v>0</v>
      </c>
      <c r="CD39" s="997">
        <f t="shared" si="13"/>
        <v>0</v>
      </c>
      <c r="CE39" s="997">
        <f t="shared" si="14"/>
        <v>0</v>
      </c>
      <c r="CF39" s="997">
        <f t="shared" si="15"/>
        <v>0</v>
      </c>
      <c r="CG39" s="997">
        <f t="shared" si="16"/>
        <v>0</v>
      </c>
      <c r="CH39" s="997">
        <f t="shared" si="17"/>
        <v>0</v>
      </c>
      <c r="CI39" s="997">
        <f t="shared" si="18"/>
        <v>0</v>
      </c>
      <c r="CJ39" s="997">
        <f t="shared" si="19"/>
        <v>0</v>
      </c>
      <c r="CK39" s="997"/>
      <c r="CL39" s="997"/>
      <c r="CM39" s="997">
        <f t="shared" si="20"/>
        <v>0</v>
      </c>
      <c r="CN39" s="997">
        <f t="shared" si="21"/>
        <v>0</v>
      </c>
      <c r="CO39" s="997">
        <f t="shared" si="22"/>
        <v>0</v>
      </c>
      <c r="CP39" s="997">
        <f t="shared" si="44"/>
        <v>0</v>
      </c>
      <c r="CQ39" s="997">
        <f t="shared" si="23"/>
        <v>0</v>
      </c>
      <c r="CR39" s="997">
        <f>IFERROR(VLOOKUP($B39,SchumeiBituahYesodi!$C$6:$AA$100,8,FALSE),0)</f>
        <v>0</v>
      </c>
      <c r="CS39" s="997">
        <f>IFERROR(VLOOKUP($B39,PirteiKisuiBeMutzar_procerur!$C$6:$AA$100,2,FALSE),0)</f>
        <v>0</v>
      </c>
      <c r="CT39" s="997">
        <f>IFERROR(VLOOKUP($B39,PirteiKisuiBeMutzar_procerur!$C$6:$AA$100,3,FALSE),0)</f>
        <v>0</v>
      </c>
      <c r="CU39" s="997">
        <f>IFERROR(VLOOKUP($B39,PirteiKisuiBeMutzar_procerur!$C$6:$AA$100,4,FALSE),0)</f>
        <v>0</v>
      </c>
      <c r="CV39" s="997">
        <f>IFERROR(VLOOKUP($B39,PirteiKisuiBeMutzar_procerur!$C$6:$AA$100,5,FALSE),0)</f>
        <v>0</v>
      </c>
      <c r="CW39" s="997">
        <f>IFERROR(VLOOKUP($B39,PirteiKisuiBeMutzar_procerur!$C$6:$AA$100,6,FALSE),0)</f>
        <v>0</v>
      </c>
      <c r="CX39" s="997">
        <f>IFERROR(VLOOKUP($B39,PirteiKisuiBeMutzar_procerur!$C$6:$AA$100,7,FALSE),0)</f>
        <v>0</v>
      </c>
      <c r="CY39" s="997">
        <f>IFERROR(VLOOKUP($B39,PirteiKisuiBeMutzar_procerur!$C$6:$AA$100,8,FALSE),0)</f>
        <v>0</v>
      </c>
      <c r="CZ39" s="997">
        <f>IFERROR(VLOOKUP($B39,PirteiKisuiBeMutzar_procerur!$C$6:$AA$100,9,FALSE),0)</f>
        <v>0</v>
      </c>
      <c r="DA39" s="997">
        <f>IFERROR(VLOOKUP($B39,PirteiKisuiBeMutzar_procerur!$C$6:$AA$100,10,FALSE),0)</f>
        <v>0</v>
      </c>
      <c r="DB39" s="997">
        <f>IFERROR(VLOOKUP($B39,PirteiKisuiBeMutzar_procerur!$C$6:$AA$100,11,FALSE),0)</f>
        <v>0</v>
      </c>
      <c r="DC39" s="997">
        <f>IFERROR(VLOOKUP($B39,PirteiKisuiBeMutzarPrmia!$C$6:$Z$100,2,FALSE),0)</f>
        <v>0</v>
      </c>
      <c r="DD39" s="997">
        <f>IFERROR(VLOOKUP($B39,PirteiKisuiBeMutzarPrmia!$C$6:$Z$100,3,FALSE),0)</f>
        <v>0</v>
      </c>
      <c r="DE39" s="997">
        <f>IFERROR(VLOOKUP($B39,PirteiKisuiBeMutzarPrmia!$C$6:$Z$100,4,FALSE),0)</f>
        <v>0</v>
      </c>
      <c r="DF39" s="997">
        <f>IFERROR(VLOOKUP($B39,PirteiKisuiBeMutzarPrmia!$C$6:$Z$100,5,FALSE),0)</f>
        <v>0</v>
      </c>
      <c r="DG39" s="997">
        <f>IFERROR(VLOOKUP($B39,PirteiKisuiBeMutzarPrmia!$C$6:$Z$100,6,FALSE),0)</f>
        <v>0</v>
      </c>
      <c r="DH39" s="997">
        <f>IFERROR(VLOOKUP($B39,PirteiKisuiBeMutzarPrmia!$C$6:$Z$100,7,FALSE),0)</f>
        <v>0</v>
      </c>
      <c r="DI39" s="997">
        <f>IFERROR(VLOOKUP($B39,PirteiKisuiBeMutzarPrmia!$C$6:$Z$100,8,FALSE),0)</f>
        <v>0</v>
      </c>
      <c r="DJ39" s="997">
        <f>IFERROR(VLOOKUP($B39,PirteiKisuiBeMutzarPrmia!$C$6:$Z$100,9,FALSE),0)</f>
        <v>0</v>
      </c>
      <c r="DK39" s="997">
        <f>IFERROR(VLOOKUP($B39,PirteiKisuiBeMutzarPrmia!$C$6:$Z$100,10,FALSE),0)</f>
        <v>0</v>
      </c>
      <c r="DL39" s="997">
        <f>IFERROR(VLOOKUP($B39,PirteiKisuiBeMutzarPrmia!$C$6:$Z$100,11,FALSE),0)</f>
        <v>0</v>
      </c>
      <c r="DM39" s="997">
        <f t="shared" si="24"/>
        <v>0</v>
      </c>
      <c r="DN39" s="997">
        <f t="shared" si="25"/>
        <v>0</v>
      </c>
      <c r="DO39" s="997">
        <f t="shared" si="26"/>
        <v>0</v>
      </c>
      <c r="DP39" s="997">
        <f t="shared" si="27"/>
        <v>0</v>
      </c>
      <c r="DQ39" s="997">
        <f t="shared" si="28"/>
        <v>0</v>
      </c>
      <c r="DR39" s="997">
        <f>IF(OR(L39=1,L39=3),IFERROR(VLOOKUP($B39,PerutHafkadotMetchilatShanaAvgM!$C$6:$G$100,3,FALSE),0),0)</f>
        <v>0</v>
      </c>
      <c r="DS39" s="997">
        <f>IF(OR(L39=2,L39=4),IFERROR(VLOOKUP($B39,PerutHafkadotMetchilatShanaAvgM!$C$6:$G$100,3,FALSE),0),0)</f>
        <v>0</v>
      </c>
      <c r="DT39" s="997">
        <f>IFERROR(VLOOKUP($B39,PerutHafkadotMetchilatShanaAvgM!$C$6:$G$100,4,FALSE),0)</f>
        <v>0</v>
      </c>
      <c r="DU39" s="997">
        <f>IFERROR(VLOOKUP($B39,Kupa!$D$6:$AA$100,5,FALSE),0)</f>
        <v>0</v>
      </c>
      <c r="DV39" s="997">
        <f>IFERROR(VLOOKUP($B39,Kupa!$D$6:$AA$100,6,FALSE),0)</f>
        <v>0</v>
      </c>
      <c r="DW39" s="997">
        <f>IFERROR(VLOOKUP($B39,KisuiBKerenPensiaDBWithParams!$D$6:$AP$100,9,FALSE),0)</f>
        <v>0</v>
      </c>
      <c r="DX39" s="997">
        <f>IFERROR(VLOOKUP($B39,KisuiBKerenPensiaDBWithParams!$D$6:$AP$100,12,FALSE),0)</f>
        <v>0</v>
      </c>
      <c r="DY39" s="997">
        <f>IFERROR(VLOOKUP($B39,KisuiBKerenPensiaDBWithParams!$D$6:$AP$100,13,FALSE),0)</f>
        <v>0</v>
      </c>
      <c r="DZ39" s="997">
        <f>IFERROR(VLOOKUP($B39,KisuiBKerenPensiaDBWithParams!$D$6:$AP$100,7,FALSE),0)</f>
        <v>0</v>
      </c>
      <c r="EA39" s="997">
        <f>IFERROR(VLOOKUP($B39,KisuiBKerenPensiaDBWithParams!$D$6:$AP$100,17,FALSE),0)</f>
        <v>0</v>
      </c>
      <c r="EB39" s="997">
        <f>IFERROR(VLOOKUP($B39,KisuiBKerenPensiaDBWithParams!$D$6:$AP$100,20,FALSE),0)</f>
        <v>0</v>
      </c>
      <c r="EC39" s="997">
        <f>IFERROR(VLOOKUP($B39,KisuiBKerenPensiaDBWithParams!$D$6:$AP$100,21,FALSE),0)</f>
        <v>0</v>
      </c>
      <c r="ED39" s="997">
        <f t="shared" si="45"/>
        <v>0</v>
      </c>
      <c r="EE39" s="997"/>
      <c r="EF39" s="1020">
        <f>IFERROR(VLOOKUP($B39,KisuiBKerenPensiaDBWithParams!$D$6:$AP$100,21,FALSE),0)</f>
        <v>0</v>
      </c>
      <c r="EG39" s="1020">
        <f>IFERROR(VLOOKUP($B39,KisuiBKerenPensiaDBWithParams!$D$6:$AP$100,21,FALSE),0)</f>
        <v>0</v>
      </c>
      <c r="EH39">
        <f>IF(OR(G39=MyData!$J$51,G39=MyData!$J$52,G39=MyData!$J$53),1,IF(G39=MyData!$J$50,2,0))</f>
        <v>0</v>
      </c>
      <c r="EI39">
        <f>IFERROR(VLOOKUP($B39,CrosstabPerutYitrotDB!$C$6:$N$50,3,FALSE),0)</f>
        <v>0</v>
      </c>
      <c r="EJ39">
        <f>IFERROR(VLOOKUP($B39,CrosstabPerutYitrotDB!$C$6:$N$50,4,FALSE),0)</f>
        <v>0</v>
      </c>
      <c r="EK39">
        <f>IFERROR(VLOOKUP($B39,CrosstabPerutYitrotDB!$C$6:$N$50,5,FALSE),0)</f>
        <v>0</v>
      </c>
      <c r="EL39">
        <f>IFERROR(VLOOKUP($B39,CrosstabPerutYitrotDB!$C$6:$N$50,6,FALSE),0)</f>
        <v>0</v>
      </c>
      <c r="EM39">
        <f>IFERROR(VLOOKUP($B39,CrosstabPerutYitrotDB!$C$6:$N$50,7,FALSE),0)</f>
        <v>0</v>
      </c>
      <c r="EN39">
        <f>IFERROR(VLOOKUP($B39,CrosstabPerutYitrotDB!$C$6:$N$50,8,FALSE),0)</f>
        <v>0</v>
      </c>
      <c r="EO39">
        <f>IFERROR(VLOOKUP($B39,CrosstabPerutYitrotDB!$C$6:$N$50,9,FALSE),0)</f>
        <v>0</v>
      </c>
      <c r="EP39">
        <f>IFERROR(VLOOKUP($B39,CrosstabPerutYitrotDB!$C$6:$N$50,10,FALSE),0)</f>
        <v>0</v>
      </c>
      <c r="EQ39">
        <f>IFERROR(VLOOKUP($B39,CrosstabPerutYitrotDB!$C$6:$N$50,11,FALSE),0)</f>
        <v>0</v>
      </c>
    </row>
    <row r="40" spans="1:147" x14ac:dyDescent="0.2">
      <c r="A40">
        <f t="shared" si="46"/>
        <v>0</v>
      </c>
      <c r="B40" s="20">
        <f>RicusPolice!E37</f>
        <v>0</v>
      </c>
      <c r="C40" s="20">
        <f>RicusPolice!AL37</f>
        <v>0</v>
      </c>
      <c r="D40" s="20">
        <f>RicusPolice!F37</f>
        <v>0</v>
      </c>
      <c r="E40" s="20">
        <f>RicusPolice!R37</f>
        <v>0</v>
      </c>
      <c r="F40" s="20">
        <f>RicusPolice!N37</f>
        <v>0</v>
      </c>
      <c r="G40" s="20">
        <f>IFERROR(VLOOKUP($B40,PerutYitrot!$D$6:$P$100,4,FALSE),0)</f>
        <v>0</v>
      </c>
      <c r="H40" s="20">
        <f t="shared" si="29"/>
        <v>0</v>
      </c>
      <c r="I40" s="20">
        <f>RicusPolice!L37</f>
        <v>0</v>
      </c>
      <c r="J40" s="179">
        <f>IFERROR(VLOOKUP(TRIM(K40),MyData!$J$44:$K$50,2,FALSE),0)</f>
        <v>0</v>
      </c>
      <c r="K40" s="20">
        <f>RicusPolice!M37</f>
        <v>0</v>
      </c>
      <c r="L40" s="20">
        <f>RicusPolice!AM37</f>
        <v>0</v>
      </c>
      <c r="M40" s="20" t="str">
        <f>IF(B40&gt;0,RicusPolice!Y37," ")</f>
        <v xml:space="preserve"> </v>
      </c>
      <c r="N40" s="20" t="str">
        <f t="shared" si="30"/>
        <v/>
      </c>
      <c r="O40" s="20">
        <f>RicusPolice!N37</f>
        <v>0</v>
      </c>
      <c r="P40" s="20">
        <f>IFERROR(VLOOKUP(B40,PerutMasluleiHashkaa!$D$6:$R$100,4,FALSE),0)</f>
        <v>0</v>
      </c>
      <c r="Q40" s="19"/>
      <c r="R40" s="1011" t="str">
        <f>IF(B40&gt;0,RicusPolice!P39," ")</f>
        <v xml:space="preserve"> </v>
      </c>
      <c r="S40" s="20">
        <f>IFERROR(VLOOKUP($B40,'נתונים ידניים'!$B$9:$G$51,6,FALSE),0)</f>
        <v>0</v>
      </c>
      <c r="T40" s="21">
        <f>'נתונים ידניים'!J41</f>
        <v>0</v>
      </c>
      <c r="U40" s="21">
        <f>'נתונים ידניים'!K41</f>
        <v>0</v>
      </c>
      <c r="V40" s="20">
        <f>IFERROR(VLOOKUP($B40,PerutHafrashotLePolisa!$D$6:$N$50,2,FALSE),0)</f>
        <v>0</v>
      </c>
      <c r="W40" s="20">
        <f>IFERROR(VLOOKUP($B40,PerutHafrashotLePolisa!$D$6:$N$50,4,FALSE),0)</f>
        <v>0</v>
      </c>
      <c r="X40" s="20">
        <f>IFERROR(VLOOKUP($B40,PerutHafrashotLePolisa!$D$6:$N$50,3,FALSE),0)</f>
        <v>0</v>
      </c>
      <c r="Y40">
        <f t="shared" si="31"/>
        <v>0</v>
      </c>
      <c r="Z40">
        <f>RicusPolice!AP37</f>
        <v>0</v>
      </c>
      <c r="AA40">
        <f>IFERROR(VLOOKUP(B40,PirteiHaasaka!$D$6:$R$100,5,FALSE),0)</f>
        <v>0</v>
      </c>
      <c r="AC40">
        <f>IFERROR(VLOOKUP(B40,HafkadotMetchilatShanaAverages!$D$6:$E$100,2,FALSE),0)</f>
        <v>0</v>
      </c>
      <c r="AF40">
        <f>'נתונים ידניים'!L41</f>
        <v>0</v>
      </c>
      <c r="AG40">
        <f>IFERROR(VLOOKUP(B40,CrossTabYitraLeTkufa_till_2000!$D$6:$AB$100,6,FALSE),0)+IFERROR(VLOOKUP(B40,CrossTabYitraLeTkufa_after_2000!$D$6:$AB$100,6,FALSE),0)</f>
        <v>0</v>
      </c>
      <c r="AH40">
        <f>IFERROR(VLOOKUP(B40,CrossTabYitraLeTkufa_till_2000!$D$6:$AB$100,16,FALSE),0)</f>
        <v>0</v>
      </c>
      <c r="AI40">
        <f>IFERROR(VLOOKUP(B40,CrossTabYitraLeTkufa_after_2000!$D$6:$AB$100,16,FALSE),0)</f>
        <v>0</v>
      </c>
      <c r="AJ40">
        <f>IFERROR(VLOOKUP(B40,CrossTabYitraLeTkufa_till_2000!$D$6:$AB$100,17,FALSE),0)</f>
        <v>0</v>
      </c>
      <c r="AK40">
        <f>IFERROR(VLOOKUP(B40,CrossTabYitraLeTkufa_after_2000!$D$6:$AB$100,17,FALSE),0)</f>
        <v>0</v>
      </c>
      <c r="AL40" s="5">
        <f t="shared" si="32"/>
        <v>0</v>
      </c>
      <c r="AO40">
        <f>IFERROR(VLOOKUP(B40,PirteiKisuiBeMutzar_procerur!$C$6:$AA$100,2,FALSE),0)</f>
        <v>0</v>
      </c>
      <c r="AQ40">
        <f>IFERROR(VLOOKUP($B40,PirteiKisuiBeMutzar_procerur!$C$6:$AA$100,5,FALSE),0)</f>
        <v>0</v>
      </c>
      <c r="AR40">
        <f>IFERROR(VLOOKUP($B40,PirteiKisuiBeMutzar_procerur!$C$6:$AA$100,3,FALSE),0)</f>
        <v>0</v>
      </c>
      <c r="AS40">
        <f>IFERROR(VLOOKUP($B40,PirteiKisuiBeMutzar_procerur!$C$6:$AA$100,6,FALSE),0)</f>
        <v>0</v>
      </c>
      <c r="AT40">
        <f>IFERROR(VLOOKUP($B40,PirteiKisuiBeMutzar_procerur!$C$6:$AA$100,7,FALSE),0)</f>
        <v>0</v>
      </c>
      <c r="AX40" s="997">
        <f t="shared" si="33"/>
        <v>0</v>
      </c>
      <c r="AY40" s="997">
        <f t="shared" si="34"/>
        <v>0</v>
      </c>
      <c r="AZ40" s="997">
        <f t="shared" si="35"/>
        <v>0</v>
      </c>
      <c r="BA40" s="997">
        <f>IFERROR(FV(S40/100/12,'נתוני יסוד'!$B$16*12,AX40,AG40)*(-1),0)</f>
        <v>0</v>
      </c>
      <c r="BB40" s="997">
        <f>IFERROR(FV(S40/100/12,'נתוני יסוד'!$B$16*12,0,AH40)*(-1),0)</f>
        <v>0</v>
      </c>
      <c r="BC40" s="997">
        <f>IFERROR(FV(S40/100/12,'נתוני יסוד'!$B$16*12,AY40,AI40)*(-1),0)</f>
        <v>0</v>
      </c>
      <c r="BD40" s="997">
        <f>IFERROR(FV(S40/100/12,'נתוני יסוד'!$B$16*12,0,AJ40)*(-1),0)</f>
        <v>0</v>
      </c>
      <c r="BE40" s="997">
        <f>IFERROR(FV(S40/100/12,'נתוני יסוד'!$B$16*12,AZ40,AK40)*(-1),0)</f>
        <v>0</v>
      </c>
      <c r="BF40" s="997">
        <f t="shared" si="36"/>
        <v>0</v>
      </c>
      <c r="BG40" s="997">
        <f>IFERROR(FV(S40/100/12,'נתוני יסוד'!$B$16*12,AF40,AL40)*(-1),0)</f>
        <v>0</v>
      </c>
      <c r="BH40" s="997">
        <f t="shared" si="37"/>
        <v>0</v>
      </c>
      <c r="BI40" s="997">
        <f t="shared" si="38"/>
        <v>0</v>
      </c>
      <c r="BJ40" s="997">
        <f t="shared" si="39"/>
        <v>0</v>
      </c>
      <c r="BK40" s="997">
        <f t="shared" si="40"/>
        <v>0</v>
      </c>
      <c r="BL40" s="997">
        <f t="shared" si="1"/>
        <v>0</v>
      </c>
      <c r="BM40" s="997">
        <f t="shared" si="2"/>
        <v>0</v>
      </c>
      <c r="BN40" s="997">
        <f t="shared" si="3"/>
        <v>0</v>
      </c>
      <c r="BO40" s="997">
        <f t="shared" si="41"/>
        <v>0</v>
      </c>
      <c r="BP40" s="997">
        <f t="shared" si="4"/>
        <v>0</v>
      </c>
      <c r="BS40">
        <f t="shared" si="5"/>
        <v>0</v>
      </c>
      <c r="BT40">
        <f t="shared" si="6"/>
        <v>0</v>
      </c>
      <c r="BU40">
        <f t="shared" si="7"/>
        <v>0</v>
      </c>
      <c r="BV40">
        <f t="shared" si="42"/>
        <v>0</v>
      </c>
      <c r="BW40">
        <f t="shared" si="8"/>
        <v>0</v>
      </c>
      <c r="BY40" s="997">
        <f t="shared" si="9"/>
        <v>0</v>
      </c>
      <c r="BZ40" s="997">
        <f t="shared" si="10"/>
        <v>0</v>
      </c>
      <c r="CA40" s="997">
        <f t="shared" si="11"/>
        <v>0</v>
      </c>
      <c r="CB40" s="997">
        <f t="shared" si="43"/>
        <v>0</v>
      </c>
      <c r="CC40" s="997">
        <f t="shared" si="12"/>
        <v>0</v>
      </c>
      <c r="CD40" s="997">
        <f t="shared" si="13"/>
        <v>0</v>
      </c>
      <c r="CE40" s="997">
        <f t="shared" si="14"/>
        <v>0</v>
      </c>
      <c r="CF40" s="997">
        <f t="shared" si="15"/>
        <v>0</v>
      </c>
      <c r="CG40" s="997">
        <f t="shared" si="16"/>
        <v>0</v>
      </c>
      <c r="CH40" s="997">
        <f t="shared" si="17"/>
        <v>0</v>
      </c>
      <c r="CI40" s="997">
        <f t="shared" si="18"/>
        <v>0</v>
      </c>
      <c r="CJ40" s="997">
        <f t="shared" si="19"/>
        <v>0</v>
      </c>
      <c r="CK40" s="997"/>
      <c r="CL40" s="997"/>
      <c r="CM40" s="997">
        <f t="shared" si="20"/>
        <v>0</v>
      </c>
      <c r="CN40" s="997">
        <f t="shared" si="21"/>
        <v>0</v>
      </c>
      <c r="CO40" s="997">
        <f t="shared" si="22"/>
        <v>0</v>
      </c>
      <c r="CP40" s="997">
        <f t="shared" si="44"/>
        <v>0</v>
      </c>
      <c r="CQ40" s="997">
        <f t="shared" si="23"/>
        <v>0</v>
      </c>
      <c r="CR40" s="997">
        <f>IFERROR(VLOOKUP($B40,SchumeiBituahYesodi!$C$6:$AA$100,8,FALSE),0)</f>
        <v>0</v>
      </c>
      <c r="CS40" s="997">
        <f>IFERROR(VLOOKUP($B40,PirteiKisuiBeMutzar_procerur!$C$6:$AA$100,2,FALSE),0)</f>
        <v>0</v>
      </c>
      <c r="CT40" s="997">
        <f>IFERROR(VLOOKUP($B40,PirteiKisuiBeMutzar_procerur!$C$6:$AA$100,3,FALSE),0)</f>
        <v>0</v>
      </c>
      <c r="CU40" s="997">
        <f>IFERROR(VLOOKUP($B40,PirteiKisuiBeMutzar_procerur!$C$6:$AA$100,4,FALSE),0)</f>
        <v>0</v>
      </c>
      <c r="CV40" s="997">
        <f>IFERROR(VLOOKUP($B40,PirteiKisuiBeMutzar_procerur!$C$6:$AA$100,5,FALSE),0)</f>
        <v>0</v>
      </c>
      <c r="CW40" s="997">
        <f>IFERROR(VLOOKUP($B40,PirteiKisuiBeMutzar_procerur!$C$6:$AA$100,6,FALSE),0)</f>
        <v>0</v>
      </c>
      <c r="CX40" s="997">
        <f>IFERROR(VLOOKUP($B40,PirteiKisuiBeMutzar_procerur!$C$6:$AA$100,7,FALSE),0)</f>
        <v>0</v>
      </c>
      <c r="CY40" s="997">
        <f>IFERROR(VLOOKUP($B40,PirteiKisuiBeMutzar_procerur!$C$6:$AA$100,8,FALSE),0)</f>
        <v>0</v>
      </c>
      <c r="CZ40" s="997">
        <f>IFERROR(VLOOKUP($B40,PirteiKisuiBeMutzar_procerur!$C$6:$AA$100,9,FALSE),0)</f>
        <v>0</v>
      </c>
      <c r="DA40" s="997">
        <f>IFERROR(VLOOKUP($B40,PirteiKisuiBeMutzar_procerur!$C$6:$AA$100,10,FALSE),0)</f>
        <v>0</v>
      </c>
      <c r="DB40" s="997">
        <f>IFERROR(VLOOKUP($B40,PirteiKisuiBeMutzar_procerur!$C$6:$AA$100,11,FALSE),0)</f>
        <v>0</v>
      </c>
      <c r="DC40" s="997">
        <f>IFERROR(VLOOKUP($B40,PirteiKisuiBeMutzarPrmia!$C$6:$Z$100,2,FALSE),0)</f>
        <v>0</v>
      </c>
      <c r="DD40" s="997">
        <f>IFERROR(VLOOKUP($B40,PirteiKisuiBeMutzarPrmia!$C$6:$Z$100,3,FALSE),0)</f>
        <v>0</v>
      </c>
      <c r="DE40" s="997">
        <f>IFERROR(VLOOKUP($B40,PirteiKisuiBeMutzarPrmia!$C$6:$Z$100,4,FALSE),0)</f>
        <v>0</v>
      </c>
      <c r="DF40" s="997">
        <f>IFERROR(VLOOKUP($B40,PirteiKisuiBeMutzarPrmia!$C$6:$Z$100,5,FALSE),0)</f>
        <v>0</v>
      </c>
      <c r="DG40" s="997">
        <f>IFERROR(VLOOKUP($B40,PirteiKisuiBeMutzarPrmia!$C$6:$Z$100,6,FALSE),0)</f>
        <v>0</v>
      </c>
      <c r="DH40" s="997">
        <f>IFERROR(VLOOKUP($B40,PirteiKisuiBeMutzarPrmia!$C$6:$Z$100,7,FALSE),0)</f>
        <v>0</v>
      </c>
      <c r="DI40" s="997">
        <f>IFERROR(VLOOKUP($B40,PirteiKisuiBeMutzarPrmia!$C$6:$Z$100,8,FALSE),0)</f>
        <v>0</v>
      </c>
      <c r="DJ40" s="997">
        <f>IFERROR(VLOOKUP($B40,PirteiKisuiBeMutzarPrmia!$C$6:$Z$100,9,FALSE),0)</f>
        <v>0</v>
      </c>
      <c r="DK40" s="997">
        <f>IFERROR(VLOOKUP($B40,PirteiKisuiBeMutzarPrmia!$C$6:$Z$100,10,FALSE),0)</f>
        <v>0</v>
      </c>
      <c r="DL40" s="997">
        <f>IFERROR(VLOOKUP($B40,PirteiKisuiBeMutzarPrmia!$C$6:$Z$100,11,FALSE),0)</f>
        <v>0</v>
      </c>
      <c r="DM40" s="997">
        <f t="shared" si="24"/>
        <v>0</v>
      </c>
      <c r="DN40" s="997">
        <f t="shared" si="25"/>
        <v>0</v>
      </c>
      <c r="DO40" s="997">
        <f t="shared" si="26"/>
        <v>0</v>
      </c>
      <c r="DP40" s="997">
        <f t="shared" si="27"/>
        <v>0</v>
      </c>
      <c r="DQ40" s="997">
        <f t="shared" si="28"/>
        <v>0</v>
      </c>
      <c r="DR40" s="997">
        <f>IF(OR(L40=1,L40=3),IFERROR(VLOOKUP($B40,PerutHafkadotMetchilatShanaAvgM!$C$6:$G$100,3,FALSE),0),0)</f>
        <v>0</v>
      </c>
      <c r="DS40" s="997">
        <f>IF(OR(L40=2,L40=4),IFERROR(VLOOKUP($B40,PerutHafkadotMetchilatShanaAvgM!$C$6:$G$100,3,FALSE),0),0)</f>
        <v>0</v>
      </c>
      <c r="DT40" s="997">
        <f>IFERROR(VLOOKUP($B40,PerutHafkadotMetchilatShanaAvgM!$C$6:$G$100,4,FALSE),0)</f>
        <v>0</v>
      </c>
      <c r="DU40" s="997">
        <f>IFERROR(VLOOKUP($B40,Kupa!$D$6:$AA$100,5,FALSE),0)</f>
        <v>0</v>
      </c>
      <c r="DV40" s="997">
        <f>IFERROR(VLOOKUP($B40,Kupa!$D$6:$AA$100,6,FALSE),0)</f>
        <v>0</v>
      </c>
      <c r="DW40" s="997">
        <f>IFERROR(VLOOKUP($B40,KisuiBKerenPensiaDBWithParams!$D$6:$AP$100,9,FALSE),0)</f>
        <v>0</v>
      </c>
      <c r="DX40" s="997">
        <f>IFERROR(VLOOKUP($B40,KisuiBKerenPensiaDBWithParams!$D$6:$AP$100,12,FALSE),0)</f>
        <v>0</v>
      </c>
      <c r="DY40" s="997">
        <f>IFERROR(VLOOKUP($B40,KisuiBKerenPensiaDBWithParams!$D$6:$AP$100,13,FALSE),0)</f>
        <v>0</v>
      </c>
      <c r="DZ40" s="997">
        <f>IFERROR(VLOOKUP($B40,KisuiBKerenPensiaDBWithParams!$D$6:$AP$100,7,FALSE),0)</f>
        <v>0</v>
      </c>
      <c r="EA40" s="997">
        <f>IFERROR(VLOOKUP($B40,KisuiBKerenPensiaDBWithParams!$D$6:$AP$100,17,FALSE),0)</f>
        <v>0</v>
      </c>
      <c r="EB40" s="997">
        <f>IFERROR(VLOOKUP($B40,KisuiBKerenPensiaDBWithParams!$D$6:$AP$100,20,FALSE),0)</f>
        <v>0</v>
      </c>
      <c r="EC40" s="997">
        <f>IFERROR(VLOOKUP($B40,KisuiBKerenPensiaDBWithParams!$D$6:$AP$100,21,FALSE),0)</f>
        <v>0</v>
      </c>
      <c r="ED40" s="997">
        <f t="shared" si="45"/>
        <v>0</v>
      </c>
      <c r="EE40" s="997"/>
      <c r="EF40" s="1020">
        <f>IFERROR(VLOOKUP($B40,KisuiBKerenPensiaDBWithParams!$D$6:$AP$100,21,FALSE),0)</f>
        <v>0</v>
      </c>
      <c r="EG40" s="1020">
        <f>IFERROR(VLOOKUP($B40,KisuiBKerenPensiaDBWithParams!$D$6:$AP$100,21,FALSE),0)</f>
        <v>0</v>
      </c>
      <c r="EH40">
        <f>IF(OR(G40=MyData!$J$51,G40=MyData!$J$52,G40=MyData!$J$53),1,IF(G40=MyData!$J$50,2,0))</f>
        <v>0</v>
      </c>
      <c r="EI40">
        <f>IFERROR(VLOOKUP($B40,CrosstabPerutYitrotDB!$C$6:$N$50,3,FALSE),0)</f>
        <v>0</v>
      </c>
      <c r="EJ40">
        <f>IFERROR(VLOOKUP($B40,CrosstabPerutYitrotDB!$C$6:$N$50,4,FALSE),0)</f>
        <v>0</v>
      </c>
      <c r="EK40">
        <f>IFERROR(VLOOKUP($B40,CrosstabPerutYitrotDB!$C$6:$N$50,5,FALSE),0)</f>
        <v>0</v>
      </c>
      <c r="EL40">
        <f>IFERROR(VLOOKUP($B40,CrosstabPerutYitrotDB!$C$6:$N$50,6,FALSE),0)</f>
        <v>0</v>
      </c>
      <c r="EM40">
        <f>IFERROR(VLOOKUP($B40,CrosstabPerutYitrotDB!$C$6:$N$50,7,FALSE),0)</f>
        <v>0</v>
      </c>
      <c r="EN40">
        <f>IFERROR(VLOOKUP($B40,CrosstabPerutYitrotDB!$C$6:$N$50,8,FALSE),0)</f>
        <v>0</v>
      </c>
      <c r="EO40">
        <f>IFERROR(VLOOKUP($B40,CrosstabPerutYitrotDB!$C$6:$N$50,9,FALSE),0)</f>
        <v>0</v>
      </c>
      <c r="EP40">
        <f>IFERROR(VLOOKUP($B40,CrosstabPerutYitrotDB!$C$6:$N$50,10,FALSE),0)</f>
        <v>0</v>
      </c>
      <c r="EQ40">
        <f>IFERROR(VLOOKUP($B40,CrosstabPerutYitrotDB!$C$6:$N$50,11,FALSE),0)</f>
        <v>0</v>
      </c>
    </row>
    <row r="41" spans="1:147" x14ac:dyDescent="0.2">
      <c r="A41">
        <f t="shared" si="46"/>
        <v>0</v>
      </c>
      <c r="B41" s="20">
        <f>RicusPolice!E38</f>
        <v>0</v>
      </c>
      <c r="C41" s="20">
        <f>RicusPolice!AL38</f>
        <v>0</v>
      </c>
      <c r="D41" s="20">
        <f>RicusPolice!F38</f>
        <v>0</v>
      </c>
      <c r="E41" s="20">
        <f>RicusPolice!R38</f>
        <v>0</v>
      </c>
      <c r="F41" s="20">
        <f>RicusPolice!N38</f>
        <v>0</v>
      </c>
      <c r="G41" s="20">
        <f>IFERROR(VLOOKUP($B41,PerutYitrot!$D$6:$P$100,4,FALSE),0)</f>
        <v>0</v>
      </c>
      <c r="H41" s="20">
        <f t="shared" si="29"/>
        <v>0</v>
      </c>
      <c r="I41" s="20">
        <f>RicusPolice!L38</f>
        <v>0</v>
      </c>
      <c r="J41" s="179">
        <f>IFERROR(VLOOKUP(TRIM(K41),MyData!$J$44:$K$50,2,FALSE),0)</f>
        <v>0</v>
      </c>
      <c r="K41" s="20">
        <f>RicusPolice!M38</f>
        <v>0</v>
      </c>
      <c r="L41" s="20">
        <f>RicusPolice!AM38</f>
        <v>0</v>
      </c>
      <c r="M41" s="20" t="str">
        <f>IF(B41&gt;0,RicusPolice!Y38," ")</f>
        <v xml:space="preserve"> </v>
      </c>
      <c r="N41" s="20" t="str">
        <f t="shared" si="30"/>
        <v/>
      </c>
      <c r="O41" s="20">
        <f>RicusPolice!N38</f>
        <v>0</v>
      </c>
      <c r="P41" s="20">
        <f>IFERROR(VLOOKUP(B41,PerutMasluleiHashkaa!$D$6:$R$100,4,FALSE),0)</f>
        <v>0</v>
      </c>
      <c r="Q41" s="19"/>
      <c r="R41" s="1011" t="str">
        <f>IF(B41&gt;0,RicusPolice!P40," ")</f>
        <v xml:space="preserve"> </v>
      </c>
      <c r="S41" s="20">
        <f>IFERROR(VLOOKUP($B41,'נתונים ידניים'!$B$9:$G$51,6,FALSE),0)</f>
        <v>0</v>
      </c>
      <c r="T41" s="21">
        <f>'נתונים ידניים'!J42</f>
        <v>0</v>
      </c>
      <c r="U41" s="21">
        <f>'נתונים ידניים'!K42</f>
        <v>0</v>
      </c>
      <c r="V41" s="20">
        <f>IFERROR(VLOOKUP($B41,PerutHafrashotLePolisa!$D$6:$N$50,2,FALSE),0)</f>
        <v>0</v>
      </c>
      <c r="W41" s="20">
        <f>IFERROR(VLOOKUP($B41,PerutHafrashotLePolisa!$D$6:$N$50,4,FALSE),0)</f>
        <v>0</v>
      </c>
      <c r="X41" s="20">
        <f>IFERROR(VLOOKUP($B41,PerutHafrashotLePolisa!$D$6:$N$50,3,FALSE),0)</f>
        <v>0</v>
      </c>
      <c r="Y41">
        <f t="shared" si="31"/>
        <v>0</v>
      </c>
      <c r="Z41">
        <f>RicusPolice!AP38</f>
        <v>0</v>
      </c>
      <c r="AA41">
        <f>IFERROR(VLOOKUP(B41,PirteiHaasaka!$D$6:$R$100,5,FALSE),0)</f>
        <v>0</v>
      </c>
      <c r="AC41">
        <f>IFERROR(VLOOKUP(B41,HafkadotMetchilatShanaAverages!$D$6:$E$100,2,FALSE),0)</f>
        <v>0</v>
      </c>
      <c r="AF41">
        <f>'נתונים ידניים'!L42</f>
        <v>0</v>
      </c>
      <c r="AG41">
        <f>IFERROR(VLOOKUP(B41,CrossTabYitraLeTkufa_till_2000!$D$6:$AB$100,6,FALSE),0)+IFERROR(VLOOKUP(B41,CrossTabYitraLeTkufa_after_2000!$D$6:$AB$100,6,FALSE),0)</f>
        <v>0</v>
      </c>
      <c r="AH41">
        <f>IFERROR(VLOOKUP(B41,CrossTabYitraLeTkufa_till_2000!$D$6:$AB$100,16,FALSE),0)</f>
        <v>0</v>
      </c>
      <c r="AI41">
        <f>IFERROR(VLOOKUP(B41,CrossTabYitraLeTkufa_after_2000!$D$6:$AB$100,16,FALSE),0)</f>
        <v>0</v>
      </c>
      <c r="AJ41">
        <f>IFERROR(VLOOKUP(B41,CrossTabYitraLeTkufa_till_2000!$D$6:$AB$100,17,FALSE),0)</f>
        <v>0</v>
      </c>
      <c r="AK41">
        <f>IFERROR(VLOOKUP(B41,CrossTabYitraLeTkufa_after_2000!$D$6:$AB$100,17,FALSE),0)</f>
        <v>0</v>
      </c>
      <c r="AL41" s="5">
        <f t="shared" si="32"/>
        <v>0</v>
      </c>
      <c r="AO41">
        <f>IFERROR(VLOOKUP(B41,PirteiKisuiBeMutzar_procerur!$C$6:$AA$100,2,FALSE),0)</f>
        <v>0</v>
      </c>
      <c r="AQ41">
        <f>IFERROR(VLOOKUP($B41,PirteiKisuiBeMutzar_procerur!$C$6:$AA$100,5,FALSE),0)</f>
        <v>0</v>
      </c>
      <c r="AR41">
        <f>IFERROR(VLOOKUP($B41,PirteiKisuiBeMutzar_procerur!$C$6:$AA$100,3,FALSE),0)</f>
        <v>0</v>
      </c>
      <c r="AS41">
        <f>IFERROR(VLOOKUP($B41,PirteiKisuiBeMutzar_procerur!$C$6:$AA$100,6,FALSE),0)</f>
        <v>0</v>
      </c>
      <c r="AT41">
        <f>IFERROR(VLOOKUP($B41,PirteiKisuiBeMutzar_procerur!$C$6:$AA$100,7,FALSE),0)</f>
        <v>0</v>
      </c>
      <c r="AX41" s="997">
        <f t="shared" si="33"/>
        <v>0</v>
      </c>
      <c r="AY41" s="997">
        <f t="shared" si="34"/>
        <v>0</v>
      </c>
      <c r="AZ41" s="997">
        <f t="shared" si="35"/>
        <v>0</v>
      </c>
      <c r="BA41" s="997">
        <f>IFERROR(FV(S41/100/12,'נתוני יסוד'!$B$16*12,AX41,AG41)*(-1),0)</f>
        <v>0</v>
      </c>
      <c r="BB41" s="997">
        <f>IFERROR(FV(S41/100/12,'נתוני יסוד'!$B$16*12,0,AH41)*(-1),0)</f>
        <v>0</v>
      </c>
      <c r="BC41" s="997">
        <f>IFERROR(FV(S41/100/12,'נתוני יסוד'!$B$16*12,AY41,AI41)*(-1),0)</f>
        <v>0</v>
      </c>
      <c r="BD41" s="997">
        <f>IFERROR(FV(S41/100/12,'נתוני יסוד'!$B$16*12,0,AJ41)*(-1),0)</f>
        <v>0</v>
      </c>
      <c r="BE41" s="997">
        <f>IFERROR(FV(S41/100/12,'נתוני יסוד'!$B$16*12,AZ41,AK41)*(-1),0)</f>
        <v>0</v>
      </c>
      <c r="BF41" s="997">
        <f t="shared" si="36"/>
        <v>0</v>
      </c>
      <c r="BG41" s="997">
        <f>IFERROR(FV(S41/100/12,'נתוני יסוד'!$B$16*12,AF41,AL41)*(-1),0)</f>
        <v>0</v>
      </c>
      <c r="BH41" s="997">
        <f t="shared" si="37"/>
        <v>0</v>
      </c>
      <c r="BI41" s="997">
        <f t="shared" si="38"/>
        <v>0</v>
      </c>
      <c r="BJ41" s="997">
        <f t="shared" si="39"/>
        <v>0</v>
      </c>
      <c r="BK41" s="997">
        <f t="shared" si="40"/>
        <v>0</v>
      </c>
      <c r="BL41" s="997">
        <f t="shared" ref="BL41:BL72" si="47">IFERROR(BM41/T41,0)</f>
        <v>0</v>
      </c>
      <c r="BM41" s="997">
        <f t="shared" ref="BM41:BM72" si="48">IF(EH41=1,BA41,0)</f>
        <v>0</v>
      </c>
      <c r="BN41" s="997">
        <f t="shared" ref="BN41:BN72" si="49">IF(EH41=2,BA41,0)</f>
        <v>0</v>
      </c>
      <c r="BO41" s="997">
        <f t="shared" si="41"/>
        <v>0</v>
      </c>
      <c r="BP41" s="997">
        <f t="shared" ref="BP41:BP72" si="50">BG41-BO41</f>
        <v>0</v>
      </c>
      <c r="BS41">
        <f t="shared" ref="BS41:BS72" si="51">IFERROR(BT41/T41,0)</f>
        <v>0</v>
      </c>
      <c r="BT41">
        <f t="shared" ref="BT41:BT72" si="52">IF(EH41=1,BB41,0)</f>
        <v>0</v>
      </c>
      <c r="BU41">
        <f t="shared" ref="BU41:BU72" si="53">IF(EH41=2,BB41,0)</f>
        <v>0</v>
      </c>
      <c r="BV41">
        <f t="shared" si="42"/>
        <v>0</v>
      </c>
      <c r="BW41">
        <f t="shared" ref="BW41:BW72" si="54">BB41-BV41</f>
        <v>0</v>
      </c>
      <c r="BY41" s="997">
        <f t="shared" ref="BY41:BY72" si="55">IFERROR(BZ41/T41,0)</f>
        <v>0</v>
      </c>
      <c r="BZ41" s="997">
        <f t="shared" ref="BZ41:BZ72" si="56">IF(EH41=1,BC41,0)</f>
        <v>0</v>
      </c>
      <c r="CA41" s="997">
        <f t="shared" ref="CA41:CA72" si="57">IF(EH41=2,BC41,0)</f>
        <v>0</v>
      </c>
      <c r="CB41" s="997">
        <f t="shared" si="43"/>
        <v>0</v>
      </c>
      <c r="CC41" s="997">
        <f t="shared" ref="CC41:CC72" si="58">BC41-CB41</f>
        <v>0</v>
      </c>
      <c r="CD41" s="997">
        <f t="shared" si="13"/>
        <v>0</v>
      </c>
      <c r="CE41" s="997">
        <f t="shared" si="14"/>
        <v>0</v>
      </c>
      <c r="CF41" s="997">
        <f t="shared" si="15"/>
        <v>0</v>
      </c>
      <c r="CG41" s="997">
        <f t="shared" si="16"/>
        <v>0</v>
      </c>
      <c r="CH41" s="997">
        <f t="shared" si="17"/>
        <v>0</v>
      </c>
      <c r="CI41" s="997">
        <f t="shared" si="18"/>
        <v>0</v>
      </c>
      <c r="CJ41" s="997">
        <f t="shared" si="19"/>
        <v>0</v>
      </c>
      <c r="CK41" s="997"/>
      <c r="CL41" s="997"/>
      <c r="CM41" s="997">
        <f t="shared" ref="CM41:CM72" si="59">IFERROR(CN41/T41,0)</f>
        <v>0</v>
      </c>
      <c r="CN41" s="997">
        <f t="shared" ref="CN41:CN72" si="60">IF(EH41=1,BE41,0)</f>
        <v>0</v>
      </c>
      <c r="CO41" s="997">
        <f t="shared" ref="CO41:CO72" si="61">IF(EH41=1,BE41,0)</f>
        <v>0</v>
      </c>
      <c r="CP41" s="997">
        <f t="shared" si="44"/>
        <v>0</v>
      </c>
      <c r="CQ41" s="997">
        <f t="shared" ref="CQ41:CQ72" si="62">BE41-CP41</f>
        <v>0</v>
      </c>
      <c r="CR41" s="997">
        <f>IFERROR(VLOOKUP($B41,SchumeiBituahYesodi!$C$6:$AA$100,8,FALSE),0)</f>
        <v>0</v>
      </c>
      <c r="CS41" s="997">
        <f>IFERROR(VLOOKUP($B41,PirteiKisuiBeMutzar_procerur!$C$6:$AA$100,2,FALSE),0)</f>
        <v>0</v>
      </c>
      <c r="CT41" s="997">
        <f>IFERROR(VLOOKUP($B41,PirteiKisuiBeMutzar_procerur!$C$6:$AA$100,3,FALSE),0)</f>
        <v>0</v>
      </c>
      <c r="CU41" s="997">
        <f>IFERROR(VLOOKUP($B41,PirteiKisuiBeMutzar_procerur!$C$6:$AA$100,4,FALSE),0)</f>
        <v>0</v>
      </c>
      <c r="CV41" s="997">
        <f>IFERROR(VLOOKUP($B41,PirteiKisuiBeMutzar_procerur!$C$6:$AA$100,5,FALSE),0)</f>
        <v>0</v>
      </c>
      <c r="CW41" s="997">
        <f>IFERROR(VLOOKUP($B41,PirteiKisuiBeMutzar_procerur!$C$6:$AA$100,6,FALSE),0)</f>
        <v>0</v>
      </c>
      <c r="CX41" s="997">
        <f>IFERROR(VLOOKUP($B41,PirteiKisuiBeMutzar_procerur!$C$6:$AA$100,7,FALSE),0)</f>
        <v>0</v>
      </c>
      <c r="CY41" s="997">
        <f>IFERROR(VLOOKUP($B41,PirteiKisuiBeMutzar_procerur!$C$6:$AA$100,8,FALSE),0)</f>
        <v>0</v>
      </c>
      <c r="CZ41" s="997">
        <f>IFERROR(VLOOKUP($B41,PirteiKisuiBeMutzar_procerur!$C$6:$AA$100,9,FALSE),0)</f>
        <v>0</v>
      </c>
      <c r="DA41" s="997">
        <f>IFERROR(VLOOKUP($B41,PirteiKisuiBeMutzar_procerur!$C$6:$AA$100,10,FALSE),0)</f>
        <v>0</v>
      </c>
      <c r="DB41" s="997">
        <f>IFERROR(VLOOKUP($B41,PirteiKisuiBeMutzar_procerur!$C$6:$AA$100,11,FALSE),0)</f>
        <v>0</v>
      </c>
      <c r="DC41" s="997">
        <f>IFERROR(VLOOKUP($B41,PirteiKisuiBeMutzarPrmia!$C$6:$Z$100,2,FALSE),0)</f>
        <v>0</v>
      </c>
      <c r="DD41" s="997">
        <f>IFERROR(VLOOKUP($B41,PirteiKisuiBeMutzarPrmia!$C$6:$Z$100,3,FALSE),0)</f>
        <v>0</v>
      </c>
      <c r="DE41" s="997">
        <f>IFERROR(VLOOKUP($B41,PirteiKisuiBeMutzarPrmia!$C$6:$Z$100,4,FALSE),0)</f>
        <v>0</v>
      </c>
      <c r="DF41" s="997">
        <f>IFERROR(VLOOKUP($B41,PirteiKisuiBeMutzarPrmia!$C$6:$Z$100,5,FALSE),0)</f>
        <v>0</v>
      </c>
      <c r="DG41" s="997">
        <f>IFERROR(VLOOKUP($B41,PirteiKisuiBeMutzarPrmia!$C$6:$Z$100,6,FALSE),0)</f>
        <v>0</v>
      </c>
      <c r="DH41" s="997">
        <f>IFERROR(VLOOKUP($B41,PirteiKisuiBeMutzarPrmia!$C$6:$Z$100,7,FALSE),0)</f>
        <v>0</v>
      </c>
      <c r="DI41" s="997">
        <f>IFERROR(VLOOKUP($B41,PirteiKisuiBeMutzarPrmia!$C$6:$Z$100,8,FALSE),0)</f>
        <v>0</v>
      </c>
      <c r="DJ41" s="997">
        <f>IFERROR(VLOOKUP($B41,PirteiKisuiBeMutzarPrmia!$C$6:$Z$100,9,FALSE),0)</f>
        <v>0</v>
      </c>
      <c r="DK41" s="997">
        <f>IFERROR(VLOOKUP($B41,PirteiKisuiBeMutzarPrmia!$C$6:$Z$100,10,FALSE),0)</f>
        <v>0</v>
      </c>
      <c r="DL41" s="997">
        <f>IFERROR(VLOOKUP($B41,PirteiKisuiBeMutzarPrmia!$C$6:$Z$100,11,FALSE),0)</f>
        <v>0</v>
      </c>
      <c r="DM41" s="997">
        <f t="shared" si="24"/>
        <v>0</v>
      </c>
      <c r="DN41" s="997">
        <f t="shared" ref="DN41:DN72" si="63">IF(OR(L41=1,L41=3),DM41,0)</f>
        <v>0</v>
      </c>
      <c r="DO41" s="997">
        <f t="shared" ref="DO41:DO72" si="64">IF(OR(L41=2,L41=4,,L41=5),DM41,0)</f>
        <v>0</v>
      </c>
      <c r="DP41" s="997">
        <f t="shared" si="27"/>
        <v>0</v>
      </c>
      <c r="DQ41" s="997">
        <f t="shared" ref="DQ41:DQ72" si="65">DP41+AG41</f>
        <v>0</v>
      </c>
      <c r="DR41" s="997">
        <f>IF(OR(L41=1,L41=3),IFERROR(VLOOKUP($B41,PerutHafkadotMetchilatShanaAvgM!$C$6:$G$100,3,FALSE),0),0)</f>
        <v>0</v>
      </c>
      <c r="DS41" s="997">
        <f>IF(OR(L41=2,L41=4),IFERROR(VLOOKUP($B41,PerutHafkadotMetchilatShanaAvgM!$C$6:$G$100,3,FALSE),0),0)</f>
        <v>0</v>
      </c>
      <c r="DT41" s="997">
        <f>IFERROR(VLOOKUP($B41,PerutHafkadotMetchilatShanaAvgM!$C$6:$G$100,4,FALSE),0)</f>
        <v>0</v>
      </c>
      <c r="DU41" s="997">
        <f>IFERROR(VLOOKUP($B41,Kupa!$D$6:$AA$100,5,FALSE),0)</f>
        <v>0</v>
      </c>
      <c r="DV41" s="997">
        <f>IFERROR(VLOOKUP($B41,Kupa!$D$6:$AA$100,6,FALSE),0)</f>
        <v>0</v>
      </c>
      <c r="DW41" s="997">
        <f>IFERROR(VLOOKUP($B41,KisuiBKerenPensiaDBWithParams!$D$6:$AP$100,9,FALSE),0)</f>
        <v>0</v>
      </c>
      <c r="DX41" s="997">
        <f>IFERROR(VLOOKUP($B41,KisuiBKerenPensiaDBWithParams!$D$6:$AP$100,12,FALSE),0)</f>
        <v>0</v>
      </c>
      <c r="DY41" s="997">
        <f>IFERROR(VLOOKUP($B41,KisuiBKerenPensiaDBWithParams!$D$6:$AP$100,13,FALSE),0)</f>
        <v>0</v>
      </c>
      <c r="DZ41" s="997">
        <f>IFERROR(VLOOKUP($B41,KisuiBKerenPensiaDBWithParams!$D$6:$AP$100,7,FALSE),0)</f>
        <v>0</v>
      </c>
      <c r="EA41" s="997">
        <f>IFERROR(VLOOKUP($B41,KisuiBKerenPensiaDBWithParams!$D$6:$AP$100,17,FALSE),0)</f>
        <v>0</v>
      </c>
      <c r="EB41" s="997">
        <f>IFERROR(VLOOKUP($B41,KisuiBKerenPensiaDBWithParams!$D$6:$AP$100,20,FALSE),0)</f>
        <v>0</v>
      </c>
      <c r="EC41" s="997">
        <f>IFERROR(VLOOKUP($B41,KisuiBKerenPensiaDBWithParams!$D$6:$AP$100,21,FALSE),0)</f>
        <v>0</v>
      </c>
      <c r="ED41" s="997">
        <f t="shared" si="45"/>
        <v>0</v>
      </c>
      <c r="EE41" s="997"/>
      <c r="EF41" s="1020">
        <f>IFERROR(VLOOKUP($B41,KisuiBKerenPensiaDBWithParams!$D$6:$AP$100,21,FALSE),0)</f>
        <v>0</v>
      </c>
      <c r="EG41" s="1020">
        <f>IFERROR(VLOOKUP($B41,KisuiBKerenPensiaDBWithParams!$D$6:$AP$100,21,FALSE),0)</f>
        <v>0</v>
      </c>
      <c r="EH41">
        <f>IF(OR(G41=MyData!$J$51,G41=MyData!$J$52,G41=MyData!$J$53),1,IF(G41=MyData!$J$50,2,0))</f>
        <v>0</v>
      </c>
      <c r="EI41">
        <f>IFERROR(VLOOKUP($B41,CrosstabPerutYitrotDB!$C$6:$N$50,3,FALSE),0)</f>
        <v>0</v>
      </c>
      <c r="EJ41">
        <f>IFERROR(VLOOKUP($B41,CrosstabPerutYitrotDB!$C$6:$N$50,4,FALSE),0)</f>
        <v>0</v>
      </c>
      <c r="EK41">
        <f>IFERROR(VLOOKUP($B41,CrosstabPerutYitrotDB!$C$6:$N$50,5,FALSE),0)</f>
        <v>0</v>
      </c>
      <c r="EL41">
        <f>IFERROR(VLOOKUP($B41,CrosstabPerutYitrotDB!$C$6:$N$50,6,FALSE),0)</f>
        <v>0</v>
      </c>
      <c r="EM41">
        <f>IFERROR(VLOOKUP($B41,CrosstabPerutYitrotDB!$C$6:$N$50,7,FALSE),0)</f>
        <v>0</v>
      </c>
      <c r="EN41">
        <f>IFERROR(VLOOKUP($B41,CrosstabPerutYitrotDB!$C$6:$N$50,8,FALSE),0)</f>
        <v>0</v>
      </c>
      <c r="EO41">
        <f>IFERROR(VLOOKUP($B41,CrosstabPerutYitrotDB!$C$6:$N$50,9,FALSE),0)</f>
        <v>0</v>
      </c>
      <c r="EP41">
        <f>IFERROR(VLOOKUP($B41,CrosstabPerutYitrotDB!$C$6:$N$50,10,FALSE),0)</f>
        <v>0</v>
      </c>
      <c r="EQ41">
        <f>IFERROR(VLOOKUP($B41,CrosstabPerutYitrotDB!$C$6:$N$50,11,FALSE),0)</f>
        <v>0</v>
      </c>
    </row>
    <row r="42" spans="1:147" x14ac:dyDescent="0.2">
      <c r="A42">
        <f t="shared" si="46"/>
        <v>0</v>
      </c>
      <c r="B42" s="20">
        <f>RicusPolice!E39</f>
        <v>0</v>
      </c>
      <c r="C42" s="20">
        <f>RicusPolice!AL39</f>
        <v>0</v>
      </c>
      <c r="D42" s="20">
        <f>RicusPolice!F39</f>
        <v>0</v>
      </c>
      <c r="E42" s="20">
        <f>RicusPolice!R39</f>
        <v>0</v>
      </c>
      <c r="F42" s="20">
        <f>RicusPolice!N39</f>
        <v>0</v>
      </c>
      <c r="G42" s="20">
        <f>IFERROR(VLOOKUP($B42,PerutYitrot!$D$6:$P$100,4,FALSE),0)</f>
        <v>0</v>
      </c>
      <c r="H42" s="20">
        <f t="shared" si="29"/>
        <v>0</v>
      </c>
      <c r="I42" s="20">
        <f>RicusPolice!L39</f>
        <v>0</v>
      </c>
      <c r="J42" s="179">
        <f>IFERROR(VLOOKUP(TRIM(K42),MyData!$J$44:$K$50,2,FALSE),0)</f>
        <v>0</v>
      </c>
      <c r="K42" s="20">
        <f>RicusPolice!M39</f>
        <v>0</v>
      </c>
      <c r="L42" s="20">
        <f>RicusPolice!AM39</f>
        <v>0</v>
      </c>
      <c r="M42" s="20" t="str">
        <f>IF(B42&gt;0,RicusPolice!Y39," ")</f>
        <v xml:space="preserve"> </v>
      </c>
      <c r="N42" s="20" t="str">
        <f t="shared" si="30"/>
        <v/>
      </c>
      <c r="O42" s="20">
        <f>RicusPolice!N39</f>
        <v>0</v>
      </c>
      <c r="P42" s="20">
        <f>IFERROR(VLOOKUP(B42,PerutMasluleiHashkaa!$D$6:$R$100,4,FALSE),0)</f>
        <v>0</v>
      </c>
      <c r="Q42" s="19"/>
      <c r="R42" s="1011" t="str">
        <f>IF(B42&gt;0,RicusPolice!P41," ")</f>
        <v xml:space="preserve"> </v>
      </c>
      <c r="S42" s="20">
        <f>IFERROR(VLOOKUP($B42,'נתונים ידניים'!$B$9:$G$51,6,FALSE),0)</f>
        <v>0</v>
      </c>
      <c r="T42" s="21">
        <f>'נתונים ידניים'!J43</f>
        <v>0</v>
      </c>
      <c r="U42" s="21">
        <f>'נתונים ידניים'!K43</f>
        <v>0</v>
      </c>
      <c r="V42" s="20">
        <f>IFERROR(VLOOKUP($B42,PerutHafrashotLePolisa!$D$6:$N$50,2,FALSE),0)</f>
        <v>0</v>
      </c>
      <c r="W42" s="20">
        <f>IFERROR(VLOOKUP($B42,PerutHafrashotLePolisa!$D$6:$N$50,4,FALSE),0)</f>
        <v>0</v>
      </c>
      <c r="X42" s="20">
        <f>IFERROR(VLOOKUP($B42,PerutHafrashotLePolisa!$D$6:$N$50,3,FALSE),0)</f>
        <v>0</v>
      </c>
      <c r="Y42">
        <f t="shared" si="31"/>
        <v>0</v>
      </c>
      <c r="Z42">
        <f>RicusPolice!AP39</f>
        <v>0</v>
      </c>
      <c r="AA42">
        <f>IFERROR(VLOOKUP(B42,PirteiHaasaka!$D$6:$R$100,5,FALSE),0)</f>
        <v>0</v>
      </c>
      <c r="AC42">
        <f>IFERROR(VLOOKUP(B42,HafkadotMetchilatShanaAverages!$D$6:$E$100,2,FALSE),0)</f>
        <v>0</v>
      </c>
      <c r="AF42">
        <f>'נתונים ידניים'!L43</f>
        <v>0</v>
      </c>
      <c r="AG42">
        <f>IFERROR(VLOOKUP(B42,CrossTabYitraLeTkufa_till_2000!$D$6:$AB$100,6,FALSE),0)+IFERROR(VLOOKUP(B42,CrossTabYitraLeTkufa_after_2000!$D$6:$AB$100,6,FALSE),0)</f>
        <v>0</v>
      </c>
      <c r="AH42">
        <f>IFERROR(VLOOKUP(B42,CrossTabYitraLeTkufa_till_2000!$D$6:$AB$100,16,FALSE),0)</f>
        <v>0</v>
      </c>
      <c r="AI42">
        <f>IFERROR(VLOOKUP(B42,CrossTabYitraLeTkufa_after_2000!$D$6:$AB$100,16,FALSE),0)</f>
        <v>0</v>
      </c>
      <c r="AJ42">
        <f>IFERROR(VLOOKUP(B42,CrossTabYitraLeTkufa_till_2000!$D$6:$AB$100,17,FALSE),0)</f>
        <v>0</v>
      </c>
      <c r="AK42">
        <f>IFERROR(VLOOKUP(B42,CrossTabYitraLeTkufa_after_2000!$D$6:$AB$100,17,FALSE),0)</f>
        <v>0</v>
      </c>
      <c r="AL42" s="5">
        <f t="shared" si="32"/>
        <v>0</v>
      </c>
      <c r="AO42">
        <f>IFERROR(VLOOKUP(B42,PirteiKisuiBeMutzar_procerur!$C$6:$AA$100,2,FALSE),0)</f>
        <v>0</v>
      </c>
      <c r="AQ42">
        <f>IFERROR(VLOOKUP($B42,PirteiKisuiBeMutzar_procerur!$C$6:$AA$100,5,FALSE),0)</f>
        <v>0</v>
      </c>
      <c r="AR42">
        <f>IFERROR(VLOOKUP($B42,PirteiKisuiBeMutzar_procerur!$C$6:$AA$100,3,FALSE),0)</f>
        <v>0</v>
      </c>
      <c r="AS42">
        <f>IFERROR(VLOOKUP($B42,PirteiKisuiBeMutzar_procerur!$C$6:$AA$100,6,FALSE),0)</f>
        <v>0</v>
      </c>
      <c r="AT42">
        <f>IFERROR(VLOOKUP($B42,PirteiKisuiBeMutzar_procerur!$C$6:$AA$100,7,FALSE),0)</f>
        <v>0</v>
      </c>
      <c r="AX42" s="997">
        <f t="shared" si="33"/>
        <v>0</v>
      </c>
      <c r="AY42" s="997">
        <f t="shared" si="34"/>
        <v>0</v>
      </c>
      <c r="AZ42" s="997">
        <f t="shared" si="35"/>
        <v>0</v>
      </c>
      <c r="BA42" s="997">
        <f>IFERROR(FV(S42/100/12,'נתוני יסוד'!$B$16*12,AX42,AG42)*(-1),0)</f>
        <v>0</v>
      </c>
      <c r="BB42" s="997">
        <f>IFERROR(FV(S42/100/12,'נתוני יסוד'!$B$16*12,0,AH42)*(-1),0)</f>
        <v>0</v>
      </c>
      <c r="BC42" s="997">
        <f>IFERROR(FV(S42/100/12,'נתוני יסוד'!$B$16*12,AY42,AI42)*(-1),0)</f>
        <v>0</v>
      </c>
      <c r="BD42" s="997">
        <f>IFERROR(FV(S42/100/12,'נתוני יסוד'!$B$16*12,0,AJ42)*(-1),0)</f>
        <v>0</v>
      </c>
      <c r="BE42" s="997">
        <f>IFERROR(FV(S42/100/12,'נתוני יסוד'!$B$16*12,AZ42,AK42)*(-1),0)</f>
        <v>0</v>
      </c>
      <c r="BF42" s="997">
        <f t="shared" si="36"/>
        <v>0</v>
      </c>
      <c r="BG42" s="997">
        <f>IFERROR(FV(S42/100/12,'נתוני יסוד'!$B$16*12,AF42,AL42)*(-1),0)</f>
        <v>0</v>
      </c>
      <c r="BH42" s="997">
        <f t="shared" si="37"/>
        <v>0</v>
      </c>
      <c r="BI42" s="997">
        <f t="shared" si="38"/>
        <v>0</v>
      </c>
      <c r="BJ42" s="997">
        <f t="shared" si="39"/>
        <v>0</v>
      </c>
      <c r="BK42" s="997">
        <f t="shared" si="40"/>
        <v>0</v>
      </c>
      <c r="BL42" s="997">
        <f t="shared" si="47"/>
        <v>0</v>
      </c>
      <c r="BM42" s="997">
        <f t="shared" si="48"/>
        <v>0</v>
      </c>
      <c r="BN42" s="997">
        <f t="shared" si="49"/>
        <v>0</v>
      </c>
      <c r="BO42" s="997">
        <f t="shared" si="41"/>
        <v>0</v>
      </c>
      <c r="BP42" s="997">
        <f t="shared" si="50"/>
        <v>0</v>
      </c>
      <c r="BS42">
        <f t="shared" si="51"/>
        <v>0</v>
      </c>
      <c r="BT42">
        <f t="shared" si="52"/>
        <v>0</v>
      </c>
      <c r="BU42">
        <f t="shared" si="53"/>
        <v>0</v>
      </c>
      <c r="BV42">
        <f t="shared" si="42"/>
        <v>0</v>
      </c>
      <c r="BW42">
        <f t="shared" si="54"/>
        <v>0</v>
      </c>
      <c r="BY42" s="997">
        <f t="shared" si="55"/>
        <v>0</v>
      </c>
      <c r="BZ42" s="997">
        <f t="shared" si="56"/>
        <v>0</v>
      </c>
      <c r="CA42" s="997">
        <f t="shared" si="57"/>
        <v>0</v>
      </c>
      <c r="CB42" s="997">
        <f t="shared" si="43"/>
        <v>0</v>
      </c>
      <c r="CC42" s="997">
        <f t="shared" si="58"/>
        <v>0</v>
      </c>
      <c r="CD42" s="997">
        <f t="shared" si="13"/>
        <v>0</v>
      </c>
      <c r="CE42" s="997">
        <f t="shared" si="14"/>
        <v>0</v>
      </c>
      <c r="CF42" s="997">
        <f t="shared" si="15"/>
        <v>0</v>
      </c>
      <c r="CG42" s="997">
        <f t="shared" si="16"/>
        <v>0</v>
      </c>
      <c r="CH42" s="997">
        <f t="shared" si="17"/>
        <v>0</v>
      </c>
      <c r="CI42" s="997">
        <f t="shared" si="18"/>
        <v>0</v>
      </c>
      <c r="CJ42" s="997">
        <f t="shared" si="19"/>
        <v>0</v>
      </c>
      <c r="CK42" s="997"/>
      <c r="CL42" s="997"/>
      <c r="CM42" s="997">
        <f t="shared" si="59"/>
        <v>0</v>
      </c>
      <c r="CN42" s="997">
        <f t="shared" si="60"/>
        <v>0</v>
      </c>
      <c r="CO42" s="997">
        <f t="shared" si="61"/>
        <v>0</v>
      </c>
      <c r="CP42" s="997">
        <f t="shared" si="44"/>
        <v>0</v>
      </c>
      <c r="CQ42" s="997">
        <f t="shared" si="62"/>
        <v>0</v>
      </c>
      <c r="CR42" s="997">
        <f>IFERROR(VLOOKUP($B42,SchumeiBituahYesodi!$C$6:$AA$100,8,FALSE),0)</f>
        <v>0</v>
      </c>
      <c r="CS42" s="997">
        <f>IFERROR(VLOOKUP($B42,PirteiKisuiBeMutzar_procerur!$C$6:$AA$100,2,FALSE),0)</f>
        <v>0</v>
      </c>
      <c r="CT42" s="997">
        <f>IFERROR(VLOOKUP($B42,PirteiKisuiBeMutzar_procerur!$C$6:$AA$100,3,FALSE),0)</f>
        <v>0</v>
      </c>
      <c r="CU42" s="997">
        <f>IFERROR(VLOOKUP($B42,PirteiKisuiBeMutzar_procerur!$C$6:$AA$100,4,FALSE),0)</f>
        <v>0</v>
      </c>
      <c r="CV42" s="997">
        <f>IFERROR(VLOOKUP($B42,PirteiKisuiBeMutzar_procerur!$C$6:$AA$100,5,FALSE),0)</f>
        <v>0</v>
      </c>
      <c r="CW42" s="997">
        <f>IFERROR(VLOOKUP($B42,PirteiKisuiBeMutzar_procerur!$C$6:$AA$100,6,FALSE),0)</f>
        <v>0</v>
      </c>
      <c r="CX42" s="997">
        <f>IFERROR(VLOOKUP($B42,PirteiKisuiBeMutzar_procerur!$C$6:$AA$100,7,FALSE),0)</f>
        <v>0</v>
      </c>
      <c r="CY42" s="997">
        <f>IFERROR(VLOOKUP($B42,PirteiKisuiBeMutzar_procerur!$C$6:$AA$100,8,FALSE),0)</f>
        <v>0</v>
      </c>
      <c r="CZ42" s="997">
        <f>IFERROR(VLOOKUP($B42,PirteiKisuiBeMutzar_procerur!$C$6:$AA$100,9,FALSE),0)</f>
        <v>0</v>
      </c>
      <c r="DA42" s="997">
        <f>IFERROR(VLOOKUP($B42,PirteiKisuiBeMutzar_procerur!$C$6:$AA$100,10,FALSE),0)</f>
        <v>0</v>
      </c>
      <c r="DB42" s="997">
        <f>IFERROR(VLOOKUP($B42,PirteiKisuiBeMutzar_procerur!$C$6:$AA$100,11,FALSE),0)</f>
        <v>0</v>
      </c>
      <c r="DC42" s="997">
        <f>IFERROR(VLOOKUP($B42,PirteiKisuiBeMutzarPrmia!$C$6:$Z$100,2,FALSE),0)</f>
        <v>0</v>
      </c>
      <c r="DD42" s="997">
        <f>IFERROR(VLOOKUP($B42,PirteiKisuiBeMutzarPrmia!$C$6:$Z$100,3,FALSE),0)</f>
        <v>0</v>
      </c>
      <c r="DE42" s="997">
        <f>IFERROR(VLOOKUP($B42,PirteiKisuiBeMutzarPrmia!$C$6:$Z$100,4,FALSE),0)</f>
        <v>0</v>
      </c>
      <c r="DF42" s="997">
        <f>IFERROR(VLOOKUP($B42,PirteiKisuiBeMutzarPrmia!$C$6:$Z$100,5,FALSE),0)</f>
        <v>0</v>
      </c>
      <c r="DG42" s="997">
        <f>IFERROR(VLOOKUP($B42,PirteiKisuiBeMutzarPrmia!$C$6:$Z$100,6,FALSE),0)</f>
        <v>0</v>
      </c>
      <c r="DH42" s="997">
        <f>IFERROR(VLOOKUP($B42,PirteiKisuiBeMutzarPrmia!$C$6:$Z$100,7,FALSE),0)</f>
        <v>0</v>
      </c>
      <c r="DI42" s="997">
        <f>IFERROR(VLOOKUP($B42,PirteiKisuiBeMutzarPrmia!$C$6:$Z$100,8,FALSE),0)</f>
        <v>0</v>
      </c>
      <c r="DJ42" s="997">
        <f>IFERROR(VLOOKUP($B42,PirteiKisuiBeMutzarPrmia!$C$6:$Z$100,9,FALSE),0)</f>
        <v>0</v>
      </c>
      <c r="DK42" s="997">
        <f>IFERROR(VLOOKUP($B42,PirteiKisuiBeMutzarPrmia!$C$6:$Z$100,10,FALSE),0)</f>
        <v>0</v>
      </c>
      <c r="DL42" s="997">
        <f>IFERROR(VLOOKUP($B42,PirteiKisuiBeMutzarPrmia!$C$6:$Z$100,11,FALSE),0)</f>
        <v>0</v>
      </c>
      <c r="DM42" s="997">
        <f t="shared" si="24"/>
        <v>0</v>
      </c>
      <c r="DN42" s="997">
        <f t="shared" si="63"/>
        <v>0</v>
      </c>
      <c r="DO42" s="997">
        <f t="shared" si="64"/>
        <v>0</v>
      </c>
      <c r="DP42" s="997">
        <f t="shared" si="27"/>
        <v>0</v>
      </c>
      <c r="DQ42" s="997">
        <f t="shared" si="65"/>
        <v>0</v>
      </c>
      <c r="DR42" s="997">
        <f>IF(OR(L42=1,L42=3),IFERROR(VLOOKUP($B42,PerutHafkadotMetchilatShanaAvgM!$C$6:$G$100,3,FALSE),0),0)</f>
        <v>0</v>
      </c>
      <c r="DS42" s="997">
        <f>IF(OR(L42=2,L42=4),IFERROR(VLOOKUP($B42,PerutHafkadotMetchilatShanaAvgM!$C$6:$G$100,3,FALSE),0),0)</f>
        <v>0</v>
      </c>
      <c r="DT42" s="997">
        <f>IFERROR(VLOOKUP($B42,PerutHafkadotMetchilatShanaAvgM!$C$6:$G$100,4,FALSE),0)</f>
        <v>0</v>
      </c>
      <c r="DU42" s="997">
        <f>IFERROR(VLOOKUP($B42,Kupa!$D$6:$AA$100,5,FALSE),0)</f>
        <v>0</v>
      </c>
      <c r="DV42" s="997">
        <f>IFERROR(VLOOKUP($B42,Kupa!$D$6:$AA$100,6,FALSE),0)</f>
        <v>0</v>
      </c>
      <c r="DW42" s="997">
        <f>IFERROR(VLOOKUP($B42,KisuiBKerenPensiaDBWithParams!$D$6:$AP$100,9,FALSE),0)</f>
        <v>0</v>
      </c>
      <c r="DX42" s="997">
        <f>IFERROR(VLOOKUP($B42,KisuiBKerenPensiaDBWithParams!$D$6:$AP$100,12,FALSE),0)</f>
        <v>0</v>
      </c>
      <c r="DY42" s="997">
        <f>IFERROR(VLOOKUP($B42,KisuiBKerenPensiaDBWithParams!$D$6:$AP$100,13,FALSE),0)</f>
        <v>0</v>
      </c>
      <c r="DZ42" s="997">
        <f>IFERROR(VLOOKUP($B42,KisuiBKerenPensiaDBWithParams!$D$6:$AP$100,7,FALSE),0)</f>
        <v>0</v>
      </c>
      <c r="EA42" s="997">
        <f>IFERROR(VLOOKUP($B42,KisuiBKerenPensiaDBWithParams!$D$6:$AP$100,17,FALSE),0)</f>
        <v>0</v>
      </c>
      <c r="EB42" s="997">
        <f>IFERROR(VLOOKUP($B42,KisuiBKerenPensiaDBWithParams!$D$6:$AP$100,20,FALSE),0)</f>
        <v>0</v>
      </c>
      <c r="EC42" s="997">
        <f>IFERROR(VLOOKUP($B42,KisuiBKerenPensiaDBWithParams!$D$6:$AP$100,21,FALSE),0)</f>
        <v>0</v>
      </c>
      <c r="ED42" s="997">
        <f t="shared" si="45"/>
        <v>0</v>
      </c>
      <c r="EE42" s="997"/>
      <c r="EF42" s="1020">
        <f>IFERROR(VLOOKUP($B42,KisuiBKerenPensiaDBWithParams!$D$6:$AP$100,21,FALSE),0)</f>
        <v>0</v>
      </c>
      <c r="EG42" s="1020">
        <f>IFERROR(VLOOKUP($B42,KisuiBKerenPensiaDBWithParams!$D$6:$AP$100,21,FALSE),0)</f>
        <v>0</v>
      </c>
      <c r="EH42">
        <f>IF(OR(G42=MyData!$J$51,G42=MyData!$J$52,G42=MyData!$J$53),1,IF(G42=MyData!$J$50,2,0))</f>
        <v>0</v>
      </c>
      <c r="EI42">
        <f>IFERROR(VLOOKUP($B42,CrosstabPerutYitrotDB!$C$6:$N$50,3,FALSE),0)</f>
        <v>0</v>
      </c>
      <c r="EJ42">
        <f>IFERROR(VLOOKUP($B42,CrosstabPerutYitrotDB!$C$6:$N$50,4,FALSE),0)</f>
        <v>0</v>
      </c>
      <c r="EK42">
        <f>IFERROR(VLOOKUP($B42,CrosstabPerutYitrotDB!$C$6:$N$50,5,FALSE),0)</f>
        <v>0</v>
      </c>
      <c r="EL42">
        <f>IFERROR(VLOOKUP($B42,CrosstabPerutYitrotDB!$C$6:$N$50,6,FALSE),0)</f>
        <v>0</v>
      </c>
      <c r="EM42">
        <f>IFERROR(VLOOKUP($B42,CrosstabPerutYitrotDB!$C$6:$N$50,7,FALSE),0)</f>
        <v>0</v>
      </c>
      <c r="EN42">
        <f>IFERROR(VLOOKUP($B42,CrosstabPerutYitrotDB!$C$6:$N$50,8,FALSE),0)</f>
        <v>0</v>
      </c>
      <c r="EO42">
        <f>IFERROR(VLOOKUP($B42,CrosstabPerutYitrotDB!$C$6:$N$50,9,FALSE),0)</f>
        <v>0</v>
      </c>
      <c r="EP42">
        <f>IFERROR(VLOOKUP($B42,CrosstabPerutYitrotDB!$C$6:$N$50,10,FALSE),0)</f>
        <v>0</v>
      </c>
      <c r="EQ42">
        <f>IFERROR(VLOOKUP($B42,CrosstabPerutYitrotDB!$C$6:$N$50,11,FALSE),0)</f>
        <v>0</v>
      </c>
    </row>
    <row r="43" spans="1:147" x14ac:dyDescent="0.2">
      <c r="A43">
        <f t="shared" si="46"/>
        <v>0</v>
      </c>
      <c r="B43" s="20">
        <f>RicusPolice!E40</f>
        <v>0</v>
      </c>
      <c r="C43" s="20">
        <f>RicusPolice!AL40</f>
        <v>0</v>
      </c>
      <c r="D43" s="20">
        <f>RicusPolice!F40</f>
        <v>0</v>
      </c>
      <c r="E43" s="20">
        <f>RicusPolice!R40</f>
        <v>0</v>
      </c>
      <c r="F43" s="20">
        <f>RicusPolice!N40</f>
        <v>0</v>
      </c>
      <c r="G43" s="20">
        <f>IFERROR(VLOOKUP($B43,PerutYitrot!$D$6:$P$100,4,FALSE),0)</f>
        <v>0</v>
      </c>
      <c r="H43" s="20">
        <f t="shared" si="29"/>
        <v>0</v>
      </c>
      <c r="I43" s="20">
        <f>RicusPolice!L40</f>
        <v>0</v>
      </c>
      <c r="J43" s="179">
        <f>IFERROR(VLOOKUP(TRIM(K43),MyData!$J$44:$K$50,2,FALSE),0)</f>
        <v>0</v>
      </c>
      <c r="K43" s="20">
        <f>RicusPolice!M40</f>
        <v>0</v>
      </c>
      <c r="L43" s="20">
        <f>RicusPolice!AM40</f>
        <v>0</v>
      </c>
      <c r="M43" s="20" t="str">
        <f>IF(B43&gt;0,RicusPolice!Y40," ")</f>
        <v xml:space="preserve"> </v>
      </c>
      <c r="N43" s="20" t="str">
        <f t="shared" si="30"/>
        <v/>
      </c>
      <c r="O43" s="20">
        <f>RicusPolice!N40</f>
        <v>0</v>
      </c>
      <c r="P43" s="20">
        <f>IFERROR(VLOOKUP(B43,PerutMasluleiHashkaa!$D$6:$R$100,4,FALSE),0)</f>
        <v>0</v>
      </c>
      <c r="Q43" s="19"/>
      <c r="R43" s="1011" t="str">
        <f>IF(B43&gt;0,RicusPolice!P42," ")</f>
        <v xml:space="preserve"> </v>
      </c>
      <c r="S43" s="20">
        <f>IFERROR(VLOOKUP($B43,'נתונים ידניים'!$B$9:$G$51,6,FALSE),0)</f>
        <v>0</v>
      </c>
      <c r="T43" s="21">
        <f>'נתונים ידניים'!J44</f>
        <v>0</v>
      </c>
      <c r="U43" s="21">
        <f>'נתונים ידניים'!K44</f>
        <v>0</v>
      </c>
      <c r="V43" s="20">
        <f>IFERROR(VLOOKUP($B43,PerutHafrashotLePolisa!$D$6:$N$50,2,FALSE),0)</f>
        <v>0</v>
      </c>
      <c r="W43" s="20">
        <f>IFERROR(VLOOKUP($B43,PerutHafrashotLePolisa!$D$6:$N$50,4,FALSE),0)</f>
        <v>0</v>
      </c>
      <c r="X43" s="20">
        <f>IFERROR(VLOOKUP($B43,PerutHafrashotLePolisa!$D$6:$N$50,3,FALSE),0)</f>
        <v>0</v>
      </c>
      <c r="Y43">
        <f t="shared" si="31"/>
        <v>0</v>
      </c>
      <c r="Z43">
        <f>RicusPolice!AP40</f>
        <v>0</v>
      </c>
      <c r="AA43">
        <f>IFERROR(VLOOKUP(B43,PirteiHaasaka!$D$6:$R$100,5,FALSE),0)</f>
        <v>0</v>
      </c>
      <c r="AC43">
        <f>IFERROR(VLOOKUP(B43,HafkadotMetchilatShanaAverages!$D$6:$E$100,2,FALSE),0)</f>
        <v>0</v>
      </c>
      <c r="AF43">
        <f>'נתונים ידניים'!L44</f>
        <v>0</v>
      </c>
      <c r="AG43">
        <f>IFERROR(VLOOKUP(B43,CrossTabYitraLeTkufa_till_2000!$D$6:$AB$100,6,FALSE),0)+IFERROR(VLOOKUP(B43,CrossTabYitraLeTkufa_after_2000!$D$6:$AB$100,6,FALSE),0)</f>
        <v>0</v>
      </c>
      <c r="AH43">
        <f>IFERROR(VLOOKUP(B43,CrossTabYitraLeTkufa_till_2000!$D$6:$AB$100,16,FALSE),0)</f>
        <v>0</v>
      </c>
      <c r="AI43">
        <f>IFERROR(VLOOKUP(B43,CrossTabYitraLeTkufa_after_2000!$D$6:$AB$100,16,FALSE),0)</f>
        <v>0</v>
      </c>
      <c r="AJ43">
        <f>IFERROR(VLOOKUP(B43,CrossTabYitraLeTkufa_till_2000!$D$6:$AB$100,17,FALSE),0)</f>
        <v>0</v>
      </c>
      <c r="AK43">
        <f>IFERROR(VLOOKUP(B43,CrossTabYitraLeTkufa_after_2000!$D$6:$AB$100,17,FALSE),0)</f>
        <v>0</v>
      </c>
      <c r="AL43" s="5">
        <f t="shared" si="32"/>
        <v>0</v>
      </c>
      <c r="AO43">
        <f>IFERROR(VLOOKUP(B43,PirteiKisuiBeMutzar_procerur!$C$6:$AA$100,2,FALSE),0)</f>
        <v>0</v>
      </c>
      <c r="AQ43">
        <f>IFERROR(VLOOKUP($B43,PirteiKisuiBeMutzar_procerur!$C$6:$AA$100,5,FALSE),0)</f>
        <v>0</v>
      </c>
      <c r="AR43">
        <f>IFERROR(VLOOKUP($B43,PirteiKisuiBeMutzar_procerur!$C$6:$AA$100,3,FALSE),0)</f>
        <v>0</v>
      </c>
      <c r="AS43">
        <f>IFERROR(VLOOKUP($B43,PirteiKisuiBeMutzar_procerur!$C$6:$AA$100,6,FALSE),0)</f>
        <v>0</v>
      </c>
      <c r="AT43">
        <f>IFERROR(VLOOKUP($B43,PirteiKisuiBeMutzar_procerur!$C$6:$AA$100,7,FALSE),0)</f>
        <v>0</v>
      </c>
      <c r="AX43" s="997">
        <f t="shared" si="33"/>
        <v>0</v>
      </c>
      <c r="AY43" s="997">
        <f t="shared" si="34"/>
        <v>0</v>
      </c>
      <c r="AZ43" s="997">
        <f t="shared" si="35"/>
        <v>0</v>
      </c>
      <c r="BA43" s="997">
        <f>IFERROR(FV(S43/100/12,'נתוני יסוד'!$B$16*12,AX43,AG43)*(-1),0)</f>
        <v>0</v>
      </c>
      <c r="BB43" s="997">
        <f>IFERROR(FV(S43/100/12,'נתוני יסוד'!$B$16*12,0,AH43)*(-1),0)</f>
        <v>0</v>
      </c>
      <c r="BC43" s="997">
        <f>IFERROR(FV(S43/100/12,'נתוני יסוד'!$B$16*12,AY43,AI43)*(-1),0)</f>
        <v>0</v>
      </c>
      <c r="BD43" s="997">
        <f>IFERROR(FV(S43/100/12,'נתוני יסוד'!$B$16*12,0,AJ43)*(-1),0)</f>
        <v>0</v>
      </c>
      <c r="BE43" s="997">
        <f>IFERROR(FV(S43/100/12,'נתוני יסוד'!$B$16*12,AZ43,AK43)*(-1),0)</f>
        <v>0</v>
      </c>
      <c r="BF43" s="997">
        <f t="shared" si="36"/>
        <v>0</v>
      </c>
      <c r="BG43" s="997">
        <f>IFERROR(FV(S43/100/12,'נתוני יסוד'!$B$16*12,AF43,AL43)*(-1),0)</f>
        <v>0</v>
      </c>
      <c r="BH43" s="997">
        <f t="shared" si="37"/>
        <v>0</v>
      </c>
      <c r="BI43" s="997">
        <f t="shared" si="38"/>
        <v>0</v>
      </c>
      <c r="BJ43" s="997">
        <f t="shared" si="39"/>
        <v>0</v>
      </c>
      <c r="BK43" s="997">
        <f t="shared" si="40"/>
        <v>0</v>
      </c>
      <c r="BL43" s="997">
        <f t="shared" si="47"/>
        <v>0</v>
      </c>
      <c r="BM43" s="997">
        <f t="shared" si="48"/>
        <v>0</v>
      </c>
      <c r="BN43" s="997">
        <f t="shared" si="49"/>
        <v>0</v>
      </c>
      <c r="BO43" s="997">
        <f t="shared" si="41"/>
        <v>0</v>
      </c>
      <c r="BP43" s="997">
        <f t="shared" si="50"/>
        <v>0</v>
      </c>
      <c r="BS43">
        <f t="shared" si="51"/>
        <v>0</v>
      </c>
      <c r="BT43">
        <f t="shared" si="52"/>
        <v>0</v>
      </c>
      <c r="BU43">
        <f t="shared" si="53"/>
        <v>0</v>
      </c>
      <c r="BV43">
        <f t="shared" si="42"/>
        <v>0</v>
      </c>
      <c r="BW43">
        <f t="shared" si="54"/>
        <v>0</v>
      </c>
      <c r="BY43" s="997">
        <f t="shared" si="55"/>
        <v>0</v>
      </c>
      <c r="BZ43" s="997">
        <f t="shared" si="56"/>
        <v>0</v>
      </c>
      <c r="CA43" s="997">
        <f t="shared" si="57"/>
        <v>0</v>
      </c>
      <c r="CB43" s="997">
        <f t="shared" si="43"/>
        <v>0</v>
      </c>
      <c r="CC43" s="997">
        <f t="shared" si="58"/>
        <v>0</v>
      </c>
      <c r="CD43" s="997">
        <f t="shared" si="13"/>
        <v>0</v>
      </c>
      <c r="CE43" s="997">
        <f t="shared" si="14"/>
        <v>0</v>
      </c>
      <c r="CF43" s="997">
        <f t="shared" si="15"/>
        <v>0</v>
      </c>
      <c r="CG43" s="997">
        <f t="shared" si="16"/>
        <v>0</v>
      </c>
      <c r="CH43" s="997">
        <f t="shared" si="17"/>
        <v>0</v>
      </c>
      <c r="CI43" s="997">
        <f t="shared" si="18"/>
        <v>0</v>
      </c>
      <c r="CJ43" s="997">
        <f t="shared" si="19"/>
        <v>0</v>
      </c>
      <c r="CK43" s="997"/>
      <c r="CL43" s="997"/>
      <c r="CM43" s="997">
        <f t="shared" si="59"/>
        <v>0</v>
      </c>
      <c r="CN43" s="997">
        <f t="shared" si="60"/>
        <v>0</v>
      </c>
      <c r="CO43" s="997">
        <f t="shared" si="61"/>
        <v>0</v>
      </c>
      <c r="CP43" s="997">
        <f t="shared" si="44"/>
        <v>0</v>
      </c>
      <c r="CQ43" s="997">
        <f t="shared" si="62"/>
        <v>0</v>
      </c>
      <c r="CR43" s="997">
        <f>IFERROR(VLOOKUP($B43,SchumeiBituahYesodi!$C$6:$AA$100,8,FALSE),0)</f>
        <v>0</v>
      </c>
      <c r="CS43" s="997">
        <f>IFERROR(VLOOKUP($B43,PirteiKisuiBeMutzar_procerur!$C$6:$AA$100,2,FALSE),0)</f>
        <v>0</v>
      </c>
      <c r="CT43" s="997">
        <f>IFERROR(VLOOKUP($B43,PirteiKisuiBeMutzar_procerur!$C$6:$AA$100,3,FALSE),0)</f>
        <v>0</v>
      </c>
      <c r="CU43" s="997">
        <f>IFERROR(VLOOKUP($B43,PirteiKisuiBeMutzar_procerur!$C$6:$AA$100,4,FALSE),0)</f>
        <v>0</v>
      </c>
      <c r="CV43" s="997">
        <f>IFERROR(VLOOKUP($B43,PirteiKisuiBeMutzar_procerur!$C$6:$AA$100,5,FALSE),0)</f>
        <v>0</v>
      </c>
      <c r="CW43" s="997">
        <f>IFERROR(VLOOKUP($B43,PirteiKisuiBeMutzar_procerur!$C$6:$AA$100,6,FALSE),0)</f>
        <v>0</v>
      </c>
      <c r="CX43" s="997">
        <f>IFERROR(VLOOKUP($B43,PirteiKisuiBeMutzar_procerur!$C$6:$AA$100,7,FALSE),0)</f>
        <v>0</v>
      </c>
      <c r="CY43" s="997">
        <f>IFERROR(VLOOKUP($B43,PirteiKisuiBeMutzar_procerur!$C$6:$AA$100,8,FALSE),0)</f>
        <v>0</v>
      </c>
      <c r="CZ43" s="997">
        <f>IFERROR(VLOOKUP($B43,PirteiKisuiBeMutzar_procerur!$C$6:$AA$100,9,FALSE),0)</f>
        <v>0</v>
      </c>
      <c r="DA43" s="997">
        <f>IFERROR(VLOOKUP($B43,PirteiKisuiBeMutzar_procerur!$C$6:$AA$100,10,FALSE),0)</f>
        <v>0</v>
      </c>
      <c r="DB43" s="997">
        <f>IFERROR(VLOOKUP($B43,PirteiKisuiBeMutzar_procerur!$C$6:$AA$100,11,FALSE),0)</f>
        <v>0</v>
      </c>
      <c r="DC43" s="997">
        <f>IFERROR(VLOOKUP($B43,PirteiKisuiBeMutzarPrmia!$C$6:$Z$100,2,FALSE),0)</f>
        <v>0</v>
      </c>
      <c r="DD43" s="997">
        <f>IFERROR(VLOOKUP($B43,PirteiKisuiBeMutzarPrmia!$C$6:$Z$100,3,FALSE),0)</f>
        <v>0</v>
      </c>
      <c r="DE43" s="997">
        <f>IFERROR(VLOOKUP($B43,PirteiKisuiBeMutzarPrmia!$C$6:$Z$100,4,FALSE),0)</f>
        <v>0</v>
      </c>
      <c r="DF43" s="997">
        <f>IFERROR(VLOOKUP($B43,PirteiKisuiBeMutzarPrmia!$C$6:$Z$100,5,FALSE),0)</f>
        <v>0</v>
      </c>
      <c r="DG43" s="997">
        <f>IFERROR(VLOOKUP($B43,PirteiKisuiBeMutzarPrmia!$C$6:$Z$100,6,FALSE),0)</f>
        <v>0</v>
      </c>
      <c r="DH43" s="997">
        <f>IFERROR(VLOOKUP($B43,PirteiKisuiBeMutzarPrmia!$C$6:$Z$100,7,FALSE),0)</f>
        <v>0</v>
      </c>
      <c r="DI43" s="997">
        <f>IFERROR(VLOOKUP($B43,PirteiKisuiBeMutzarPrmia!$C$6:$Z$100,8,FALSE),0)</f>
        <v>0</v>
      </c>
      <c r="DJ43" s="997">
        <f>IFERROR(VLOOKUP($B43,PirteiKisuiBeMutzarPrmia!$C$6:$Z$100,9,FALSE),0)</f>
        <v>0</v>
      </c>
      <c r="DK43" s="997">
        <f>IFERROR(VLOOKUP($B43,PirteiKisuiBeMutzarPrmia!$C$6:$Z$100,10,FALSE),0)</f>
        <v>0</v>
      </c>
      <c r="DL43" s="997">
        <f>IFERROR(VLOOKUP($B43,PirteiKisuiBeMutzarPrmia!$C$6:$Z$100,11,FALSE),0)</f>
        <v>0</v>
      </c>
      <c r="DM43" s="997">
        <f t="shared" si="24"/>
        <v>0</v>
      </c>
      <c r="DN43" s="997">
        <f t="shared" si="63"/>
        <v>0</v>
      </c>
      <c r="DO43" s="997">
        <f t="shared" si="64"/>
        <v>0</v>
      </c>
      <c r="DP43" s="997">
        <f t="shared" si="27"/>
        <v>0</v>
      </c>
      <c r="DQ43" s="997">
        <f t="shared" si="65"/>
        <v>0</v>
      </c>
      <c r="DR43" s="997">
        <f>IF(OR(L43=1,L43=3),IFERROR(VLOOKUP($B43,PerutHafkadotMetchilatShanaAvgM!$C$6:$G$100,3,FALSE),0),0)</f>
        <v>0</v>
      </c>
      <c r="DS43" s="997">
        <f>IF(OR(L43=2,L43=4),IFERROR(VLOOKUP($B43,PerutHafkadotMetchilatShanaAvgM!$C$6:$G$100,3,FALSE),0),0)</f>
        <v>0</v>
      </c>
      <c r="DT43" s="997">
        <f>IFERROR(VLOOKUP($B43,PerutHafkadotMetchilatShanaAvgM!$C$6:$G$100,4,FALSE),0)</f>
        <v>0</v>
      </c>
      <c r="DU43" s="997">
        <f>IFERROR(VLOOKUP($B43,Kupa!$D$6:$AA$100,5,FALSE),0)</f>
        <v>0</v>
      </c>
      <c r="DV43" s="997">
        <f>IFERROR(VLOOKUP($B43,Kupa!$D$6:$AA$100,6,FALSE),0)</f>
        <v>0</v>
      </c>
      <c r="DW43" s="997">
        <f>IFERROR(VLOOKUP($B43,KisuiBKerenPensiaDBWithParams!$D$6:$AP$100,9,FALSE),0)</f>
        <v>0</v>
      </c>
      <c r="DX43" s="997">
        <f>IFERROR(VLOOKUP($B43,KisuiBKerenPensiaDBWithParams!$D$6:$AP$100,12,FALSE),0)</f>
        <v>0</v>
      </c>
      <c r="DY43" s="997">
        <f>IFERROR(VLOOKUP($B43,KisuiBKerenPensiaDBWithParams!$D$6:$AP$100,13,FALSE),0)</f>
        <v>0</v>
      </c>
      <c r="DZ43" s="997">
        <f>IFERROR(VLOOKUP($B43,KisuiBKerenPensiaDBWithParams!$D$6:$AP$100,7,FALSE),0)</f>
        <v>0</v>
      </c>
      <c r="EA43" s="997">
        <f>IFERROR(VLOOKUP($B43,KisuiBKerenPensiaDBWithParams!$D$6:$AP$100,17,FALSE),0)</f>
        <v>0</v>
      </c>
      <c r="EB43" s="997">
        <f>IFERROR(VLOOKUP($B43,KisuiBKerenPensiaDBWithParams!$D$6:$AP$100,20,FALSE),0)</f>
        <v>0</v>
      </c>
      <c r="EC43" s="997">
        <f>IFERROR(VLOOKUP($B43,KisuiBKerenPensiaDBWithParams!$D$6:$AP$100,21,FALSE),0)</f>
        <v>0</v>
      </c>
      <c r="ED43" s="997">
        <f t="shared" si="45"/>
        <v>0</v>
      </c>
      <c r="EE43" s="997"/>
      <c r="EF43" s="1020">
        <f>IFERROR(VLOOKUP($B43,KisuiBKerenPensiaDBWithParams!$D$6:$AP$100,21,FALSE),0)</f>
        <v>0</v>
      </c>
      <c r="EG43" s="1020">
        <f>IFERROR(VLOOKUP($B43,KisuiBKerenPensiaDBWithParams!$D$6:$AP$100,21,FALSE),0)</f>
        <v>0</v>
      </c>
      <c r="EH43">
        <f>IF(OR(G43=MyData!$J$51,G43=MyData!$J$52,G43=MyData!$J$53),1,IF(G43=MyData!$J$50,2,0))</f>
        <v>0</v>
      </c>
      <c r="EI43">
        <f>IFERROR(VLOOKUP($B43,CrosstabPerutYitrotDB!$C$6:$N$50,3,FALSE),0)</f>
        <v>0</v>
      </c>
      <c r="EJ43">
        <f>IFERROR(VLOOKUP($B43,CrosstabPerutYitrotDB!$C$6:$N$50,4,FALSE),0)</f>
        <v>0</v>
      </c>
      <c r="EK43">
        <f>IFERROR(VLOOKUP($B43,CrosstabPerutYitrotDB!$C$6:$N$50,5,FALSE),0)</f>
        <v>0</v>
      </c>
      <c r="EL43">
        <f>IFERROR(VLOOKUP($B43,CrosstabPerutYitrotDB!$C$6:$N$50,6,FALSE),0)</f>
        <v>0</v>
      </c>
      <c r="EM43">
        <f>IFERROR(VLOOKUP($B43,CrosstabPerutYitrotDB!$C$6:$N$50,7,FALSE),0)</f>
        <v>0</v>
      </c>
      <c r="EN43">
        <f>IFERROR(VLOOKUP($B43,CrosstabPerutYitrotDB!$C$6:$N$50,8,FALSE),0)</f>
        <v>0</v>
      </c>
      <c r="EO43">
        <f>IFERROR(VLOOKUP($B43,CrosstabPerutYitrotDB!$C$6:$N$50,9,FALSE),0)</f>
        <v>0</v>
      </c>
      <c r="EP43">
        <f>IFERROR(VLOOKUP($B43,CrosstabPerutYitrotDB!$C$6:$N$50,10,FALSE),0)</f>
        <v>0</v>
      </c>
      <c r="EQ43">
        <f>IFERROR(VLOOKUP($B43,CrosstabPerutYitrotDB!$C$6:$N$50,11,FALSE),0)</f>
        <v>0</v>
      </c>
    </row>
    <row r="44" spans="1:147" x14ac:dyDescent="0.2">
      <c r="A44">
        <f t="shared" si="46"/>
        <v>0</v>
      </c>
      <c r="B44" s="20">
        <f>RicusPolice!E41</f>
        <v>0</v>
      </c>
      <c r="C44" s="20">
        <f>RicusPolice!AL41</f>
        <v>0</v>
      </c>
      <c r="D44" s="20">
        <f>RicusPolice!F41</f>
        <v>0</v>
      </c>
      <c r="E44" s="20">
        <f>RicusPolice!R41</f>
        <v>0</v>
      </c>
      <c r="F44" s="20">
        <f>RicusPolice!N41</f>
        <v>0</v>
      </c>
      <c r="G44" s="20">
        <f>IFERROR(VLOOKUP($B44,PerutYitrot!$D$6:$P$100,4,FALSE),0)</f>
        <v>0</v>
      </c>
      <c r="H44" s="20">
        <f t="shared" si="29"/>
        <v>0</v>
      </c>
      <c r="I44" s="20">
        <f>RicusPolice!L41</f>
        <v>0</v>
      </c>
      <c r="J44" s="179">
        <f>IFERROR(VLOOKUP(TRIM(K44),MyData!$J$44:$K$50,2,FALSE),0)</f>
        <v>0</v>
      </c>
      <c r="K44" s="20">
        <f>RicusPolice!M41</f>
        <v>0</v>
      </c>
      <c r="L44" s="20">
        <f>RicusPolice!AM41</f>
        <v>0</v>
      </c>
      <c r="M44" s="20" t="str">
        <f>IF(B44&gt;0,RicusPolice!Y41," ")</f>
        <v xml:space="preserve"> </v>
      </c>
      <c r="N44" s="20" t="str">
        <f t="shared" si="30"/>
        <v/>
      </c>
      <c r="O44" s="20">
        <f>RicusPolice!N41</f>
        <v>0</v>
      </c>
      <c r="P44" s="20">
        <f>IFERROR(VLOOKUP(B44,PerutMasluleiHashkaa!$D$6:$R$100,4,FALSE),0)</f>
        <v>0</v>
      </c>
      <c r="Q44" s="19"/>
      <c r="R44" s="1011" t="str">
        <f>IF(B44&gt;0,RicusPolice!P43," ")</f>
        <v xml:space="preserve"> </v>
      </c>
      <c r="S44" s="20">
        <f>IFERROR(VLOOKUP($B44,'נתונים ידניים'!$B$9:$G$51,6,FALSE),0)</f>
        <v>0</v>
      </c>
      <c r="T44" s="21">
        <f>'נתונים ידניים'!J45</f>
        <v>0</v>
      </c>
      <c r="U44" s="21">
        <f>'נתונים ידניים'!K45</f>
        <v>0</v>
      </c>
      <c r="V44" s="20">
        <f>IFERROR(VLOOKUP($B44,PerutHafrashotLePolisa!$D$6:$N$50,2,FALSE),0)</f>
        <v>0</v>
      </c>
      <c r="W44" s="20">
        <f>IFERROR(VLOOKUP($B44,PerutHafrashotLePolisa!$D$6:$N$50,4,FALSE),0)</f>
        <v>0</v>
      </c>
      <c r="X44" s="20">
        <f>IFERROR(VLOOKUP($B44,PerutHafrashotLePolisa!$D$6:$N$50,3,FALSE),0)</f>
        <v>0</v>
      </c>
      <c r="Y44">
        <f t="shared" si="31"/>
        <v>0</v>
      </c>
      <c r="Z44">
        <f>RicusPolice!AP41</f>
        <v>0</v>
      </c>
      <c r="AA44">
        <f>IFERROR(VLOOKUP(B44,PirteiHaasaka!$D$6:$R$100,5,FALSE),0)</f>
        <v>0</v>
      </c>
      <c r="AC44">
        <f>IFERROR(VLOOKUP(B44,HafkadotMetchilatShanaAverages!$D$6:$E$100,2,FALSE),0)</f>
        <v>0</v>
      </c>
      <c r="AF44">
        <f>'נתונים ידניים'!L45</f>
        <v>0</v>
      </c>
      <c r="AG44">
        <f>IFERROR(VLOOKUP(B44,CrossTabYitraLeTkufa_till_2000!$D$6:$AB$100,6,FALSE),0)+IFERROR(VLOOKUP(B44,CrossTabYitraLeTkufa_after_2000!$D$6:$AB$100,6,FALSE),0)</f>
        <v>0</v>
      </c>
      <c r="AH44">
        <f>IFERROR(VLOOKUP(B44,CrossTabYitraLeTkufa_till_2000!$D$6:$AB$100,16,FALSE),0)</f>
        <v>0</v>
      </c>
      <c r="AI44">
        <f>IFERROR(VLOOKUP(B44,CrossTabYitraLeTkufa_after_2000!$D$6:$AB$100,16,FALSE),0)</f>
        <v>0</v>
      </c>
      <c r="AJ44">
        <f>IFERROR(VLOOKUP(B44,CrossTabYitraLeTkufa_till_2000!$D$6:$AB$100,17,FALSE),0)</f>
        <v>0</v>
      </c>
      <c r="AK44">
        <f>IFERROR(VLOOKUP(B44,CrossTabYitraLeTkufa_after_2000!$D$6:$AB$100,17,FALSE),0)</f>
        <v>0</v>
      </c>
      <c r="AL44" s="5">
        <f t="shared" si="32"/>
        <v>0</v>
      </c>
      <c r="AO44">
        <f>IFERROR(VLOOKUP(B44,PirteiKisuiBeMutzar_procerur!$C$6:$AA$100,2,FALSE),0)</f>
        <v>0</v>
      </c>
      <c r="AQ44">
        <f>IFERROR(VLOOKUP($B44,PirteiKisuiBeMutzar_procerur!$C$6:$AA$100,5,FALSE),0)</f>
        <v>0</v>
      </c>
      <c r="AR44">
        <f>IFERROR(VLOOKUP($B44,PirteiKisuiBeMutzar_procerur!$C$6:$AA$100,3,FALSE),0)</f>
        <v>0</v>
      </c>
      <c r="AS44">
        <f>IFERROR(VLOOKUP($B44,PirteiKisuiBeMutzar_procerur!$C$6:$AA$100,6,FALSE),0)</f>
        <v>0</v>
      </c>
      <c r="AT44">
        <f>IFERROR(VLOOKUP($B44,PirteiKisuiBeMutzar_procerur!$C$6:$AA$100,7,FALSE),0)</f>
        <v>0</v>
      </c>
      <c r="AX44" s="997">
        <f t="shared" si="33"/>
        <v>0</v>
      </c>
      <c r="AY44" s="997">
        <f t="shared" si="34"/>
        <v>0</v>
      </c>
      <c r="AZ44" s="997">
        <f t="shared" si="35"/>
        <v>0</v>
      </c>
      <c r="BA44" s="997">
        <f>IFERROR(FV(S44/100/12,'נתוני יסוד'!$B$16*12,AX44,AG44)*(-1),0)</f>
        <v>0</v>
      </c>
      <c r="BB44" s="997">
        <f>IFERROR(FV(S44/100/12,'נתוני יסוד'!$B$16*12,0,AH44)*(-1),0)</f>
        <v>0</v>
      </c>
      <c r="BC44" s="997">
        <f>IFERROR(FV(S44/100/12,'נתוני יסוד'!$B$16*12,AY44,AI44)*(-1),0)</f>
        <v>0</v>
      </c>
      <c r="BD44" s="997">
        <f>IFERROR(FV(S44/100/12,'נתוני יסוד'!$B$16*12,0,AJ44)*(-1),0)</f>
        <v>0</v>
      </c>
      <c r="BE44" s="997">
        <f>IFERROR(FV(S44/100/12,'נתוני יסוד'!$B$16*12,AZ44,AK44)*(-1),0)</f>
        <v>0</v>
      </c>
      <c r="BF44" s="997">
        <f t="shared" si="36"/>
        <v>0</v>
      </c>
      <c r="BG44" s="997">
        <f>IFERROR(FV(S44/100/12,'נתוני יסוד'!$B$16*12,AF44,AL44)*(-1),0)</f>
        <v>0</v>
      </c>
      <c r="BH44" s="997">
        <f t="shared" si="37"/>
        <v>0</v>
      </c>
      <c r="BI44" s="997">
        <f t="shared" si="38"/>
        <v>0</v>
      </c>
      <c r="BJ44" s="997">
        <f t="shared" si="39"/>
        <v>0</v>
      </c>
      <c r="BK44" s="997">
        <f t="shared" si="40"/>
        <v>0</v>
      </c>
      <c r="BL44" s="997">
        <f t="shared" si="47"/>
        <v>0</v>
      </c>
      <c r="BM44" s="997">
        <f t="shared" si="48"/>
        <v>0</v>
      </c>
      <c r="BN44" s="997">
        <f t="shared" si="49"/>
        <v>0</v>
      </c>
      <c r="BO44" s="997">
        <f t="shared" si="41"/>
        <v>0</v>
      </c>
      <c r="BP44" s="997">
        <f t="shared" si="50"/>
        <v>0</v>
      </c>
      <c r="BS44">
        <f t="shared" si="51"/>
        <v>0</v>
      </c>
      <c r="BT44">
        <f t="shared" si="52"/>
        <v>0</v>
      </c>
      <c r="BU44">
        <f t="shared" si="53"/>
        <v>0</v>
      </c>
      <c r="BV44">
        <f t="shared" si="42"/>
        <v>0</v>
      </c>
      <c r="BW44">
        <f t="shared" si="54"/>
        <v>0</v>
      </c>
      <c r="BY44" s="997">
        <f t="shared" si="55"/>
        <v>0</v>
      </c>
      <c r="BZ44" s="997">
        <f t="shared" si="56"/>
        <v>0</v>
      </c>
      <c r="CA44" s="997">
        <f t="shared" si="57"/>
        <v>0</v>
      </c>
      <c r="CB44" s="997">
        <f t="shared" si="43"/>
        <v>0</v>
      </c>
      <c r="CC44" s="997">
        <f t="shared" si="58"/>
        <v>0</v>
      </c>
      <c r="CD44" s="997">
        <f t="shared" si="13"/>
        <v>0</v>
      </c>
      <c r="CE44" s="997">
        <f t="shared" si="14"/>
        <v>0</v>
      </c>
      <c r="CF44" s="997">
        <f t="shared" si="15"/>
        <v>0</v>
      </c>
      <c r="CG44" s="997">
        <f t="shared" si="16"/>
        <v>0</v>
      </c>
      <c r="CH44" s="997">
        <f t="shared" si="17"/>
        <v>0</v>
      </c>
      <c r="CI44" s="997">
        <f t="shared" si="18"/>
        <v>0</v>
      </c>
      <c r="CJ44" s="997">
        <f t="shared" si="19"/>
        <v>0</v>
      </c>
      <c r="CK44" s="997"/>
      <c r="CL44" s="997"/>
      <c r="CM44" s="997">
        <f t="shared" si="59"/>
        <v>0</v>
      </c>
      <c r="CN44" s="997">
        <f t="shared" si="60"/>
        <v>0</v>
      </c>
      <c r="CO44" s="997">
        <f t="shared" si="61"/>
        <v>0</v>
      </c>
      <c r="CP44" s="997">
        <f t="shared" si="44"/>
        <v>0</v>
      </c>
      <c r="CQ44" s="997">
        <f t="shared" si="62"/>
        <v>0</v>
      </c>
      <c r="CR44" s="997">
        <f>IFERROR(VLOOKUP($B44,SchumeiBituahYesodi!$C$6:$AA$100,8,FALSE),0)</f>
        <v>0</v>
      </c>
      <c r="CS44" s="997">
        <f>IFERROR(VLOOKUP($B44,PirteiKisuiBeMutzar_procerur!$C$6:$AA$100,2,FALSE),0)</f>
        <v>0</v>
      </c>
      <c r="CT44" s="997">
        <f>IFERROR(VLOOKUP($B44,PirteiKisuiBeMutzar_procerur!$C$6:$AA$100,3,FALSE),0)</f>
        <v>0</v>
      </c>
      <c r="CU44" s="997">
        <f>IFERROR(VLOOKUP($B44,PirteiKisuiBeMutzar_procerur!$C$6:$AA$100,4,FALSE),0)</f>
        <v>0</v>
      </c>
      <c r="CV44" s="997">
        <f>IFERROR(VLOOKUP($B44,PirteiKisuiBeMutzar_procerur!$C$6:$AA$100,5,FALSE),0)</f>
        <v>0</v>
      </c>
      <c r="CW44" s="997">
        <f>IFERROR(VLOOKUP($B44,PirteiKisuiBeMutzar_procerur!$C$6:$AA$100,6,FALSE),0)</f>
        <v>0</v>
      </c>
      <c r="CX44" s="997">
        <f>IFERROR(VLOOKUP($B44,PirteiKisuiBeMutzar_procerur!$C$6:$AA$100,7,FALSE),0)</f>
        <v>0</v>
      </c>
      <c r="CY44" s="997">
        <f>IFERROR(VLOOKUP($B44,PirteiKisuiBeMutzar_procerur!$C$6:$AA$100,8,FALSE),0)</f>
        <v>0</v>
      </c>
      <c r="CZ44" s="997">
        <f>IFERROR(VLOOKUP($B44,PirteiKisuiBeMutzar_procerur!$C$6:$AA$100,9,FALSE),0)</f>
        <v>0</v>
      </c>
      <c r="DA44" s="997">
        <f>IFERROR(VLOOKUP($B44,PirteiKisuiBeMutzar_procerur!$C$6:$AA$100,10,FALSE),0)</f>
        <v>0</v>
      </c>
      <c r="DB44" s="997">
        <f>IFERROR(VLOOKUP($B44,PirteiKisuiBeMutzar_procerur!$C$6:$AA$100,11,FALSE),0)</f>
        <v>0</v>
      </c>
      <c r="DC44" s="997">
        <f>IFERROR(VLOOKUP($B44,PirteiKisuiBeMutzarPrmia!$C$6:$Z$100,2,FALSE),0)</f>
        <v>0</v>
      </c>
      <c r="DD44" s="997">
        <f>IFERROR(VLOOKUP($B44,PirteiKisuiBeMutzarPrmia!$C$6:$Z$100,3,FALSE),0)</f>
        <v>0</v>
      </c>
      <c r="DE44" s="997">
        <f>IFERROR(VLOOKUP($B44,PirteiKisuiBeMutzarPrmia!$C$6:$Z$100,4,FALSE),0)</f>
        <v>0</v>
      </c>
      <c r="DF44" s="997">
        <f>IFERROR(VLOOKUP($B44,PirteiKisuiBeMutzarPrmia!$C$6:$Z$100,5,FALSE),0)</f>
        <v>0</v>
      </c>
      <c r="DG44" s="997">
        <f>IFERROR(VLOOKUP($B44,PirteiKisuiBeMutzarPrmia!$C$6:$Z$100,6,FALSE),0)</f>
        <v>0</v>
      </c>
      <c r="DH44" s="997">
        <f>IFERROR(VLOOKUP($B44,PirteiKisuiBeMutzarPrmia!$C$6:$Z$100,7,FALSE),0)</f>
        <v>0</v>
      </c>
      <c r="DI44" s="997">
        <f>IFERROR(VLOOKUP($B44,PirteiKisuiBeMutzarPrmia!$C$6:$Z$100,8,FALSE),0)</f>
        <v>0</v>
      </c>
      <c r="DJ44" s="997">
        <f>IFERROR(VLOOKUP($B44,PirteiKisuiBeMutzarPrmia!$C$6:$Z$100,9,FALSE),0)</f>
        <v>0</v>
      </c>
      <c r="DK44" s="997">
        <f>IFERROR(VLOOKUP($B44,PirteiKisuiBeMutzarPrmia!$C$6:$Z$100,10,FALSE),0)</f>
        <v>0</v>
      </c>
      <c r="DL44" s="997">
        <f>IFERROR(VLOOKUP($B44,PirteiKisuiBeMutzarPrmia!$C$6:$Z$100,11,FALSE),0)</f>
        <v>0</v>
      </c>
      <c r="DM44" s="997">
        <f t="shared" si="24"/>
        <v>0</v>
      </c>
      <c r="DN44" s="997">
        <f t="shared" si="63"/>
        <v>0</v>
      </c>
      <c r="DO44" s="997">
        <f t="shared" si="64"/>
        <v>0</v>
      </c>
      <c r="DP44" s="997">
        <f t="shared" si="27"/>
        <v>0</v>
      </c>
      <c r="DQ44" s="997">
        <f t="shared" si="65"/>
        <v>0</v>
      </c>
      <c r="DR44" s="997">
        <f>IF(OR(L44=1,L44=3),IFERROR(VLOOKUP($B44,PerutHafkadotMetchilatShanaAvgM!$C$6:$G$100,3,FALSE),0),0)</f>
        <v>0</v>
      </c>
      <c r="DS44" s="997">
        <f>IF(OR(L44=2,L44=4),IFERROR(VLOOKUP($B44,PerutHafkadotMetchilatShanaAvgM!$C$6:$G$100,3,FALSE),0),0)</f>
        <v>0</v>
      </c>
      <c r="DT44" s="997">
        <f>IFERROR(VLOOKUP($B44,PerutHafkadotMetchilatShanaAvgM!$C$6:$G$100,4,FALSE),0)</f>
        <v>0</v>
      </c>
      <c r="DU44" s="997">
        <f>IFERROR(VLOOKUP($B44,Kupa!$D$6:$AA$100,5,FALSE),0)</f>
        <v>0</v>
      </c>
      <c r="DV44" s="997">
        <f>IFERROR(VLOOKUP($B44,Kupa!$D$6:$AA$100,6,FALSE),0)</f>
        <v>0</v>
      </c>
      <c r="DW44" s="997">
        <f>IFERROR(VLOOKUP($B44,KisuiBKerenPensiaDBWithParams!$D$6:$AP$100,9,FALSE),0)</f>
        <v>0</v>
      </c>
      <c r="DX44" s="997">
        <f>IFERROR(VLOOKUP($B44,KisuiBKerenPensiaDBWithParams!$D$6:$AP$100,12,FALSE),0)</f>
        <v>0</v>
      </c>
      <c r="DY44" s="997">
        <f>IFERROR(VLOOKUP($B44,KisuiBKerenPensiaDBWithParams!$D$6:$AP$100,13,FALSE),0)</f>
        <v>0</v>
      </c>
      <c r="DZ44" s="997">
        <f>IFERROR(VLOOKUP($B44,KisuiBKerenPensiaDBWithParams!$D$6:$AP$100,7,FALSE),0)</f>
        <v>0</v>
      </c>
      <c r="EA44" s="997">
        <f>IFERROR(VLOOKUP($B44,KisuiBKerenPensiaDBWithParams!$D$6:$AP$100,17,FALSE),0)</f>
        <v>0</v>
      </c>
      <c r="EB44" s="997">
        <f>IFERROR(VLOOKUP($B44,KisuiBKerenPensiaDBWithParams!$D$6:$AP$100,20,FALSE),0)</f>
        <v>0</v>
      </c>
      <c r="EC44" s="997">
        <f>IFERROR(VLOOKUP($B44,KisuiBKerenPensiaDBWithParams!$D$6:$AP$100,21,FALSE),0)</f>
        <v>0</v>
      </c>
      <c r="ED44" s="997">
        <f t="shared" si="45"/>
        <v>0</v>
      </c>
      <c r="EE44" s="997"/>
      <c r="EF44" s="1020">
        <f>IFERROR(VLOOKUP($B44,KisuiBKerenPensiaDBWithParams!$D$6:$AP$100,21,FALSE),0)</f>
        <v>0</v>
      </c>
      <c r="EG44" s="1020">
        <f>IFERROR(VLOOKUP($B44,KisuiBKerenPensiaDBWithParams!$D$6:$AP$100,21,FALSE),0)</f>
        <v>0</v>
      </c>
      <c r="EH44">
        <f>IF(OR(G44=MyData!$J$51,G44=MyData!$J$52,G44=MyData!$J$53),1,IF(G44=MyData!$J$50,2,0))</f>
        <v>0</v>
      </c>
      <c r="EI44">
        <f>IFERROR(VLOOKUP($B44,CrosstabPerutYitrotDB!$C$6:$N$50,3,FALSE),0)</f>
        <v>0</v>
      </c>
      <c r="EJ44">
        <f>IFERROR(VLOOKUP($B44,CrosstabPerutYitrotDB!$C$6:$N$50,4,FALSE),0)</f>
        <v>0</v>
      </c>
      <c r="EK44">
        <f>IFERROR(VLOOKUP($B44,CrosstabPerutYitrotDB!$C$6:$N$50,5,FALSE),0)</f>
        <v>0</v>
      </c>
      <c r="EL44">
        <f>IFERROR(VLOOKUP($B44,CrosstabPerutYitrotDB!$C$6:$N$50,6,FALSE),0)</f>
        <v>0</v>
      </c>
      <c r="EM44">
        <f>IFERROR(VLOOKUP($B44,CrosstabPerutYitrotDB!$C$6:$N$50,7,FALSE),0)</f>
        <v>0</v>
      </c>
      <c r="EN44">
        <f>IFERROR(VLOOKUP($B44,CrosstabPerutYitrotDB!$C$6:$N$50,8,FALSE),0)</f>
        <v>0</v>
      </c>
      <c r="EO44">
        <f>IFERROR(VLOOKUP($B44,CrosstabPerutYitrotDB!$C$6:$N$50,9,FALSE),0)</f>
        <v>0</v>
      </c>
      <c r="EP44">
        <f>IFERROR(VLOOKUP($B44,CrosstabPerutYitrotDB!$C$6:$N$50,10,FALSE),0)</f>
        <v>0</v>
      </c>
      <c r="EQ44">
        <f>IFERROR(VLOOKUP($B44,CrosstabPerutYitrotDB!$C$6:$N$50,11,FALSE),0)</f>
        <v>0</v>
      </c>
    </row>
    <row r="45" spans="1:147" x14ac:dyDescent="0.2">
      <c r="A45">
        <f t="shared" si="46"/>
        <v>0</v>
      </c>
      <c r="B45" s="20">
        <f>RicusPolice!E42</f>
        <v>0</v>
      </c>
      <c r="C45" s="20">
        <f>RicusPolice!AL42</f>
        <v>0</v>
      </c>
      <c r="D45" s="20">
        <f>RicusPolice!F42</f>
        <v>0</v>
      </c>
      <c r="E45" s="20">
        <f>RicusPolice!R42</f>
        <v>0</v>
      </c>
      <c r="F45" s="20">
        <f>RicusPolice!N42</f>
        <v>0</v>
      </c>
      <c r="G45" s="20">
        <f>IFERROR(VLOOKUP($B45,PerutYitrot!$D$6:$P$100,4,FALSE),0)</f>
        <v>0</v>
      </c>
      <c r="H45" s="20">
        <f t="shared" si="29"/>
        <v>0</v>
      </c>
      <c r="I45" s="20">
        <f>RicusPolice!L42</f>
        <v>0</v>
      </c>
      <c r="J45" s="179">
        <f>IFERROR(VLOOKUP(TRIM(K45),MyData!$J$44:$K$50,2,FALSE),0)</f>
        <v>0</v>
      </c>
      <c r="K45" s="20">
        <f>RicusPolice!M42</f>
        <v>0</v>
      </c>
      <c r="L45" s="20">
        <f>RicusPolice!AM42</f>
        <v>0</v>
      </c>
      <c r="M45" s="20" t="str">
        <f>IF(B45&gt;0,RicusPolice!Y42," ")</f>
        <v xml:space="preserve"> </v>
      </c>
      <c r="N45" s="20" t="str">
        <f t="shared" si="30"/>
        <v/>
      </c>
      <c r="O45" s="20">
        <f>RicusPolice!N42</f>
        <v>0</v>
      </c>
      <c r="P45" s="20">
        <f>IFERROR(VLOOKUP(B45,PerutMasluleiHashkaa!$D$6:$R$100,4,FALSE),0)</f>
        <v>0</v>
      </c>
      <c r="Q45" s="19"/>
      <c r="R45" s="1011" t="str">
        <f>IF(B45&gt;0,RicusPolice!P44," ")</f>
        <v xml:space="preserve"> </v>
      </c>
      <c r="S45" s="20">
        <f>IFERROR(VLOOKUP($B45,'נתונים ידניים'!$B$9:$G$51,6,FALSE),0)</f>
        <v>0</v>
      </c>
      <c r="T45" s="21">
        <f>'נתונים ידניים'!J46</f>
        <v>0</v>
      </c>
      <c r="U45" s="21">
        <f>'נתונים ידניים'!K46</f>
        <v>0</v>
      </c>
      <c r="V45" s="20">
        <f>IFERROR(VLOOKUP($B45,PerutHafrashotLePolisa!$D$6:$N$50,2,FALSE),0)</f>
        <v>0</v>
      </c>
      <c r="W45" s="20">
        <f>IFERROR(VLOOKUP($B45,PerutHafrashotLePolisa!$D$6:$N$50,4,FALSE),0)</f>
        <v>0</v>
      </c>
      <c r="X45" s="20">
        <f>IFERROR(VLOOKUP($B45,PerutHafrashotLePolisa!$D$6:$N$50,3,FALSE),0)</f>
        <v>0</v>
      </c>
      <c r="Y45">
        <f t="shared" si="31"/>
        <v>0</v>
      </c>
      <c r="Z45">
        <f>RicusPolice!AP42</f>
        <v>0</v>
      </c>
      <c r="AA45">
        <f>IFERROR(VLOOKUP(B45,PirteiHaasaka!$D$6:$R$100,5,FALSE),0)</f>
        <v>0</v>
      </c>
      <c r="AC45">
        <f>IFERROR(VLOOKUP(B45,HafkadotMetchilatShanaAverages!$D$6:$E$100,2,FALSE),0)</f>
        <v>0</v>
      </c>
      <c r="AF45">
        <f>'נתונים ידניים'!L46</f>
        <v>0</v>
      </c>
      <c r="AG45">
        <f>IFERROR(VLOOKUP(B45,CrossTabYitraLeTkufa_till_2000!$D$6:$AB$100,6,FALSE),0)+IFERROR(VLOOKUP(B45,CrossTabYitraLeTkufa_after_2000!$D$6:$AB$100,6,FALSE),0)</f>
        <v>0</v>
      </c>
      <c r="AH45">
        <f>IFERROR(VLOOKUP(B45,CrossTabYitraLeTkufa_till_2000!$D$6:$AB$100,16,FALSE),0)</f>
        <v>0</v>
      </c>
      <c r="AI45">
        <f>IFERROR(VLOOKUP(B45,CrossTabYitraLeTkufa_after_2000!$D$6:$AB$100,16,FALSE),0)</f>
        <v>0</v>
      </c>
      <c r="AJ45">
        <f>IFERROR(VLOOKUP(B45,CrossTabYitraLeTkufa_till_2000!$D$6:$AB$100,17,FALSE),0)</f>
        <v>0</v>
      </c>
      <c r="AK45">
        <f>IFERROR(VLOOKUP(B45,CrossTabYitraLeTkufa_after_2000!$D$6:$AB$100,17,FALSE),0)</f>
        <v>0</v>
      </c>
      <c r="AL45" s="5">
        <f t="shared" si="32"/>
        <v>0</v>
      </c>
      <c r="AO45">
        <f>IFERROR(VLOOKUP(B45,PirteiKisuiBeMutzar_procerur!$C$6:$AA$100,2,FALSE),0)</f>
        <v>0</v>
      </c>
      <c r="AQ45">
        <f>IFERROR(VLOOKUP($B45,PirteiKisuiBeMutzar_procerur!$C$6:$AA$100,5,FALSE),0)</f>
        <v>0</v>
      </c>
      <c r="AR45">
        <f>IFERROR(VLOOKUP($B45,PirteiKisuiBeMutzar_procerur!$C$6:$AA$100,3,FALSE),0)</f>
        <v>0</v>
      </c>
      <c r="AS45">
        <f>IFERROR(VLOOKUP($B45,PirteiKisuiBeMutzar_procerur!$C$6:$AA$100,6,FALSE),0)</f>
        <v>0</v>
      </c>
      <c r="AT45">
        <f>IFERROR(VLOOKUP($B45,PirteiKisuiBeMutzar_procerur!$C$6:$AA$100,7,FALSE),0)</f>
        <v>0</v>
      </c>
      <c r="AX45" s="997">
        <f t="shared" si="33"/>
        <v>0</v>
      </c>
      <c r="AY45" s="997">
        <f t="shared" si="34"/>
        <v>0</v>
      </c>
      <c r="AZ45" s="997">
        <f t="shared" si="35"/>
        <v>0</v>
      </c>
      <c r="BA45" s="997">
        <f>IFERROR(FV(S45/100/12,'נתוני יסוד'!$B$16*12,AX45,AG45)*(-1),0)</f>
        <v>0</v>
      </c>
      <c r="BB45" s="997">
        <f>IFERROR(FV(S45/100/12,'נתוני יסוד'!$B$16*12,0,AH45)*(-1),0)</f>
        <v>0</v>
      </c>
      <c r="BC45" s="997">
        <f>IFERROR(FV(S45/100/12,'נתוני יסוד'!$B$16*12,AY45,AI45)*(-1),0)</f>
        <v>0</v>
      </c>
      <c r="BD45" s="997">
        <f>IFERROR(FV(S45/100/12,'נתוני יסוד'!$B$16*12,0,AJ45)*(-1),0)</f>
        <v>0</v>
      </c>
      <c r="BE45" s="997">
        <f>IFERROR(FV(S45/100/12,'נתוני יסוד'!$B$16*12,AZ45,AK45)*(-1),0)</f>
        <v>0</v>
      </c>
      <c r="BF45" s="997">
        <f t="shared" si="36"/>
        <v>0</v>
      </c>
      <c r="BG45" s="997">
        <f>IFERROR(FV(S45/100/12,'נתוני יסוד'!$B$16*12,AF45,AL45)*(-1),0)</f>
        <v>0</v>
      </c>
      <c r="BH45" s="997">
        <f t="shared" si="37"/>
        <v>0</v>
      </c>
      <c r="BI45" s="997">
        <f t="shared" si="38"/>
        <v>0</v>
      </c>
      <c r="BJ45" s="997">
        <f t="shared" si="39"/>
        <v>0</v>
      </c>
      <c r="BK45" s="997">
        <f t="shared" si="40"/>
        <v>0</v>
      </c>
      <c r="BL45" s="997">
        <f t="shared" si="47"/>
        <v>0</v>
      </c>
      <c r="BM45" s="997">
        <f t="shared" si="48"/>
        <v>0</v>
      </c>
      <c r="BN45" s="997">
        <f t="shared" si="49"/>
        <v>0</v>
      </c>
      <c r="BO45" s="997">
        <f t="shared" si="41"/>
        <v>0</v>
      </c>
      <c r="BP45" s="997">
        <f t="shared" si="50"/>
        <v>0</v>
      </c>
      <c r="BS45">
        <f t="shared" si="51"/>
        <v>0</v>
      </c>
      <c r="BT45">
        <f t="shared" si="52"/>
        <v>0</v>
      </c>
      <c r="BU45">
        <f t="shared" si="53"/>
        <v>0</v>
      </c>
      <c r="BV45">
        <f t="shared" si="42"/>
        <v>0</v>
      </c>
      <c r="BW45">
        <f t="shared" si="54"/>
        <v>0</v>
      </c>
      <c r="BY45" s="997">
        <f t="shared" si="55"/>
        <v>0</v>
      </c>
      <c r="BZ45" s="997">
        <f t="shared" si="56"/>
        <v>0</v>
      </c>
      <c r="CA45" s="997">
        <f t="shared" si="57"/>
        <v>0</v>
      </c>
      <c r="CB45" s="997">
        <f t="shared" si="43"/>
        <v>0</v>
      </c>
      <c r="CC45" s="997">
        <f t="shared" si="58"/>
        <v>0</v>
      </c>
      <c r="CD45" s="997">
        <f t="shared" si="13"/>
        <v>0</v>
      </c>
      <c r="CE45" s="997">
        <f t="shared" si="14"/>
        <v>0</v>
      </c>
      <c r="CF45" s="997">
        <f t="shared" si="15"/>
        <v>0</v>
      </c>
      <c r="CG45" s="997">
        <f t="shared" si="16"/>
        <v>0</v>
      </c>
      <c r="CH45" s="997">
        <f t="shared" si="17"/>
        <v>0</v>
      </c>
      <c r="CI45" s="997">
        <f t="shared" si="18"/>
        <v>0</v>
      </c>
      <c r="CJ45" s="997">
        <f t="shared" si="19"/>
        <v>0</v>
      </c>
      <c r="CK45" s="997"/>
      <c r="CL45" s="997"/>
      <c r="CM45" s="997">
        <f t="shared" si="59"/>
        <v>0</v>
      </c>
      <c r="CN45" s="997">
        <f t="shared" si="60"/>
        <v>0</v>
      </c>
      <c r="CO45" s="997">
        <f t="shared" si="61"/>
        <v>0</v>
      </c>
      <c r="CP45" s="997">
        <f t="shared" si="44"/>
        <v>0</v>
      </c>
      <c r="CQ45" s="997">
        <f t="shared" si="62"/>
        <v>0</v>
      </c>
      <c r="CR45" s="997">
        <f>IFERROR(VLOOKUP($B45,SchumeiBituahYesodi!$C$6:$AA$100,8,FALSE),0)</f>
        <v>0</v>
      </c>
      <c r="CS45" s="997">
        <f>IFERROR(VLOOKUP($B45,PirteiKisuiBeMutzar_procerur!$C$6:$AA$100,2,FALSE),0)</f>
        <v>0</v>
      </c>
      <c r="CT45" s="997">
        <f>IFERROR(VLOOKUP($B45,PirteiKisuiBeMutzar_procerur!$C$6:$AA$100,3,FALSE),0)</f>
        <v>0</v>
      </c>
      <c r="CU45" s="997">
        <f>IFERROR(VLOOKUP($B45,PirteiKisuiBeMutzar_procerur!$C$6:$AA$100,4,FALSE),0)</f>
        <v>0</v>
      </c>
      <c r="CV45" s="997">
        <f>IFERROR(VLOOKUP($B45,PirteiKisuiBeMutzar_procerur!$C$6:$AA$100,5,FALSE),0)</f>
        <v>0</v>
      </c>
      <c r="CW45" s="997">
        <f>IFERROR(VLOOKUP($B45,PirteiKisuiBeMutzar_procerur!$C$6:$AA$100,6,FALSE),0)</f>
        <v>0</v>
      </c>
      <c r="CX45" s="997">
        <f>IFERROR(VLOOKUP($B45,PirteiKisuiBeMutzar_procerur!$C$6:$AA$100,7,FALSE),0)</f>
        <v>0</v>
      </c>
      <c r="CY45" s="997">
        <f>IFERROR(VLOOKUP($B45,PirteiKisuiBeMutzar_procerur!$C$6:$AA$100,8,FALSE),0)</f>
        <v>0</v>
      </c>
      <c r="CZ45" s="997">
        <f>IFERROR(VLOOKUP($B45,PirteiKisuiBeMutzar_procerur!$C$6:$AA$100,9,FALSE),0)</f>
        <v>0</v>
      </c>
      <c r="DA45" s="997">
        <f>IFERROR(VLOOKUP($B45,PirteiKisuiBeMutzar_procerur!$C$6:$AA$100,10,FALSE),0)</f>
        <v>0</v>
      </c>
      <c r="DB45" s="997">
        <f>IFERROR(VLOOKUP($B45,PirteiKisuiBeMutzar_procerur!$C$6:$AA$100,11,FALSE),0)</f>
        <v>0</v>
      </c>
      <c r="DC45" s="997">
        <f>IFERROR(VLOOKUP($B45,PirteiKisuiBeMutzarPrmia!$C$6:$Z$100,2,FALSE),0)</f>
        <v>0</v>
      </c>
      <c r="DD45" s="997">
        <f>IFERROR(VLOOKUP($B45,PirteiKisuiBeMutzarPrmia!$C$6:$Z$100,3,FALSE),0)</f>
        <v>0</v>
      </c>
      <c r="DE45" s="997">
        <f>IFERROR(VLOOKUP($B45,PirteiKisuiBeMutzarPrmia!$C$6:$Z$100,4,FALSE),0)</f>
        <v>0</v>
      </c>
      <c r="DF45" s="997">
        <f>IFERROR(VLOOKUP($B45,PirteiKisuiBeMutzarPrmia!$C$6:$Z$100,5,FALSE),0)</f>
        <v>0</v>
      </c>
      <c r="DG45" s="997">
        <f>IFERROR(VLOOKUP($B45,PirteiKisuiBeMutzarPrmia!$C$6:$Z$100,6,FALSE),0)</f>
        <v>0</v>
      </c>
      <c r="DH45" s="997">
        <f>IFERROR(VLOOKUP($B45,PirteiKisuiBeMutzarPrmia!$C$6:$Z$100,7,FALSE),0)</f>
        <v>0</v>
      </c>
      <c r="DI45" s="997">
        <f>IFERROR(VLOOKUP($B45,PirteiKisuiBeMutzarPrmia!$C$6:$Z$100,8,FALSE),0)</f>
        <v>0</v>
      </c>
      <c r="DJ45" s="997">
        <f>IFERROR(VLOOKUP($B45,PirteiKisuiBeMutzarPrmia!$C$6:$Z$100,9,FALSE),0)</f>
        <v>0</v>
      </c>
      <c r="DK45" s="997">
        <f>IFERROR(VLOOKUP($B45,PirteiKisuiBeMutzarPrmia!$C$6:$Z$100,10,FALSE),0)</f>
        <v>0</v>
      </c>
      <c r="DL45" s="997">
        <f>IFERROR(VLOOKUP($B45,PirteiKisuiBeMutzarPrmia!$C$6:$Z$100,11,FALSE),0)</f>
        <v>0</v>
      </c>
      <c r="DM45" s="997">
        <f t="shared" si="24"/>
        <v>0</v>
      </c>
      <c r="DN45" s="997">
        <f t="shared" si="63"/>
        <v>0</v>
      </c>
      <c r="DO45" s="997">
        <f t="shared" si="64"/>
        <v>0</v>
      </c>
      <c r="DP45" s="997">
        <f t="shared" si="27"/>
        <v>0</v>
      </c>
      <c r="DQ45" s="997">
        <f t="shared" si="65"/>
        <v>0</v>
      </c>
      <c r="DR45" s="997">
        <f>IF(OR(L45=1,L45=3),IFERROR(VLOOKUP($B45,PerutHafkadotMetchilatShanaAvgM!$C$6:$G$100,3,FALSE),0),0)</f>
        <v>0</v>
      </c>
      <c r="DS45" s="997">
        <f>IF(OR(L45=2,L45=4),IFERROR(VLOOKUP($B45,PerutHafkadotMetchilatShanaAvgM!$C$6:$G$100,3,FALSE),0),0)</f>
        <v>0</v>
      </c>
      <c r="DT45" s="997">
        <f>IFERROR(VLOOKUP($B45,PerutHafkadotMetchilatShanaAvgM!$C$6:$G$100,4,FALSE),0)</f>
        <v>0</v>
      </c>
      <c r="DU45" s="997">
        <f>IFERROR(VLOOKUP($B45,Kupa!$D$6:$AA$100,5,FALSE),0)</f>
        <v>0</v>
      </c>
      <c r="DV45" s="997">
        <f>IFERROR(VLOOKUP($B45,Kupa!$D$6:$AA$100,6,FALSE),0)</f>
        <v>0</v>
      </c>
      <c r="DW45" s="997">
        <f>IFERROR(VLOOKUP($B45,KisuiBKerenPensiaDBWithParams!$D$6:$AP$100,9,FALSE),0)</f>
        <v>0</v>
      </c>
      <c r="DX45" s="997">
        <f>IFERROR(VLOOKUP($B45,KisuiBKerenPensiaDBWithParams!$D$6:$AP$100,12,FALSE),0)</f>
        <v>0</v>
      </c>
      <c r="DY45" s="997">
        <f>IFERROR(VLOOKUP($B45,KisuiBKerenPensiaDBWithParams!$D$6:$AP$100,13,FALSE),0)</f>
        <v>0</v>
      </c>
      <c r="DZ45" s="997">
        <f>IFERROR(VLOOKUP($B45,KisuiBKerenPensiaDBWithParams!$D$6:$AP$100,7,FALSE),0)</f>
        <v>0</v>
      </c>
      <c r="EA45" s="997">
        <f>IFERROR(VLOOKUP($B45,KisuiBKerenPensiaDBWithParams!$D$6:$AP$100,17,FALSE),0)</f>
        <v>0</v>
      </c>
      <c r="EB45" s="997">
        <f>IFERROR(VLOOKUP($B45,KisuiBKerenPensiaDBWithParams!$D$6:$AP$100,20,FALSE),0)</f>
        <v>0</v>
      </c>
      <c r="EC45" s="997">
        <f>IFERROR(VLOOKUP($B45,KisuiBKerenPensiaDBWithParams!$D$6:$AP$100,21,FALSE),0)</f>
        <v>0</v>
      </c>
      <c r="ED45" s="997">
        <f t="shared" si="45"/>
        <v>0</v>
      </c>
      <c r="EE45" s="997"/>
      <c r="EF45" s="1020">
        <f>IFERROR(VLOOKUP($B45,KisuiBKerenPensiaDBWithParams!$D$6:$AP$100,21,FALSE),0)</f>
        <v>0</v>
      </c>
      <c r="EG45" s="1020">
        <f>IFERROR(VLOOKUP($B45,KisuiBKerenPensiaDBWithParams!$D$6:$AP$100,21,FALSE),0)</f>
        <v>0</v>
      </c>
      <c r="EH45">
        <f>IF(OR(G45=MyData!$J$51,G45=MyData!$J$52,G45=MyData!$J$53),1,IF(G45=MyData!$J$50,2,0))</f>
        <v>0</v>
      </c>
      <c r="EI45">
        <f>IFERROR(VLOOKUP($B45,CrosstabPerutYitrotDB!$C$6:$N$50,3,FALSE),0)</f>
        <v>0</v>
      </c>
      <c r="EJ45">
        <f>IFERROR(VLOOKUP($B45,CrosstabPerutYitrotDB!$C$6:$N$50,4,FALSE),0)</f>
        <v>0</v>
      </c>
      <c r="EK45">
        <f>IFERROR(VLOOKUP($B45,CrosstabPerutYitrotDB!$C$6:$N$50,5,FALSE),0)</f>
        <v>0</v>
      </c>
      <c r="EL45">
        <f>IFERROR(VLOOKUP($B45,CrosstabPerutYitrotDB!$C$6:$N$50,6,FALSE),0)</f>
        <v>0</v>
      </c>
      <c r="EM45">
        <f>IFERROR(VLOOKUP($B45,CrosstabPerutYitrotDB!$C$6:$N$50,7,FALSE),0)</f>
        <v>0</v>
      </c>
      <c r="EN45">
        <f>IFERROR(VLOOKUP($B45,CrosstabPerutYitrotDB!$C$6:$N$50,8,FALSE),0)</f>
        <v>0</v>
      </c>
      <c r="EO45">
        <f>IFERROR(VLOOKUP($B45,CrosstabPerutYitrotDB!$C$6:$N$50,9,FALSE),0)</f>
        <v>0</v>
      </c>
      <c r="EP45">
        <f>IFERROR(VLOOKUP($B45,CrosstabPerutYitrotDB!$C$6:$N$50,10,FALSE),0)</f>
        <v>0</v>
      </c>
      <c r="EQ45">
        <f>IFERROR(VLOOKUP($B45,CrosstabPerutYitrotDB!$C$6:$N$50,11,FALSE),0)</f>
        <v>0</v>
      </c>
    </row>
    <row r="46" spans="1:147" x14ac:dyDescent="0.2">
      <c r="A46">
        <f t="shared" si="46"/>
        <v>0</v>
      </c>
      <c r="B46" s="20">
        <f>RicusPolice!E43</f>
        <v>0</v>
      </c>
      <c r="C46" s="20">
        <f>RicusPolice!AL43</f>
        <v>0</v>
      </c>
      <c r="D46" s="20">
        <f>RicusPolice!F43</f>
        <v>0</v>
      </c>
      <c r="E46" s="20">
        <f>RicusPolice!R43</f>
        <v>0</v>
      </c>
      <c r="F46" s="20">
        <f>RicusPolice!N43</f>
        <v>0</v>
      </c>
      <c r="G46" s="20">
        <f>IFERROR(VLOOKUP($B46,PerutYitrot!$D$6:$P$100,4,FALSE),0)</f>
        <v>0</v>
      </c>
      <c r="H46" s="20">
        <f t="shared" si="29"/>
        <v>0</v>
      </c>
      <c r="I46" s="20">
        <f>RicusPolice!L43</f>
        <v>0</v>
      </c>
      <c r="J46" s="179">
        <f>IFERROR(VLOOKUP(TRIM(K46),MyData!$J$44:$K$50,2,FALSE),0)</f>
        <v>0</v>
      </c>
      <c r="K46" s="20">
        <f>RicusPolice!M43</f>
        <v>0</v>
      </c>
      <c r="L46" s="20">
        <f>RicusPolice!AM43</f>
        <v>0</v>
      </c>
      <c r="M46" s="20" t="str">
        <f>IF(B46&gt;0,RicusPolice!Y43," ")</f>
        <v xml:space="preserve"> </v>
      </c>
      <c r="N46" s="20" t="str">
        <f t="shared" si="30"/>
        <v/>
      </c>
      <c r="O46" s="20">
        <f>RicusPolice!N43</f>
        <v>0</v>
      </c>
      <c r="P46" s="20">
        <f>IFERROR(VLOOKUP(B46,PerutMasluleiHashkaa!$D$6:$R$100,4,FALSE),0)</f>
        <v>0</v>
      </c>
      <c r="Q46" s="19"/>
      <c r="R46" s="1011" t="str">
        <f>IF(B46&gt;0,RicusPolice!P45," ")</f>
        <v xml:space="preserve"> </v>
      </c>
      <c r="S46" s="20">
        <f>IFERROR(VLOOKUP($B46,'נתונים ידניים'!$B$9:$G$51,6,FALSE),0)</f>
        <v>0</v>
      </c>
      <c r="T46" s="21">
        <f>'נתונים ידניים'!J47</f>
        <v>0</v>
      </c>
      <c r="U46" s="21">
        <f>'נתונים ידניים'!K47</f>
        <v>0</v>
      </c>
      <c r="V46" s="20">
        <f>IFERROR(VLOOKUP($B46,PerutHafrashotLePolisa!$D$6:$N$50,2,FALSE),0)</f>
        <v>0</v>
      </c>
      <c r="W46" s="20">
        <f>IFERROR(VLOOKUP($B46,PerutHafrashotLePolisa!$D$6:$N$50,4,FALSE),0)</f>
        <v>0</v>
      </c>
      <c r="X46" s="20">
        <f>IFERROR(VLOOKUP($B46,PerutHafrashotLePolisa!$D$6:$N$50,3,FALSE),0)</f>
        <v>0</v>
      </c>
      <c r="Y46">
        <f t="shared" si="31"/>
        <v>0</v>
      </c>
      <c r="Z46">
        <f>RicusPolice!AP43</f>
        <v>0</v>
      </c>
      <c r="AA46">
        <f>IFERROR(VLOOKUP(B46,PirteiHaasaka!$D$6:$R$100,5,FALSE),0)</f>
        <v>0</v>
      </c>
      <c r="AC46">
        <f>IFERROR(VLOOKUP(B46,HafkadotMetchilatShanaAverages!$D$6:$E$100,2,FALSE),0)</f>
        <v>0</v>
      </c>
      <c r="AF46">
        <f>'נתונים ידניים'!L47</f>
        <v>0</v>
      </c>
      <c r="AG46">
        <f>IFERROR(VLOOKUP(B46,CrossTabYitraLeTkufa_till_2000!$D$6:$AB$100,6,FALSE),0)+IFERROR(VLOOKUP(B46,CrossTabYitraLeTkufa_after_2000!$D$6:$AB$100,6,FALSE),0)</f>
        <v>0</v>
      </c>
      <c r="AH46">
        <f>IFERROR(VLOOKUP(B46,CrossTabYitraLeTkufa_till_2000!$D$6:$AB$100,16,FALSE),0)</f>
        <v>0</v>
      </c>
      <c r="AI46">
        <f>IFERROR(VLOOKUP(B46,CrossTabYitraLeTkufa_after_2000!$D$6:$AB$100,16,FALSE),0)</f>
        <v>0</v>
      </c>
      <c r="AJ46">
        <f>IFERROR(VLOOKUP(B46,CrossTabYitraLeTkufa_till_2000!$D$6:$AB$100,17,FALSE),0)</f>
        <v>0</v>
      </c>
      <c r="AK46">
        <f>IFERROR(VLOOKUP(B46,CrossTabYitraLeTkufa_after_2000!$D$6:$AB$100,17,FALSE),0)</f>
        <v>0</v>
      </c>
      <c r="AL46" s="5">
        <f t="shared" si="32"/>
        <v>0</v>
      </c>
      <c r="AO46">
        <f>IFERROR(VLOOKUP(B46,PirteiKisuiBeMutzar_procerur!$C$6:$AA$100,2,FALSE),0)</f>
        <v>0</v>
      </c>
      <c r="AQ46">
        <f>IFERROR(VLOOKUP($B46,PirteiKisuiBeMutzar_procerur!$C$6:$AA$100,5,FALSE),0)</f>
        <v>0</v>
      </c>
      <c r="AR46">
        <f>IFERROR(VLOOKUP($B46,PirteiKisuiBeMutzar_procerur!$C$6:$AA$100,3,FALSE),0)</f>
        <v>0</v>
      </c>
      <c r="AS46">
        <f>IFERROR(VLOOKUP($B46,PirteiKisuiBeMutzar_procerur!$C$6:$AA$100,6,FALSE),0)</f>
        <v>0</v>
      </c>
      <c r="AT46">
        <f>IFERROR(VLOOKUP($B46,PirteiKisuiBeMutzar_procerur!$C$6:$AA$100,7,FALSE),0)</f>
        <v>0</v>
      </c>
      <c r="AX46" s="997">
        <f t="shared" si="33"/>
        <v>0</v>
      </c>
      <c r="AY46" s="997">
        <f t="shared" si="34"/>
        <v>0</v>
      </c>
      <c r="AZ46" s="997">
        <f t="shared" si="35"/>
        <v>0</v>
      </c>
      <c r="BA46" s="997">
        <f>IFERROR(FV(S46/100/12,'נתוני יסוד'!$B$16*12,AX46,AG46)*(-1),0)</f>
        <v>0</v>
      </c>
      <c r="BB46" s="997">
        <f>IFERROR(FV(S46/100/12,'נתוני יסוד'!$B$16*12,0,AH46)*(-1),0)</f>
        <v>0</v>
      </c>
      <c r="BC46" s="997">
        <f>IFERROR(FV(S46/100/12,'נתוני יסוד'!$B$16*12,AY46,AI46)*(-1),0)</f>
        <v>0</v>
      </c>
      <c r="BD46" s="997">
        <f>IFERROR(FV(S46/100/12,'נתוני יסוד'!$B$16*12,0,AJ46)*(-1),0)</f>
        <v>0</v>
      </c>
      <c r="BE46" s="997">
        <f>IFERROR(FV(S46/100/12,'נתוני יסוד'!$B$16*12,AZ46,AK46)*(-1),0)</f>
        <v>0</v>
      </c>
      <c r="BF46" s="997">
        <f t="shared" si="36"/>
        <v>0</v>
      </c>
      <c r="BG46" s="997">
        <f>IFERROR(FV(S46/100/12,'נתוני יסוד'!$B$16*12,AF46,AL46)*(-1),0)</f>
        <v>0</v>
      </c>
      <c r="BH46" s="997">
        <f t="shared" si="37"/>
        <v>0</v>
      </c>
      <c r="BI46" s="997">
        <f t="shared" si="38"/>
        <v>0</v>
      </c>
      <c r="BJ46" s="997">
        <f t="shared" si="39"/>
        <v>0</v>
      </c>
      <c r="BK46" s="997">
        <f t="shared" si="40"/>
        <v>0</v>
      </c>
      <c r="BL46" s="997">
        <f t="shared" si="47"/>
        <v>0</v>
      </c>
      <c r="BM46" s="997">
        <f t="shared" si="48"/>
        <v>0</v>
      </c>
      <c r="BN46" s="997">
        <f t="shared" si="49"/>
        <v>0</v>
      </c>
      <c r="BO46" s="997">
        <f t="shared" si="41"/>
        <v>0</v>
      </c>
      <c r="BP46" s="997">
        <f t="shared" si="50"/>
        <v>0</v>
      </c>
      <c r="BS46">
        <f t="shared" si="51"/>
        <v>0</v>
      </c>
      <c r="BT46">
        <f t="shared" si="52"/>
        <v>0</v>
      </c>
      <c r="BU46">
        <f t="shared" si="53"/>
        <v>0</v>
      </c>
      <c r="BV46">
        <f t="shared" si="42"/>
        <v>0</v>
      </c>
      <c r="BW46">
        <f t="shared" si="54"/>
        <v>0</v>
      </c>
      <c r="BY46" s="997">
        <f t="shared" si="55"/>
        <v>0</v>
      </c>
      <c r="BZ46" s="997">
        <f t="shared" si="56"/>
        <v>0</v>
      </c>
      <c r="CA46" s="997">
        <f t="shared" si="57"/>
        <v>0</v>
      </c>
      <c r="CB46" s="997">
        <f t="shared" si="43"/>
        <v>0</v>
      </c>
      <c r="CC46" s="997">
        <f t="shared" si="58"/>
        <v>0</v>
      </c>
      <c r="CD46" s="997">
        <f t="shared" si="13"/>
        <v>0</v>
      </c>
      <c r="CE46" s="997">
        <f t="shared" si="14"/>
        <v>0</v>
      </c>
      <c r="CF46" s="997">
        <f t="shared" si="15"/>
        <v>0</v>
      </c>
      <c r="CG46" s="997">
        <f t="shared" si="16"/>
        <v>0</v>
      </c>
      <c r="CH46" s="997">
        <f t="shared" si="17"/>
        <v>0</v>
      </c>
      <c r="CI46" s="997">
        <f t="shared" si="18"/>
        <v>0</v>
      </c>
      <c r="CJ46" s="997">
        <f t="shared" si="19"/>
        <v>0</v>
      </c>
      <c r="CK46" s="997"/>
      <c r="CL46" s="997"/>
      <c r="CM46" s="997">
        <f t="shared" si="59"/>
        <v>0</v>
      </c>
      <c r="CN46" s="997">
        <f t="shared" si="60"/>
        <v>0</v>
      </c>
      <c r="CO46" s="997">
        <f t="shared" si="61"/>
        <v>0</v>
      </c>
      <c r="CP46" s="997">
        <f t="shared" si="44"/>
        <v>0</v>
      </c>
      <c r="CQ46" s="997">
        <f t="shared" si="62"/>
        <v>0</v>
      </c>
      <c r="CR46" s="997">
        <f>IFERROR(VLOOKUP($B46,SchumeiBituahYesodi!$C$6:$AA$100,8,FALSE),0)</f>
        <v>0</v>
      </c>
      <c r="CS46" s="997">
        <f>IFERROR(VLOOKUP($B46,PirteiKisuiBeMutzar_procerur!$C$6:$AA$100,2,FALSE),0)</f>
        <v>0</v>
      </c>
      <c r="CT46" s="997">
        <f>IFERROR(VLOOKUP($B46,PirteiKisuiBeMutzar_procerur!$C$6:$AA$100,3,FALSE),0)</f>
        <v>0</v>
      </c>
      <c r="CU46" s="997">
        <f>IFERROR(VLOOKUP($B46,PirteiKisuiBeMutzar_procerur!$C$6:$AA$100,4,FALSE),0)</f>
        <v>0</v>
      </c>
      <c r="CV46" s="997">
        <f>IFERROR(VLOOKUP($B46,PirteiKisuiBeMutzar_procerur!$C$6:$AA$100,5,FALSE),0)</f>
        <v>0</v>
      </c>
      <c r="CW46" s="997">
        <f>IFERROR(VLOOKUP($B46,PirteiKisuiBeMutzar_procerur!$C$6:$AA$100,6,FALSE),0)</f>
        <v>0</v>
      </c>
      <c r="CX46" s="997">
        <f>IFERROR(VLOOKUP($B46,PirteiKisuiBeMutzar_procerur!$C$6:$AA$100,7,FALSE),0)</f>
        <v>0</v>
      </c>
      <c r="CY46" s="997">
        <f>IFERROR(VLOOKUP($B46,PirteiKisuiBeMutzar_procerur!$C$6:$AA$100,8,FALSE),0)</f>
        <v>0</v>
      </c>
      <c r="CZ46" s="997">
        <f>IFERROR(VLOOKUP($B46,PirteiKisuiBeMutzar_procerur!$C$6:$AA$100,9,FALSE),0)</f>
        <v>0</v>
      </c>
      <c r="DA46" s="997">
        <f>IFERROR(VLOOKUP($B46,PirteiKisuiBeMutzar_procerur!$C$6:$AA$100,10,FALSE),0)</f>
        <v>0</v>
      </c>
      <c r="DB46" s="997">
        <f>IFERROR(VLOOKUP($B46,PirteiKisuiBeMutzar_procerur!$C$6:$AA$100,11,FALSE),0)</f>
        <v>0</v>
      </c>
      <c r="DC46" s="997">
        <f>IFERROR(VLOOKUP($B46,PirteiKisuiBeMutzarPrmia!$C$6:$Z$100,2,FALSE),0)</f>
        <v>0</v>
      </c>
      <c r="DD46" s="997">
        <f>IFERROR(VLOOKUP($B46,PirteiKisuiBeMutzarPrmia!$C$6:$Z$100,3,FALSE),0)</f>
        <v>0</v>
      </c>
      <c r="DE46" s="997">
        <f>IFERROR(VLOOKUP($B46,PirteiKisuiBeMutzarPrmia!$C$6:$Z$100,4,FALSE),0)</f>
        <v>0</v>
      </c>
      <c r="DF46" s="997">
        <f>IFERROR(VLOOKUP($B46,PirteiKisuiBeMutzarPrmia!$C$6:$Z$100,5,FALSE),0)</f>
        <v>0</v>
      </c>
      <c r="DG46" s="997">
        <f>IFERROR(VLOOKUP($B46,PirteiKisuiBeMutzarPrmia!$C$6:$Z$100,6,FALSE),0)</f>
        <v>0</v>
      </c>
      <c r="DH46" s="997">
        <f>IFERROR(VLOOKUP($B46,PirteiKisuiBeMutzarPrmia!$C$6:$Z$100,7,FALSE),0)</f>
        <v>0</v>
      </c>
      <c r="DI46" s="997">
        <f>IFERROR(VLOOKUP($B46,PirteiKisuiBeMutzarPrmia!$C$6:$Z$100,8,FALSE),0)</f>
        <v>0</v>
      </c>
      <c r="DJ46" s="997">
        <f>IFERROR(VLOOKUP($B46,PirteiKisuiBeMutzarPrmia!$C$6:$Z$100,9,FALSE),0)</f>
        <v>0</v>
      </c>
      <c r="DK46" s="997">
        <f>IFERROR(VLOOKUP($B46,PirteiKisuiBeMutzarPrmia!$C$6:$Z$100,10,FALSE),0)</f>
        <v>0</v>
      </c>
      <c r="DL46" s="997">
        <f>IFERROR(VLOOKUP($B46,PirteiKisuiBeMutzarPrmia!$C$6:$Z$100,11,FALSE),0)</f>
        <v>0</v>
      </c>
      <c r="DM46" s="997">
        <f t="shared" si="24"/>
        <v>0</v>
      </c>
      <c r="DN46" s="997">
        <f t="shared" si="63"/>
        <v>0</v>
      </c>
      <c r="DO46" s="997">
        <f t="shared" si="64"/>
        <v>0</v>
      </c>
      <c r="DP46" s="997">
        <f t="shared" si="27"/>
        <v>0</v>
      </c>
      <c r="DQ46" s="997">
        <f t="shared" si="65"/>
        <v>0</v>
      </c>
      <c r="DR46" s="997">
        <f>IF(OR(L46=1,L46=3),IFERROR(VLOOKUP($B46,PerutHafkadotMetchilatShanaAvgM!$C$6:$G$100,3,FALSE),0),0)</f>
        <v>0</v>
      </c>
      <c r="DS46" s="997">
        <f>IF(OR(L46=2,L46=4),IFERROR(VLOOKUP($B46,PerutHafkadotMetchilatShanaAvgM!$C$6:$G$100,3,FALSE),0),0)</f>
        <v>0</v>
      </c>
      <c r="DT46" s="997">
        <f>IFERROR(VLOOKUP($B46,PerutHafkadotMetchilatShanaAvgM!$C$6:$G$100,4,FALSE),0)</f>
        <v>0</v>
      </c>
      <c r="DU46" s="997">
        <f>IFERROR(VLOOKUP($B46,Kupa!$D$6:$AA$100,5,FALSE),0)</f>
        <v>0</v>
      </c>
      <c r="DV46" s="997">
        <f>IFERROR(VLOOKUP($B46,Kupa!$D$6:$AA$100,6,FALSE),0)</f>
        <v>0</v>
      </c>
      <c r="DW46" s="997">
        <f>IFERROR(VLOOKUP($B46,KisuiBKerenPensiaDBWithParams!$D$6:$AP$100,9,FALSE),0)</f>
        <v>0</v>
      </c>
      <c r="DX46" s="997">
        <f>IFERROR(VLOOKUP($B46,KisuiBKerenPensiaDBWithParams!$D$6:$AP$100,12,FALSE),0)</f>
        <v>0</v>
      </c>
      <c r="DY46" s="997">
        <f>IFERROR(VLOOKUP($B46,KisuiBKerenPensiaDBWithParams!$D$6:$AP$100,13,FALSE),0)</f>
        <v>0</v>
      </c>
      <c r="DZ46" s="997">
        <f>IFERROR(VLOOKUP($B46,KisuiBKerenPensiaDBWithParams!$D$6:$AP$100,7,FALSE),0)</f>
        <v>0</v>
      </c>
      <c r="EA46" s="997">
        <f>IFERROR(VLOOKUP($B46,KisuiBKerenPensiaDBWithParams!$D$6:$AP$100,17,FALSE),0)</f>
        <v>0</v>
      </c>
      <c r="EB46" s="997">
        <f>IFERROR(VLOOKUP($B46,KisuiBKerenPensiaDBWithParams!$D$6:$AP$100,20,FALSE),0)</f>
        <v>0</v>
      </c>
      <c r="EC46" s="997">
        <f>IFERROR(VLOOKUP($B46,KisuiBKerenPensiaDBWithParams!$D$6:$AP$100,21,FALSE),0)</f>
        <v>0</v>
      </c>
      <c r="ED46" s="997">
        <f t="shared" si="45"/>
        <v>0</v>
      </c>
      <c r="EE46" s="997"/>
      <c r="EF46" s="1020">
        <f>IFERROR(VLOOKUP($B46,KisuiBKerenPensiaDBWithParams!$D$6:$AP$100,21,FALSE),0)</f>
        <v>0</v>
      </c>
      <c r="EG46" s="1020">
        <f>IFERROR(VLOOKUP($B46,KisuiBKerenPensiaDBWithParams!$D$6:$AP$100,21,FALSE),0)</f>
        <v>0</v>
      </c>
      <c r="EH46">
        <f>IF(OR(G46=MyData!$J$51,G46=MyData!$J$52,G46=MyData!$J$53),1,IF(G46=MyData!$J$50,2,0))</f>
        <v>0</v>
      </c>
      <c r="EI46">
        <f>IFERROR(VLOOKUP($B46,CrosstabPerutYitrotDB!$C$6:$N$50,3,FALSE),0)</f>
        <v>0</v>
      </c>
      <c r="EJ46">
        <f>IFERROR(VLOOKUP($B46,CrosstabPerutYitrotDB!$C$6:$N$50,4,FALSE),0)</f>
        <v>0</v>
      </c>
      <c r="EK46">
        <f>IFERROR(VLOOKUP($B46,CrosstabPerutYitrotDB!$C$6:$N$50,5,FALSE),0)</f>
        <v>0</v>
      </c>
      <c r="EL46">
        <f>IFERROR(VLOOKUP($B46,CrosstabPerutYitrotDB!$C$6:$N$50,6,FALSE),0)</f>
        <v>0</v>
      </c>
      <c r="EM46">
        <f>IFERROR(VLOOKUP($B46,CrosstabPerutYitrotDB!$C$6:$N$50,7,FALSE),0)</f>
        <v>0</v>
      </c>
      <c r="EN46">
        <f>IFERROR(VLOOKUP($B46,CrosstabPerutYitrotDB!$C$6:$N$50,8,FALSE),0)</f>
        <v>0</v>
      </c>
      <c r="EO46">
        <f>IFERROR(VLOOKUP($B46,CrosstabPerutYitrotDB!$C$6:$N$50,9,FALSE),0)</f>
        <v>0</v>
      </c>
      <c r="EP46">
        <f>IFERROR(VLOOKUP($B46,CrosstabPerutYitrotDB!$C$6:$N$50,10,FALSE),0)</f>
        <v>0</v>
      </c>
      <c r="EQ46">
        <f>IFERROR(VLOOKUP($B46,CrosstabPerutYitrotDB!$C$6:$N$50,11,FALSE),0)</f>
        <v>0</v>
      </c>
    </row>
    <row r="47" spans="1:147" x14ac:dyDescent="0.2">
      <c r="A47">
        <f t="shared" si="46"/>
        <v>0</v>
      </c>
      <c r="B47" s="20">
        <f>RicusPolice!E44</f>
        <v>0</v>
      </c>
      <c r="C47" s="20">
        <f>RicusPolice!AL44</f>
        <v>0</v>
      </c>
      <c r="D47" s="20">
        <f>RicusPolice!F44</f>
        <v>0</v>
      </c>
      <c r="E47" s="20">
        <f>RicusPolice!R44</f>
        <v>0</v>
      </c>
      <c r="F47" s="20">
        <f>RicusPolice!N44</f>
        <v>0</v>
      </c>
      <c r="G47" s="20">
        <f>IFERROR(VLOOKUP($B47,PerutYitrot!$D$6:$P$100,4,FALSE),0)</f>
        <v>0</v>
      </c>
      <c r="H47" s="20">
        <f t="shared" si="29"/>
        <v>0</v>
      </c>
      <c r="I47" s="20">
        <f>RicusPolice!L44</f>
        <v>0</v>
      </c>
      <c r="J47" s="179">
        <f>IFERROR(VLOOKUP(TRIM(K47),MyData!$J$44:$K$50,2,FALSE),0)</f>
        <v>0</v>
      </c>
      <c r="K47" s="20">
        <f>RicusPolice!M44</f>
        <v>0</v>
      </c>
      <c r="L47" s="20">
        <f>RicusPolice!AM44</f>
        <v>0</v>
      </c>
      <c r="M47" s="20" t="str">
        <f>IF(B47&gt;0,RicusPolice!Y44," ")</f>
        <v xml:space="preserve"> </v>
      </c>
      <c r="N47" s="20" t="str">
        <f t="shared" si="30"/>
        <v/>
      </c>
      <c r="O47" s="20">
        <f>RicusPolice!N44</f>
        <v>0</v>
      </c>
      <c r="P47" s="20">
        <f>IFERROR(VLOOKUP(B47,PerutMasluleiHashkaa!$D$6:$R$100,4,FALSE),0)</f>
        <v>0</v>
      </c>
      <c r="Q47" s="19"/>
      <c r="R47" s="1011" t="str">
        <f>IF(B47&gt;0,RicusPolice!P46," ")</f>
        <v xml:space="preserve"> </v>
      </c>
      <c r="S47" s="20">
        <f>IFERROR(VLOOKUP($B47,'נתונים ידניים'!$B$9:$G$51,6,FALSE),0)</f>
        <v>0</v>
      </c>
      <c r="T47" s="21">
        <f>'נתונים ידניים'!J48</f>
        <v>0</v>
      </c>
      <c r="U47" s="21">
        <f>'נתונים ידניים'!K48</f>
        <v>0</v>
      </c>
      <c r="V47" s="20">
        <f>IFERROR(VLOOKUP($B47,PerutHafrashotLePolisa!$D$6:$N$50,2,FALSE),0)</f>
        <v>0</v>
      </c>
      <c r="W47" s="20">
        <f>IFERROR(VLOOKUP($B47,PerutHafrashotLePolisa!$D$6:$N$50,4,FALSE),0)</f>
        <v>0</v>
      </c>
      <c r="X47" s="20">
        <f>IFERROR(VLOOKUP($B47,PerutHafrashotLePolisa!$D$6:$N$50,3,FALSE),0)</f>
        <v>0</v>
      </c>
      <c r="Y47">
        <f t="shared" si="31"/>
        <v>0</v>
      </c>
      <c r="Z47">
        <f>RicusPolice!AP44</f>
        <v>0</v>
      </c>
      <c r="AA47">
        <f>IFERROR(VLOOKUP(B47,PirteiHaasaka!$D$6:$R$100,5,FALSE),0)</f>
        <v>0</v>
      </c>
      <c r="AC47">
        <f>IFERROR(VLOOKUP(B47,HafkadotMetchilatShanaAverages!$D$6:$E$100,2,FALSE),0)</f>
        <v>0</v>
      </c>
      <c r="AF47">
        <f>'נתונים ידניים'!L48</f>
        <v>0</v>
      </c>
      <c r="AG47">
        <f>IFERROR(VLOOKUP(B47,CrossTabYitraLeTkufa_till_2000!$D$6:$AB$100,6,FALSE),0)+IFERROR(VLOOKUP(B47,CrossTabYitraLeTkufa_after_2000!$D$6:$AB$100,6,FALSE),0)</f>
        <v>0</v>
      </c>
      <c r="AH47">
        <f>IFERROR(VLOOKUP(B47,CrossTabYitraLeTkufa_till_2000!$D$6:$AB$100,16,FALSE),0)</f>
        <v>0</v>
      </c>
      <c r="AI47">
        <f>IFERROR(VLOOKUP(B47,CrossTabYitraLeTkufa_after_2000!$D$6:$AB$100,16,FALSE),0)</f>
        <v>0</v>
      </c>
      <c r="AJ47">
        <f>IFERROR(VLOOKUP(B47,CrossTabYitraLeTkufa_till_2000!$D$6:$AB$100,17,FALSE),0)</f>
        <v>0</v>
      </c>
      <c r="AK47">
        <f>IFERROR(VLOOKUP(B47,CrossTabYitraLeTkufa_after_2000!$D$6:$AB$100,17,FALSE),0)</f>
        <v>0</v>
      </c>
      <c r="AL47" s="5">
        <f t="shared" si="32"/>
        <v>0</v>
      </c>
      <c r="AO47">
        <f>IFERROR(VLOOKUP(B47,PirteiKisuiBeMutzar_procerur!$C$6:$AA$100,2,FALSE),0)</f>
        <v>0</v>
      </c>
      <c r="AQ47">
        <f>IFERROR(VLOOKUP($B47,PirteiKisuiBeMutzar_procerur!$C$6:$AA$100,5,FALSE),0)</f>
        <v>0</v>
      </c>
      <c r="AR47">
        <f>IFERROR(VLOOKUP($B47,PirteiKisuiBeMutzar_procerur!$C$6:$AA$100,3,FALSE),0)</f>
        <v>0</v>
      </c>
      <c r="AS47">
        <f>IFERROR(VLOOKUP($B47,PirteiKisuiBeMutzar_procerur!$C$6:$AA$100,6,FALSE),0)</f>
        <v>0</v>
      </c>
      <c r="AT47">
        <f>IFERROR(VLOOKUP($B47,PirteiKisuiBeMutzar_procerur!$C$6:$AA$100,7,FALSE),0)</f>
        <v>0</v>
      </c>
      <c r="AX47" s="997">
        <f t="shared" si="33"/>
        <v>0</v>
      </c>
      <c r="AY47" s="997">
        <f t="shared" si="34"/>
        <v>0</v>
      </c>
      <c r="AZ47" s="997">
        <f t="shared" si="35"/>
        <v>0</v>
      </c>
      <c r="BA47" s="997">
        <f>IFERROR(FV(S47/100/12,'נתוני יסוד'!$B$16*12,AX47,AG47)*(-1),0)</f>
        <v>0</v>
      </c>
      <c r="BB47" s="997">
        <f>IFERROR(FV(S47/100/12,'נתוני יסוד'!$B$16*12,0,AH47)*(-1),0)</f>
        <v>0</v>
      </c>
      <c r="BC47" s="997">
        <f>IFERROR(FV(S47/100/12,'נתוני יסוד'!$B$16*12,AY47,AI47)*(-1),0)</f>
        <v>0</v>
      </c>
      <c r="BD47" s="997">
        <f>IFERROR(FV(S47/100/12,'נתוני יסוד'!$B$16*12,0,AJ47)*(-1),0)</f>
        <v>0</v>
      </c>
      <c r="BE47" s="997">
        <f>IFERROR(FV(S47/100/12,'נתוני יסוד'!$B$16*12,AZ47,AK47)*(-1),0)</f>
        <v>0</v>
      </c>
      <c r="BF47" s="997">
        <f t="shared" si="36"/>
        <v>0</v>
      </c>
      <c r="BG47" s="997">
        <f>IFERROR(FV(S47/100/12,'נתוני יסוד'!$B$16*12,AF47,AL47)*(-1),0)</f>
        <v>0</v>
      </c>
      <c r="BH47" s="997">
        <f t="shared" si="37"/>
        <v>0</v>
      </c>
      <c r="BI47" s="997">
        <f t="shared" si="38"/>
        <v>0</v>
      </c>
      <c r="BJ47" s="997">
        <f t="shared" si="39"/>
        <v>0</v>
      </c>
      <c r="BK47" s="997">
        <f t="shared" si="40"/>
        <v>0</v>
      </c>
      <c r="BL47" s="997">
        <f t="shared" si="47"/>
        <v>0</v>
      </c>
      <c r="BM47" s="997">
        <f t="shared" si="48"/>
        <v>0</v>
      </c>
      <c r="BN47" s="997">
        <f t="shared" si="49"/>
        <v>0</v>
      </c>
      <c r="BO47" s="997">
        <f t="shared" si="41"/>
        <v>0</v>
      </c>
      <c r="BP47" s="997">
        <f t="shared" si="50"/>
        <v>0</v>
      </c>
      <c r="BS47">
        <f t="shared" si="51"/>
        <v>0</v>
      </c>
      <c r="BT47">
        <f t="shared" si="52"/>
        <v>0</v>
      </c>
      <c r="BU47">
        <f t="shared" si="53"/>
        <v>0</v>
      </c>
      <c r="BV47">
        <f t="shared" si="42"/>
        <v>0</v>
      </c>
      <c r="BW47">
        <f t="shared" si="54"/>
        <v>0</v>
      </c>
      <c r="BY47" s="997">
        <f t="shared" si="55"/>
        <v>0</v>
      </c>
      <c r="BZ47" s="997">
        <f t="shared" si="56"/>
        <v>0</v>
      </c>
      <c r="CA47" s="997">
        <f t="shared" si="57"/>
        <v>0</v>
      </c>
      <c r="CB47" s="997">
        <f t="shared" si="43"/>
        <v>0</v>
      </c>
      <c r="CC47" s="997">
        <f t="shared" si="58"/>
        <v>0</v>
      </c>
      <c r="CD47" s="997">
        <f t="shared" si="13"/>
        <v>0</v>
      </c>
      <c r="CE47" s="997">
        <f t="shared" si="14"/>
        <v>0</v>
      </c>
      <c r="CF47" s="997">
        <f t="shared" si="15"/>
        <v>0</v>
      </c>
      <c r="CG47" s="997">
        <f t="shared" si="16"/>
        <v>0</v>
      </c>
      <c r="CH47" s="997">
        <f t="shared" si="17"/>
        <v>0</v>
      </c>
      <c r="CI47" s="997">
        <f t="shared" si="18"/>
        <v>0</v>
      </c>
      <c r="CJ47" s="997">
        <f t="shared" si="19"/>
        <v>0</v>
      </c>
      <c r="CK47" s="997"/>
      <c r="CL47" s="997"/>
      <c r="CM47" s="997">
        <f t="shared" si="59"/>
        <v>0</v>
      </c>
      <c r="CN47" s="997">
        <f t="shared" si="60"/>
        <v>0</v>
      </c>
      <c r="CO47" s="997">
        <f t="shared" si="61"/>
        <v>0</v>
      </c>
      <c r="CP47" s="997">
        <f t="shared" si="44"/>
        <v>0</v>
      </c>
      <c r="CQ47" s="997">
        <f t="shared" si="62"/>
        <v>0</v>
      </c>
      <c r="CR47" s="997">
        <f>IFERROR(VLOOKUP($B47,SchumeiBituahYesodi!$C$6:$AA$100,8,FALSE),0)</f>
        <v>0</v>
      </c>
      <c r="CS47" s="997">
        <f>IFERROR(VLOOKUP($B47,PirteiKisuiBeMutzar_procerur!$C$6:$AA$100,2,FALSE),0)</f>
        <v>0</v>
      </c>
      <c r="CT47" s="997">
        <f>IFERROR(VLOOKUP($B47,PirteiKisuiBeMutzar_procerur!$C$6:$AA$100,3,FALSE),0)</f>
        <v>0</v>
      </c>
      <c r="CU47" s="997">
        <f>IFERROR(VLOOKUP($B47,PirteiKisuiBeMutzar_procerur!$C$6:$AA$100,4,FALSE),0)</f>
        <v>0</v>
      </c>
      <c r="CV47" s="997">
        <f>IFERROR(VLOOKUP($B47,PirteiKisuiBeMutzar_procerur!$C$6:$AA$100,5,FALSE),0)</f>
        <v>0</v>
      </c>
      <c r="CW47" s="997">
        <f>IFERROR(VLOOKUP($B47,PirteiKisuiBeMutzar_procerur!$C$6:$AA$100,6,FALSE),0)</f>
        <v>0</v>
      </c>
      <c r="CX47" s="997">
        <f>IFERROR(VLOOKUP($B47,PirteiKisuiBeMutzar_procerur!$C$6:$AA$100,7,FALSE),0)</f>
        <v>0</v>
      </c>
      <c r="CY47" s="997">
        <f>IFERROR(VLOOKUP($B47,PirteiKisuiBeMutzar_procerur!$C$6:$AA$100,8,FALSE),0)</f>
        <v>0</v>
      </c>
      <c r="CZ47" s="997">
        <f>IFERROR(VLOOKUP($B47,PirteiKisuiBeMutzar_procerur!$C$6:$AA$100,9,FALSE),0)</f>
        <v>0</v>
      </c>
      <c r="DA47" s="997">
        <f>IFERROR(VLOOKUP($B47,PirteiKisuiBeMutzar_procerur!$C$6:$AA$100,10,FALSE),0)</f>
        <v>0</v>
      </c>
      <c r="DB47" s="997">
        <f>IFERROR(VLOOKUP($B47,PirteiKisuiBeMutzar_procerur!$C$6:$AA$100,11,FALSE),0)</f>
        <v>0</v>
      </c>
      <c r="DC47" s="997">
        <f>IFERROR(VLOOKUP($B47,PirteiKisuiBeMutzarPrmia!$C$6:$Z$100,2,FALSE),0)</f>
        <v>0</v>
      </c>
      <c r="DD47" s="997">
        <f>IFERROR(VLOOKUP($B47,PirteiKisuiBeMutzarPrmia!$C$6:$Z$100,3,FALSE),0)</f>
        <v>0</v>
      </c>
      <c r="DE47" s="997">
        <f>IFERROR(VLOOKUP($B47,PirteiKisuiBeMutzarPrmia!$C$6:$Z$100,4,FALSE),0)</f>
        <v>0</v>
      </c>
      <c r="DF47" s="997">
        <f>IFERROR(VLOOKUP($B47,PirteiKisuiBeMutzarPrmia!$C$6:$Z$100,5,FALSE),0)</f>
        <v>0</v>
      </c>
      <c r="DG47" s="997">
        <f>IFERROR(VLOOKUP($B47,PirteiKisuiBeMutzarPrmia!$C$6:$Z$100,6,FALSE),0)</f>
        <v>0</v>
      </c>
      <c r="DH47" s="997">
        <f>IFERROR(VLOOKUP($B47,PirteiKisuiBeMutzarPrmia!$C$6:$Z$100,7,FALSE),0)</f>
        <v>0</v>
      </c>
      <c r="DI47" s="997">
        <f>IFERROR(VLOOKUP($B47,PirteiKisuiBeMutzarPrmia!$C$6:$Z$100,8,FALSE),0)</f>
        <v>0</v>
      </c>
      <c r="DJ47" s="997">
        <f>IFERROR(VLOOKUP($B47,PirteiKisuiBeMutzarPrmia!$C$6:$Z$100,9,FALSE),0)</f>
        <v>0</v>
      </c>
      <c r="DK47" s="997">
        <f>IFERROR(VLOOKUP($B47,PirteiKisuiBeMutzarPrmia!$C$6:$Z$100,10,FALSE),0)</f>
        <v>0</v>
      </c>
      <c r="DL47" s="997">
        <f>IFERROR(VLOOKUP($B47,PirteiKisuiBeMutzarPrmia!$C$6:$Z$100,11,FALSE),0)</f>
        <v>0</v>
      </c>
      <c r="DM47" s="997">
        <f t="shared" si="24"/>
        <v>0</v>
      </c>
      <c r="DN47" s="997">
        <f t="shared" si="63"/>
        <v>0</v>
      </c>
      <c r="DO47" s="997">
        <f t="shared" si="64"/>
        <v>0</v>
      </c>
      <c r="DP47" s="997">
        <f t="shared" si="27"/>
        <v>0</v>
      </c>
      <c r="DQ47" s="997">
        <f t="shared" si="65"/>
        <v>0</v>
      </c>
      <c r="DR47" s="997">
        <f>IF(OR(L47=1,L47=3),IFERROR(VLOOKUP($B47,PerutHafkadotMetchilatShanaAvgM!$C$6:$G$100,3,FALSE),0),0)</f>
        <v>0</v>
      </c>
      <c r="DS47" s="997">
        <f>IF(OR(L47=2,L47=4),IFERROR(VLOOKUP($B47,PerutHafkadotMetchilatShanaAvgM!$C$6:$G$100,3,FALSE),0),0)</f>
        <v>0</v>
      </c>
      <c r="DT47" s="997">
        <f>IFERROR(VLOOKUP($B47,PerutHafkadotMetchilatShanaAvgM!$C$6:$G$100,4,FALSE),0)</f>
        <v>0</v>
      </c>
      <c r="DU47" s="997">
        <f>IFERROR(VLOOKUP($B47,Kupa!$D$6:$AA$100,5,FALSE),0)</f>
        <v>0</v>
      </c>
      <c r="DV47" s="997">
        <f>IFERROR(VLOOKUP($B47,Kupa!$D$6:$AA$100,6,FALSE),0)</f>
        <v>0</v>
      </c>
      <c r="DW47" s="997">
        <f>IFERROR(VLOOKUP($B47,KisuiBKerenPensiaDBWithParams!$D$6:$AP$100,9,FALSE),0)</f>
        <v>0</v>
      </c>
      <c r="DX47" s="997">
        <f>IFERROR(VLOOKUP($B47,KisuiBKerenPensiaDBWithParams!$D$6:$AP$100,12,FALSE),0)</f>
        <v>0</v>
      </c>
      <c r="DY47" s="997">
        <f>IFERROR(VLOOKUP($B47,KisuiBKerenPensiaDBWithParams!$D$6:$AP$100,13,FALSE),0)</f>
        <v>0</v>
      </c>
      <c r="DZ47" s="997">
        <f>IFERROR(VLOOKUP($B47,KisuiBKerenPensiaDBWithParams!$D$6:$AP$100,7,FALSE),0)</f>
        <v>0</v>
      </c>
      <c r="EA47" s="997">
        <f>IFERROR(VLOOKUP($B47,KisuiBKerenPensiaDBWithParams!$D$6:$AP$100,17,FALSE),0)</f>
        <v>0</v>
      </c>
      <c r="EB47" s="997">
        <f>IFERROR(VLOOKUP($B47,KisuiBKerenPensiaDBWithParams!$D$6:$AP$100,20,FALSE),0)</f>
        <v>0</v>
      </c>
      <c r="EC47" s="997">
        <f>IFERROR(VLOOKUP($B47,KisuiBKerenPensiaDBWithParams!$D$6:$AP$100,21,FALSE),0)</f>
        <v>0</v>
      </c>
      <c r="ED47" s="997">
        <f t="shared" si="45"/>
        <v>0</v>
      </c>
      <c r="EE47" s="997"/>
      <c r="EF47" s="1020">
        <f>IFERROR(VLOOKUP($B47,KisuiBKerenPensiaDBWithParams!$D$6:$AP$100,21,FALSE),0)</f>
        <v>0</v>
      </c>
      <c r="EG47" s="1020">
        <f>IFERROR(VLOOKUP($B47,KisuiBKerenPensiaDBWithParams!$D$6:$AP$100,21,FALSE),0)</f>
        <v>0</v>
      </c>
      <c r="EH47">
        <f>IF(OR(G47=MyData!$J$51,G47=MyData!$J$52,G47=MyData!$J$53),1,IF(G47=MyData!$J$50,2,0))</f>
        <v>0</v>
      </c>
      <c r="EI47">
        <f>IFERROR(VLOOKUP($B47,CrosstabPerutYitrotDB!$C$6:$N$50,3,FALSE),0)</f>
        <v>0</v>
      </c>
      <c r="EJ47">
        <f>IFERROR(VLOOKUP($B47,CrosstabPerutYitrotDB!$C$6:$N$50,4,FALSE),0)</f>
        <v>0</v>
      </c>
      <c r="EK47">
        <f>IFERROR(VLOOKUP($B47,CrosstabPerutYitrotDB!$C$6:$N$50,5,FALSE),0)</f>
        <v>0</v>
      </c>
      <c r="EL47">
        <f>IFERROR(VLOOKUP($B47,CrosstabPerutYitrotDB!$C$6:$N$50,6,FALSE),0)</f>
        <v>0</v>
      </c>
      <c r="EM47">
        <f>IFERROR(VLOOKUP($B47,CrosstabPerutYitrotDB!$C$6:$N$50,7,FALSE),0)</f>
        <v>0</v>
      </c>
      <c r="EN47">
        <f>IFERROR(VLOOKUP($B47,CrosstabPerutYitrotDB!$C$6:$N$50,8,FALSE),0)</f>
        <v>0</v>
      </c>
      <c r="EO47">
        <f>IFERROR(VLOOKUP($B47,CrosstabPerutYitrotDB!$C$6:$N$50,9,FALSE),0)</f>
        <v>0</v>
      </c>
      <c r="EP47">
        <f>IFERROR(VLOOKUP($B47,CrosstabPerutYitrotDB!$C$6:$N$50,10,FALSE),0)</f>
        <v>0</v>
      </c>
      <c r="EQ47">
        <f>IFERROR(VLOOKUP($B47,CrosstabPerutYitrotDB!$C$6:$N$50,11,FALSE),0)</f>
        <v>0</v>
      </c>
    </row>
    <row r="48" spans="1:147" x14ac:dyDescent="0.2">
      <c r="A48">
        <f t="shared" si="46"/>
        <v>0</v>
      </c>
      <c r="B48" s="20">
        <f>RicusPolice!E45</f>
        <v>0</v>
      </c>
      <c r="C48" s="20">
        <f>RicusPolice!AL45</f>
        <v>0</v>
      </c>
      <c r="D48" s="20">
        <f>RicusPolice!F45</f>
        <v>0</v>
      </c>
      <c r="E48" s="20">
        <f>RicusPolice!R45</f>
        <v>0</v>
      </c>
      <c r="F48" s="20">
        <f>RicusPolice!N45</f>
        <v>0</v>
      </c>
      <c r="G48" s="20">
        <f>IFERROR(VLOOKUP($B48,PerutYitrot!$D$6:$P$100,4,FALSE),0)</f>
        <v>0</v>
      </c>
      <c r="H48" s="20">
        <f t="shared" si="29"/>
        <v>0</v>
      </c>
      <c r="I48" s="20">
        <f>RicusPolice!L45</f>
        <v>0</v>
      </c>
      <c r="J48" s="179">
        <f>IFERROR(VLOOKUP(TRIM(K48),MyData!$J$44:$K$50,2,FALSE),0)</f>
        <v>0</v>
      </c>
      <c r="K48" s="20">
        <f>RicusPolice!M45</f>
        <v>0</v>
      </c>
      <c r="L48" s="20">
        <f>RicusPolice!AM45</f>
        <v>0</v>
      </c>
      <c r="M48" s="20" t="str">
        <f>IF(B48&gt;0,RicusPolice!Y45," ")</f>
        <v xml:space="preserve"> </v>
      </c>
      <c r="N48" s="20" t="str">
        <f t="shared" si="30"/>
        <v/>
      </c>
      <c r="O48" s="20">
        <f>RicusPolice!N45</f>
        <v>0</v>
      </c>
      <c r="P48" s="20">
        <f>IFERROR(VLOOKUP(B48,PerutMasluleiHashkaa!$D$6:$R$100,4,FALSE),0)</f>
        <v>0</v>
      </c>
      <c r="Q48" s="19"/>
      <c r="R48" s="1011" t="str">
        <f>IF(B48&gt;0,RicusPolice!P47," ")</f>
        <v xml:space="preserve"> </v>
      </c>
      <c r="S48" s="20">
        <f>IFERROR(VLOOKUP($B48,'נתונים ידניים'!$B$9:$G$51,6,FALSE),0)</f>
        <v>0</v>
      </c>
      <c r="T48" s="21">
        <f>'נתונים ידניים'!J49</f>
        <v>0</v>
      </c>
      <c r="U48" s="21">
        <f>'נתונים ידניים'!K49</f>
        <v>0</v>
      </c>
      <c r="V48" s="20">
        <f>IFERROR(VLOOKUP($B48,PerutHafrashotLePolisa!$D$6:$N$50,2,FALSE),0)</f>
        <v>0</v>
      </c>
      <c r="W48" s="20">
        <f>IFERROR(VLOOKUP($B48,PerutHafrashotLePolisa!$D$6:$N$50,4,FALSE),0)</f>
        <v>0</v>
      </c>
      <c r="X48" s="20">
        <f>IFERROR(VLOOKUP($B48,PerutHafrashotLePolisa!$D$6:$N$50,3,FALSE),0)</f>
        <v>0</v>
      </c>
      <c r="Y48">
        <f t="shared" si="31"/>
        <v>0</v>
      </c>
      <c r="Z48">
        <f>RicusPolice!AP45</f>
        <v>0</v>
      </c>
      <c r="AA48">
        <f>IFERROR(VLOOKUP(B48,PirteiHaasaka!$D$6:$R$100,5,FALSE),0)</f>
        <v>0</v>
      </c>
      <c r="AC48">
        <f>IFERROR(VLOOKUP(B48,HafkadotMetchilatShanaAverages!$D$6:$E$100,2,FALSE),0)</f>
        <v>0</v>
      </c>
      <c r="AF48">
        <f>'נתונים ידניים'!L49</f>
        <v>0</v>
      </c>
      <c r="AG48">
        <f>IFERROR(VLOOKUP(B48,CrossTabYitraLeTkufa_till_2000!$D$6:$AB$100,6,FALSE),0)+IFERROR(VLOOKUP(B48,CrossTabYitraLeTkufa_after_2000!$D$6:$AB$100,6,FALSE),0)</f>
        <v>0</v>
      </c>
      <c r="AH48">
        <f>IFERROR(VLOOKUP(B48,CrossTabYitraLeTkufa_till_2000!$D$6:$AB$100,16,FALSE),0)</f>
        <v>0</v>
      </c>
      <c r="AI48">
        <f>IFERROR(VLOOKUP(B48,CrossTabYitraLeTkufa_after_2000!$D$6:$AB$100,16,FALSE),0)</f>
        <v>0</v>
      </c>
      <c r="AJ48">
        <f>IFERROR(VLOOKUP(B48,CrossTabYitraLeTkufa_till_2000!$D$6:$AB$100,17,FALSE),0)</f>
        <v>0</v>
      </c>
      <c r="AK48">
        <f>IFERROR(VLOOKUP(B48,CrossTabYitraLeTkufa_after_2000!$D$6:$AB$100,17,FALSE),0)</f>
        <v>0</v>
      </c>
      <c r="AL48" s="5">
        <f t="shared" si="32"/>
        <v>0</v>
      </c>
      <c r="AO48">
        <f>IFERROR(VLOOKUP(B48,PirteiKisuiBeMutzar_procerur!$C$6:$AA$100,2,FALSE),0)</f>
        <v>0</v>
      </c>
      <c r="AQ48">
        <f>IFERROR(VLOOKUP($B48,PirteiKisuiBeMutzar_procerur!$C$6:$AA$100,5,FALSE),0)</f>
        <v>0</v>
      </c>
      <c r="AR48">
        <f>IFERROR(VLOOKUP($B48,PirteiKisuiBeMutzar_procerur!$C$6:$AA$100,3,FALSE),0)</f>
        <v>0</v>
      </c>
      <c r="AS48">
        <f>IFERROR(VLOOKUP($B48,PirteiKisuiBeMutzar_procerur!$C$6:$AA$100,6,FALSE),0)</f>
        <v>0</v>
      </c>
      <c r="AT48">
        <f>IFERROR(VLOOKUP($B48,PirteiKisuiBeMutzar_procerur!$C$6:$AA$100,7,FALSE),0)</f>
        <v>0</v>
      </c>
      <c r="AX48" s="997">
        <f t="shared" si="33"/>
        <v>0</v>
      </c>
      <c r="AY48" s="997">
        <f t="shared" si="34"/>
        <v>0</v>
      </c>
      <c r="AZ48" s="997">
        <f t="shared" si="35"/>
        <v>0</v>
      </c>
      <c r="BA48" s="997">
        <f>IFERROR(FV(S48/100/12,'נתוני יסוד'!$B$16*12,AX48,AG48)*(-1),0)</f>
        <v>0</v>
      </c>
      <c r="BB48" s="997">
        <f>IFERROR(FV(S48/100/12,'נתוני יסוד'!$B$16*12,0,AH48)*(-1),0)</f>
        <v>0</v>
      </c>
      <c r="BC48" s="997">
        <f>IFERROR(FV(S48/100/12,'נתוני יסוד'!$B$16*12,AY48,AI48)*(-1),0)</f>
        <v>0</v>
      </c>
      <c r="BD48" s="997">
        <f>IFERROR(FV(S48/100/12,'נתוני יסוד'!$B$16*12,0,AJ48)*(-1),0)</f>
        <v>0</v>
      </c>
      <c r="BE48" s="997">
        <f>IFERROR(FV(S48/100/12,'נתוני יסוד'!$B$16*12,AZ48,AK48)*(-1),0)</f>
        <v>0</v>
      </c>
      <c r="BF48" s="997">
        <f t="shared" si="36"/>
        <v>0</v>
      </c>
      <c r="BG48" s="997">
        <f>IFERROR(FV(S48/100/12,'נתוני יסוד'!$B$16*12,AF48,AL48)*(-1),0)</f>
        <v>0</v>
      </c>
      <c r="BH48" s="997">
        <f t="shared" si="37"/>
        <v>0</v>
      </c>
      <c r="BI48" s="997">
        <f t="shared" si="38"/>
        <v>0</v>
      </c>
      <c r="BJ48" s="997">
        <f t="shared" si="39"/>
        <v>0</v>
      </c>
      <c r="BK48" s="997">
        <f t="shared" si="40"/>
        <v>0</v>
      </c>
      <c r="BL48" s="997">
        <f t="shared" si="47"/>
        <v>0</v>
      </c>
      <c r="BM48" s="997">
        <f t="shared" si="48"/>
        <v>0</v>
      </c>
      <c r="BN48" s="997">
        <f t="shared" si="49"/>
        <v>0</v>
      </c>
      <c r="BO48" s="997">
        <f t="shared" si="41"/>
        <v>0</v>
      </c>
      <c r="BP48" s="997">
        <f t="shared" si="50"/>
        <v>0</v>
      </c>
      <c r="BS48">
        <f t="shared" si="51"/>
        <v>0</v>
      </c>
      <c r="BT48">
        <f t="shared" si="52"/>
        <v>0</v>
      </c>
      <c r="BU48">
        <f t="shared" si="53"/>
        <v>0</v>
      </c>
      <c r="BV48">
        <f t="shared" si="42"/>
        <v>0</v>
      </c>
      <c r="BW48">
        <f t="shared" si="54"/>
        <v>0</v>
      </c>
      <c r="BY48" s="997">
        <f t="shared" si="55"/>
        <v>0</v>
      </c>
      <c r="BZ48" s="997">
        <f t="shared" si="56"/>
        <v>0</v>
      </c>
      <c r="CA48" s="997">
        <f t="shared" si="57"/>
        <v>0</v>
      </c>
      <c r="CB48" s="997">
        <f t="shared" si="43"/>
        <v>0</v>
      </c>
      <c r="CC48" s="997">
        <f t="shared" si="58"/>
        <v>0</v>
      </c>
      <c r="CD48" s="997">
        <f t="shared" si="13"/>
        <v>0</v>
      </c>
      <c r="CE48" s="997">
        <f t="shared" si="14"/>
        <v>0</v>
      </c>
      <c r="CF48" s="997">
        <f t="shared" si="15"/>
        <v>0</v>
      </c>
      <c r="CG48" s="997">
        <f t="shared" si="16"/>
        <v>0</v>
      </c>
      <c r="CH48" s="997">
        <f t="shared" si="17"/>
        <v>0</v>
      </c>
      <c r="CI48" s="997">
        <f t="shared" si="18"/>
        <v>0</v>
      </c>
      <c r="CJ48" s="997">
        <f t="shared" si="19"/>
        <v>0</v>
      </c>
      <c r="CK48" s="997"/>
      <c r="CL48" s="997"/>
      <c r="CM48" s="997">
        <f t="shared" si="59"/>
        <v>0</v>
      </c>
      <c r="CN48" s="997">
        <f t="shared" si="60"/>
        <v>0</v>
      </c>
      <c r="CO48" s="997">
        <f t="shared" si="61"/>
        <v>0</v>
      </c>
      <c r="CP48" s="997">
        <f t="shared" si="44"/>
        <v>0</v>
      </c>
      <c r="CQ48" s="997">
        <f t="shared" si="62"/>
        <v>0</v>
      </c>
      <c r="CR48" s="997">
        <f>IFERROR(VLOOKUP($B48,SchumeiBituahYesodi!$C$6:$AA$100,8,FALSE),0)</f>
        <v>0</v>
      </c>
      <c r="CS48" s="997">
        <f>IFERROR(VLOOKUP($B48,PirteiKisuiBeMutzar_procerur!$C$6:$AA$100,2,FALSE),0)</f>
        <v>0</v>
      </c>
      <c r="CT48" s="997">
        <f>IFERROR(VLOOKUP($B48,PirteiKisuiBeMutzar_procerur!$C$6:$AA$100,3,FALSE),0)</f>
        <v>0</v>
      </c>
      <c r="CU48" s="997">
        <f>IFERROR(VLOOKUP($B48,PirteiKisuiBeMutzar_procerur!$C$6:$AA$100,4,FALSE),0)</f>
        <v>0</v>
      </c>
      <c r="CV48" s="997">
        <f>IFERROR(VLOOKUP($B48,PirteiKisuiBeMutzar_procerur!$C$6:$AA$100,5,FALSE),0)</f>
        <v>0</v>
      </c>
      <c r="CW48" s="997">
        <f>IFERROR(VLOOKUP($B48,PirteiKisuiBeMutzar_procerur!$C$6:$AA$100,6,FALSE),0)</f>
        <v>0</v>
      </c>
      <c r="CX48" s="997">
        <f>IFERROR(VLOOKUP($B48,PirteiKisuiBeMutzar_procerur!$C$6:$AA$100,7,FALSE),0)</f>
        <v>0</v>
      </c>
      <c r="CY48" s="997">
        <f>IFERROR(VLOOKUP($B48,PirteiKisuiBeMutzar_procerur!$C$6:$AA$100,8,FALSE),0)</f>
        <v>0</v>
      </c>
      <c r="CZ48" s="997">
        <f>IFERROR(VLOOKUP($B48,PirteiKisuiBeMutzar_procerur!$C$6:$AA$100,9,FALSE),0)</f>
        <v>0</v>
      </c>
      <c r="DA48" s="997">
        <f>IFERROR(VLOOKUP($B48,PirteiKisuiBeMutzar_procerur!$C$6:$AA$100,10,FALSE),0)</f>
        <v>0</v>
      </c>
      <c r="DB48" s="997">
        <f>IFERROR(VLOOKUP($B48,PirteiKisuiBeMutzar_procerur!$C$6:$AA$100,11,FALSE),0)</f>
        <v>0</v>
      </c>
      <c r="DC48" s="997">
        <f>IFERROR(VLOOKUP($B48,PirteiKisuiBeMutzarPrmia!$C$6:$Z$100,2,FALSE),0)</f>
        <v>0</v>
      </c>
      <c r="DD48" s="997">
        <f>IFERROR(VLOOKUP($B48,PirteiKisuiBeMutzarPrmia!$C$6:$Z$100,3,FALSE),0)</f>
        <v>0</v>
      </c>
      <c r="DE48" s="997">
        <f>IFERROR(VLOOKUP($B48,PirteiKisuiBeMutzarPrmia!$C$6:$Z$100,4,FALSE),0)</f>
        <v>0</v>
      </c>
      <c r="DF48" s="997">
        <f>IFERROR(VLOOKUP($B48,PirteiKisuiBeMutzarPrmia!$C$6:$Z$100,5,FALSE),0)</f>
        <v>0</v>
      </c>
      <c r="DG48" s="997">
        <f>IFERROR(VLOOKUP($B48,PirteiKisuiBeMutzarPrmia!$C$6:$Z$100,6,FALSE),0)</f>
        <v>0</v>
      </c>
      <c r="DH48" s="997">
        <f>IFERROR(VLOOKUP($B48,PirteiKisuiBeMutzarPrmia!$C$6:$Z$100,7,FALSE),0)</f>
        <v>0</v>
      </c>
      <c r="DI48" s="997">
        <f>IFERROR(VLOOKUP($B48,PirteiKisuiBeMutzarPrmia!$C$6:$Z$100,8,FALSE),0)</f>
        <v>0</v>
      </c>
      <c r="DJ48" s="997">
        <f>IFERROR(VLOOKUP($B48,PirteiKisuiBeMutzarPrmia!$C$6:$Z$100,9,FALSE),0)</f>
        <v>0</v>
      </c>
      <c r="DK48" s="997">
        <f>IFERROR(VLOOKUP($B48,PirteiKisuiBeMutzarPrmia!$C$6:$Z$100,10,FALSE),0)</f>
        <v>0</v>
      </c>
      <c r="DL48" s="997">
        <f>IFERROR(VLOOKUP($B48,PirteiKisuiBeMutzarPrmia!$C$6:$Z$100,11,FALSE),0)</f>
        <v>0</v>
      </c>
      <c r="DM48" s="997">
        <f t="shared" si="24"/>
        <v>0</v>
      </c>
      <c r="DN48" s="997">
        <f t="shared" si="63"/>
        <v>0</v>
      </c>
      <c r="DO48" s="997">
        <f t="shared" si="64"/>
        <v>0</v>
      </c>
      <c r="DP48" s="997">
        <f t="shared" si="27"/>
        <v>0</v>
      </c>
      <c r="DQ48" s="997">
        <f t="shared" si="65"/>
        <v>0</v>
      </c>
      <c r="DR48" s="997">
        <f>IF(OR(L48=1,L48=3),IFERROR(VLOOKUP($B48,PerutHafkadotMetchilatShanaAvgM!$C$6:$G$100,3,FALSE),0),0)</f>
        <v>0</v>
      </c>
      <c r="DS48" s="997">
        <f>IF(OR(L48=2,L48=4),IFERROR(VLOOKUP($B48,PerutHafkadotMetchilatShanaAvgM!$C$6:$G$100,3,FALSE),0),0)</f>
        <v>0</v>
      </c>
      <c r="DT48" s="997">
        <f>IFERROR(VLOOKUP($B48,PerutHafkadotMetchilatShanaAvgM!$C$6:$G$100,4,FALSE),0)</f>
        <v>0</v>
      </c>
      <c r="DU48" s="997">
        <f>IFERROR(VLOOKUP($B48,Kupa!$D$6:$AA$100,5,FALSE),0)</f>
        <v>0</v>
      </c>
      <c r="DV48" s="997">
        <f>IFERROR(VLOOKUP($B48,Kupa!$D$6:$AA$100,6,FALSE),0)</f>
        <v>0</v>
      </c>
      <c r="DW48" s="997">
        <f>IFERROR(VLOOKUP($B48,KisuiBKerenPensiaDBWithParams!$D$6:$AP$100,9,FALSE),0)</f>
        <v>0</v>
      </c>
      <c r="DX48" s="997">
        <f>IFERROR(VLOOKUP($B48,KisuiBKerenPensiaDBWithParams!$D$6:$AP$100,12,FALSE),0)</f>
        <v>0</v>
      </c>
      <c r="DY48" s="997">
        <f>IFERROR(VLOOKUP($B48,KisuiBKerenPensiaDBWithParams!$D$6:$AP$100,13,FALSE),0)</f>
        <v>0</v>
      </c>
      <c r="DZ48" s="997">
        <f>IFERROR(VLOOKUP($B48,KisuiBKerenPensiaDBWithParams!$D$6:$AP$100,7,FALSE),0)</f>
        <v>0</v>
      </c>
      <c r="EA48" s="997">
        <f>IFERROR(VLOOKUP($B48,KisuiBKerenPensiaDBWithParams!$D$6:$AP$100,17,FALSE),0)</f>
        <v>0</v>
      </c>
      <c r="EB48" s="997">
        <f>IFERROR(VLOOKUP($B48,KisuiBKerenPensiaDBWithParams!$D$6:$AP$100,20,FALSE),0)</f>
        <v>0</v>
      </c>
      <c r="EC48" s="997">
        <f>IFERROR(VLOOKUP($B48,KisuiBKerenPensiaDBWithParams!$D$6:$AP$100,21,FALSE),0)</f>
        <v>0</v>
      </c>
      <c r="ED48" s="997">
        <f t="shared" si="45"/>
        <v>0</v>
      </c>
      <c r="EE48" s="997"/>
      <c r="EF48" s="1020">
        <f>IFERROR(VLOOKUP($B48,KisuiBKerenPensiaDBWithParams!$D$6:$AP$100,21,FALSE),0)</f>
        <v>0</v>
      </c>
      <c r="EG48" s="1020">
        <f>IFERROR(VLOOKUP($B48,KisuiBKerenPensiaDBWithParams!$D$6:$AP$100,21,FALSE),0)</f>
        <v>0</v>
      </c>
      <c r="EH48">
        <f>IF(OR(G48=MyData!$J$51,G48=MyData!$J$52,G48=MyData!$J$53),1,IF(G48=MyData!$J$50,2,0))</f>
        <v>0</v>
      </c>
      <c r="EI48">
        <f>IFERROR(VLOOKUP($B48,CrosstabPerutYitrotDB!$C$6:$N$50,3,FALSE),0)</f>
        <v>0</v>
      </c>
      <c r="EJ48">
        <f>IFERROR(VLOOKUP($B48,CrosstabPerutYitrotDB!$C$6:$N$50,4,FALSE),0)</f>
        <v>0</v>
      </c>
      <c r="EK48">
        <f>IFERROR(VLOOKUP($B48,CrosstabPerutYitrotDB!$C$6:$N$50,5,FALSE),0)</f>
        <v>0</v>
      </c>
      <c r="EL48">
        <f>IFERROR(VLOOKUP($B48,CrosstabPerutYitrotDB!$C$6:$N$50,6,FALSE),0)</f>
        <v>0</v>
      </c>
      <c r="EM48">
        <f>IFERROR(VLOOKUP($B48,CrosstabPerutYitrotDB!$C$6:$N$50,7,FALSE),0)</f>
        <v>0</v>
      </c>
      <c r="EN48">
        <f>IFERROR(VLOOKUP($B48,CrosstabPerutYitrotDB!$C$6:$N$50,8,FALSE),0)</f>
        <v>0</v>
      </c>
      <c r="EO48">
        <f>IFERROR(VLOOKUP($B48,CrosstabPerutYitrotDB!$C$6:$N$50,9,FALSE),0)</f>
        <v>0</v>
      </c>
      <c r="EP48">
        <f>IFERROR(VLOOKUP($B48,CrosstabPerutYitrotDB!$C$6:$N$50,10,FALSE),0)</f>
        <v>0</v>
      </c>
      <c r="EQ48">
        <f>IFERROR(VLOOKUP($B48,CrosstabPerutYitrotDB!$C$6:$N$50,11,FALSE),0)</f>
        <v>0</v>
      </c>
    </row>
    <row r="49" spans="1:147" x14ac:dyDescent="0.2">
      <c r="A49">
        <f t="shared" si="46"/>
        <v>0</v>
      </c>
      <c r="B49" s="20">
        <f>RicusPolice!E46</f>
        <v>0</v>
      </c>
      <c r="C49" s="20">
        <f>RicusPolice!AL46</f>
        <v>0</v>
      </c>
      <c r="D49" s="20">
        <f>RicusPolice!F46</f>
        <v>0</v>
      </c>
      <c r="E49" s="20">
        <f>RicusPolice!R46</f>
        <v>0</v>
      </c>
      <c r="F49" s="20">
        <f>RicusPolice!N46</f>
        <v>0</v>
      </c>
      <c r="G49" s="20">
        <f>IFERROR(VLOOKUP($B49,PerutYitrot!$D$6:$P$100,4,FALSE),0)</f>
        <v>0</v>
      </c>
      <c r="H49" s="20">
        <f t="shared" si="29"/>
        <v>0</v>
      </c>
      <c r="I49" s="20">
        <f>RicusPolice!L46</f>
        <v>0</v>
      </c>
      <c r="J49" s="179">
        <f>IFERROR(VLOOKUP(TRIM(K49),MyData!$J$44:$K$50,2,FALSE),0)</f>
        <v>0</v>
      </c>
      <c r="K49" s="20">
        <f>RicusPolice!M46</f>
        <v>0</v>
      </c>
      <c r="L49" s="20">
        <f>RicusPolice!AM46</f>
        <v>0</v>
      </c>
      <c r="M49" s="20" t="str">
        <f>IF(B49&gt;0,RicusPolice!Y46," ")</f>
        <v xml:space="preserve"> </v>
      </c>
      <c r="N49" s="20" t="str">
        <f t="shared" si="30"/>
        <v/>
      </c>
      <c r="O49" s="20">
        <f>RicusPolice!N46</f>
        <v>0</v>
      </c>
      <c r="P49" s="20">
        <f>IFERROR(VLOOKUP(B49,PerutMasluleiHashkaa!$D$6:$R$100,4,FALSE),0)</f>
        <v>0</v>
      </c>
      <c r="Q49" s="19"/>
      <c r="R49" s="1011" t="str">
        <f>IF(B49&gt;0,RicusPolice!P48," ")</f>
        <v xml:space="preserve"> </v>
      </c>
      <c r="S49" s="20">
        <f>IFERROR(VLOOKUP($B49,'נתונים ידניים'!$B$9:$G$51,6,FALSE),0)</f>
        <v>0</v>
      </c>
      <c r="T49" s="21">
        <f>'נתונים ידניים'!J50</f>
        <v>0</v>
      </c>
      <c r="U49" s="21">
        <f>'נתונים ידניים'!K50</f>
        <v>0</v>
      </c>
      <c r="V49" s="20">
        <f>IFERROR(VLOOKUP($B49,PerutHafrashotLePolisa!$D$6:$N$50,2,FALSE),0)</f>
        <v>0</v>
      </c>
      <c r="W49" s="20">
        <f>IFERROR(VLOOKUP($B49,PerutHafrashotLePolisa!$D$6:$N$50,4,FALSE),0)</f>
        <v>0</v>
      </c>
      <c r="X49" s="20">
        <f>IFERROR(VLOOKUP($B49,PerutHafrashotLePolisa!$D$6:$N$50,3,FALSE),0)</f>
        <v>0</v>
      </c>
      <c r="Y49">
        <f t="shared" si="31"/>
        <v>0</v>
      </c>
      <c r="Z49">
        <f>RicusPolice!AP46</f>
        <v>0</v>
      </c>
      <c r="AA49">
        <f>IFERROR(VLOOKUP(B49,PirteiHaasaka!$D$6:$R$100,5,FALSE),0)</f>
        <v>0</v>
      </c>
      <c r="AC49">
        <f>IFERROR(VLOOKUP(B49,HafkadotMetchilatShanaAverages!$D$6:$E$100,2,FALSE),0)</f>
        <v>0</v>
      </c>
      <c r="AF49">
        <f>'נתונים ידניים'!L50</f>
        <v>0</v>
      </c>
      <c r="AG49">
        <f>IFERROR(VLOOKUP(B49,CrossTabYitraLeTkufa_till_2000!$D$6:$AB$100,6,FALSE),0)+IFERROR(VLOOKUP(B49,CrossTabYitraLeTkufa_after_2000!$D$6:$AB$100,6,FALSE),0)</f>
        <v>0</v>
      </c>
      <c r="AH49">
        <f>IFERROR(VLOOKUP(B49,CrossTabYitraLeTkufa_till_2000!$D$6:$AB$100,16,FALSE),0)</f>
        <v>0</v>
      </c>
      <c r="AI49">
        <f>IFERROR(VLOOKUP(B49,CrossTabYitraLeTkufa_after_2000!$D$6:$AB$100,16,FALSE),0)</f>
        <v>0</v>
      </c>
      <c r="AJ49">
        <f>IFERROR(VLOOKUP(B49,CrossTabYitraLeTkufa_till_2000!$D$6:$AB$100,17,FALSE),0)</f>
        <v>0</v>
      </c>
      <c r="AK49">
        <f>IFERROR(VLOOKUP(B49,CrossTabYitraLeTkufa_after_2000!$D$6:$AB$100,17,FALSE),0)</f>
        <v>0</v>
      </c>
      <c r="AL49" s="5">
        <f t="shared" si="32"/>
        <v>0</v>
      </c>
      <c r="AO49">
        <f>IFERROR(VLOOKUP(B49,PirteiKisuiBeMutzar_procerur!$C$6:$AA$100,2,FALSE),0)</f>
        <v>0</v>
      </c>
      <c r="AQ49">
        <f>IFERROR(VLOOKUP($B49,PirteiKisuiBeMutzar_procerur!$C$6:$AA$100,5,FALSE),0)</f>
        <v>0</v>
      </c>
      <c r="AR49">
        <f>IFERROR(VLOOKUP($B49,PirteiKisuiBeMutzar_procerur!$C$6:$AA$100,3,FALSE),0)</f>
        <v>0</v>
      </c>
      <c r="AS49">
        <f>IFERROR(VLOOKUP($B49,PirteiKisuiBeMutzar_procerur!$C$6:$AA$100,6,FALSE),0)</f>
        <v>0</v>
      </c>
      <c r="AT49">
        <f>IFERROR(VLOOKUP($B49,PirteiKisuiBeMutzar_procerur!$C$6:$AA$100,7,FALSE),0)</f>
        <v>0</v>
      </c>
      <c r="AX49" s="997">
        <f t="shared" si="33"/>
        <v>0</v>
      </c>
      <c r="AY49" s="997">
        <f t="shared" si="34"/>
        <v>0</v>
      </c>
      <c r="AZ49" s="997">
        <f t="shared" si="35"/>
        <v>0</v>
      </c>
      <c r="BA49" s="997">
        <f>IFERROR(FV(S49/100/12,'נתוני יסוד'!$B$16*12,AX49,AG49)*(-1),0)</f>
        <v>0</v>
      </c>
      <c r="BB49" s="997">
        <f>IFERROR(FV(S49/100/12,'נתוני יסוד'!$B$16*12,0,AH49)*(-1),0)</f>
        <v>0</v>
      </c>
      <c r="BC49" s="997">
        <f>IFERROR(FV(S49/100/12,'נתוני יסוד'!$B$16*12,AY49,AI49)*(-1),0)</f>
        <v>0</v>
      </c>
      <c r="BD49" s="997">
        <f>IFERROR(FV(S49/100/12,'נתוני יסוד'!$B$16*12,0,AJ49)*(-1),0)</f>
        <v>0</v>
      </c>
      <c r="BE49" s="997">
        <f>IFERROR(FV(S49/100/12,'נתוני יסוד'!$B$16*12,AZ49,AK49)*(-1),0)</f>
        <v>0</v>
      </c>
      <c r="BF49" s="997">
        <f t="shared" si="36"/>
        <v>0</v>
      </c>
      <c r="BG49" s="997">
        <f>IFERROR(FV(S49/100/12,'נתוני יסוד'!$B$16*12,AF49,AL49)*(-1),0)</f>
        <v>0</v>
      </c>
      <c r="BH49" s="997">
        <f t="shared" si="37"/>
        <v>0</v>
      </c>
      <c r="BI49" s="997">
        <f t="shared" si="38"/>
        <v>0</v>
      </c>
      <c r="BJ49" s="997">
        <f t="shared" si="39"/>
        <v>0</v>
      </c>
      <c r="BK49" s="997">
        <f t="shared" si="40"/>
        <v>0</v>
      </c>
      <c r="BL49" s="997">
        <f t="shared" si="47"/>
        <v>0</v>
      </c>
      <c r="BM49" s="997">
        <f t="shared" si="48"/>
        <v>0</v>
      </c>
      <c r="BN49" s="997">
        <f t="shared" si="49"/>
        <v>0</v>
      </c>
      <c r="BO49" s="997">
        <f t="shared" si="41"/>
        <v>0</v>
      </c>
      <c r="BP49" s="997">
        <f t="shared" si="50"/>
        <v>0</v>
      </c>
      <c r="BS49">
        <f t="shared" si="51"/>
        <v>0</v>
      </c>
      <c r="BT49">
        <f t="shared" si="52"/>
        <v>0</v>
      </c>
      <c r="BU49">
        <f t="shared" si="53"/>
        <v>0</v>
      </c>
      <c r="BV49">
        <f t="shared" si="42"/>
        <v>0</v>
      </c>
      <c r="BW49">
        <f t="shared" si="54"/>
        <v>0</v>
      </c>
      <c r="BY49" s="997">
        <f t="shared" si="55"/>
        <v>0</v>
      </c>
      <c r="BZ49" s="997">
        <f t="shared" si="56"/>
        <v>0</v>
      </c>
      <c r="CA49" s="997">
        <f t="shared" si="57"/>
        <v>0</v>
      </c>
      <c r="CB49" s="997">
        <f t="shared" si="43"/>
        <v>0</v>
      </c>
      <c r="CC49" s="997">
        <f t="shared" si="58"/>
        <v>0</v>
      </c>
      <c r="CD49" s="997">
        <f t="shared" si="13"/>
        <v>0</v>
      </c>
      <c r="CE49" s="997">
        <f t="shared" si="14"/>
        <v>0</v>
      </c>
      <c r="CF49" s="997">
        <f t="shared" si="15"/>
        <v>0</v>
      </c>
      <c r="CG49" s="997">
        <f t="shared" si="16"/>
        <v>0</v>
      </c>
      <c r="CH49" s="997">
        <f t="shared" si="17"/>
        <v>0</v>
      </c>
      <c r="CI49" s="997">
        <f t="shared" si="18"/>
        <v>0</v>
      </c>
      <c r="CJ49" s="997">
        <f t="shared" si="19"/>
        <v>0</v>
      </c>
      <c r="CK49" s="997"/>
      <c r="CL49" s="997"/>
      <c r="CM49" s="997">
        <f t="shared" si="59"/>
        <v>0</v>
      </c>
      <c r="CN49" s="997">
        <f t="shared" si="60"/>
        <v>0</v>
      </c>
      <c r="CO49" s="997">
        <f t="shared" si="61"/>
        <v>0</v>
      </c>
      <c r="CP49" s="997">
        <f t="shared" si="44"/>
        <v>0</v>
      </c>
      <c r="CQ49" s="997">
        <f t="shared" si="62"/>
        <v>0</v>
      </c>
      <c r="CR49" s="997">
        <f>IFERROR(VLOOKUP($B49,SchumeiBituahYesodi!$C$6:$AA$100,8,FALSE),0)</f>
        <v>0</v>
      </c>
      <c r="CS49" s="997">
        <f>IFERROR(VLOOKUP($B49,PirteiKisuiBeMutzar_procerur!$C$6:$AA$100,2,FALSE),0)</f>
        <v>0</v>
      </c>
      <c r="CT49" s="997">
        <f>IFERROR(VLOOKUP($B49,PirteiKisuiBeMutzar_procerur!$C$6:$AA$100,3,FALSE),0)</f>
        <v>0</v>
      </c>
      <c r="CU49" s="997">
        <f>IFERROR(VLOOKUP($B49,PirteiKisuiBeMutzar_procerur!$C$6:$AA$100,4,FALSE),0)</f>
        <v>0</v>
      </c>
      <c r="CV49" s="997">
        <f>IFERROR(VLOOKUP($B49,PirteiKisuiBeMutzar_procerur!$C$6:$AA$100,5,FALSE),0)</f>
        <v>0</v>
      </c>
      <c r="CW49" s="997">
        <f>IFERROR(VLOOKUP($B49,PirteiKisuiBeMutzar_procerur!$C$6:$AA$100,6,FALSE),0)</f>
        <v>0</v>
      </c>
      <c r="CX49" s="997">
        <f>IFERROR(VLOOKUP($B49,PirteiKisuiBeMutzar_procerur!$C$6:$AA$100,7,FALSE),0)</f>
        <v>0</v>
      </c>
      <c r="CY49" s="997">
        <f>IFERROR(VLOOKUP($B49,PirteiKisuiBeMutzar_procerur!$C$6:$AA$100,8,FALSE),0)</f>
        <v>0</v>
      </c>
      <c r="CZ49" s="997">
        <f>IFERROR(VLOOKUP($B49,PirteiKisuiBeMutzar_procerur!$C$6:$AA$100,9,FALSE),0)</f>
        <v>0</v>
      </c>
      <c r="DA49" s="997">
        <f>IFERROR(VLOOKUP($B49,PirteiKisuiBeMutzar_procerur!$C$6:$AA$100,10,FALSE),0)</f>
        <v>0</v>
      </c>
      <c r="DB49" s="997">
        <f>IFERROR(VLOOKUP($B49,PirteiKisuiBeMutzar_procerur!$C$6:$AA$100,11,FALSE),0)</f>
        <v>0</v>
      </c>
      <c r="DC49" s="997">
        <f>IFERROR(VLOOKUP($B49,PirteiKisuiBeMutzarPrmia!$C$6:$Z$100,2,FALSE),0)</f>
        <v>0</v>
      </c>
      <c r="DD49" s="997">
        <f>IFERROR(VLOOKUP($B49,PirteiKisuiBeMutzarPrmia!$C$6:$Z$100,3,FALSE),0)</f>
        <v>0</v>
      </c>
      <c r="DE49" s="997">
        <f>IFERROR(VLOOKUP($B49,PirteiKisuiBeMutzarPrmia!$C$6:$Z$100,4,FALSE),0)</f>
        <v>0</v>
      </c>
      <c r="DF49" s="997">
        <f>IFERROR(VLOOKUP($B49,PirteiKisuiBeMutzarPrmia!$C$6:$Z$100,5,FALSE),0)</f>
        <v>0</v>
      </c>
      <c r="DG49" s="997">
        <f>IFERROR(VLOOKUP($B49,PirteiKisuiBeMutzarPrmia!$C$6:$Z$100,6,FALSE),0)</f>
        <v>0</v>
      </c>
      <c r="DH49" s="997">
        <f>IFERROR(VLOOKUP($B49,PirteiKisuiBeMutzarPrmia!$C$6:$Z$100,7,FALSE),0)</f>
        <v>0</v>
      </c>
      <c r="DI49" s="997">
        <f>IFERROR(VLOOKUP($B49,PirteiKisuiBeMutzarPrmia!$C$6:$Z$100,8,FALSE),0)</f>
        <v>0</v>
      </c>
      <c r="DJ49" s="997">
        <f>IFERROR(VLOOKUP($B49,PirteiKisuiBeMutzarPrmia!$C$6:$Z$100,9,FALSE),0)</f>
        <v>0</v>
      </c>
      <c r="DK49" s="997">
        <f>IFERROR(VLOOKUP($B49,PirteiKisuiBeMutzarPrmia!$C$6:$Z$100,10,FALSE),0)</f>
        <v>0</v>
      </c>
      <c r="DL49" s="997">
        <f>IFERROR(VLOOKUP($B49,PirteiKisuiBeMutzarPrmia!$C$6:$Z$100,11,FALSE),0)</f>
        <v>0</v>
      </c>
      <c r="DM49" s="997">
        <f t="shared" si="24"/>
        <v>0</v>
      </c>
      <c r="DN49" s="997">
        <f t="shared" si="63"/>
        <v>0</v>
      </c>
      <c r="DO49" s="997">
        <f t="shared" si="64"/>
        <v>0</v>
      </c>
      <c r="DP49" s="997">
        <f t="shared" si="27"/>
        <v>0</v>
      </c>
      <c r="DQ49" s="997">
        <f t="shared" si="65"/>
        <v>0</v>
      </c>
      <c r="DR49" s="997">
        <f>IF(OR(L49=1,L49=3),IFERROR(VLOOKUP($B49,PerutHafkadotMetchilatShanaAvgM!$C$6:$G$100,3,FALSE),0),0)</f>
        <v>0</v>
      </c>
      <c r="DS49" s="997">
        <f>IF(OR(L49=2,L49=4),IFERROR(VLOOKUP($B49,PerutHafkadotMetchilatShanaAvgM!$C$6:$G$100,3,FALSE),0),0)</f>
        <v>0</v>
      </c>
      <c r="DT49" s="997">
        <f>IFERROR(VLOOKUP($B49,PerutHafkadotMetchilatShanaAvgM!$C$6:$G$100,4,FALSE),0)</f>
        <v>0</v>
      </c>
      <c r="DU49" s="997">
        <f>IFERROR(VLOOKUP($B49,Kupa!$D$6:$AA$100,5,FALSE),0)</f>
        <v>0</v>
      </c>
      <c r="DV49" s="997">
        <f>IFERROR(VLOOKUP($B49,Kupa!$D$6:$AA$100,6,FALSE),0)</f>
        <v>0</v>
      </c>
      <c r="DW49" s="997">
        <f>IFERROR(VLOOKUP($B49,KisuiBKerenPensiaDBWithParams!$D$6:$AP$100,9,FALSE),0)</f>
        <v>0</v>
      </c>
      <c r="DX49" s="997">
        <f>IFERROR(VLOOKUP($B49,KisuiBKerenPensiaDBWithParams!$D$6:$AP$100,12,FALSE),0)</f>
        <v>0</v>
      </c>
      <c r="DY49" s="997">
        <f>IFERROR(VLOOKUP($B49,KisuiBKerenPensiaDBWithParams!$D$6:$AP$100,13,FALSE),0)</f>
        <v>0</v>
      </c>
      <c r="DZ49" s="997">
        <f>IFERROR(VLOOKUP($B49,KisuiBKerenPensiaDBWithParams!$D$6:$AP$100,7,FALSE),0)</f>
        <v>0</v>
      </c>
      <c r="EA49" s="997">
        <f>IFERROR(VLOOKUP($B49,KisuiBKerenPensiaDBWithParams!$D$6:$AP$100,17,FALSE),0)</f>
        <v>0</v>
      </c>
      <c r="EB49" s="997">
        <f>IFERROR(VLOOKUP($B49,KisuiBKerenPensiaDBWithParams!$D$6:$AP$100,20,FALSE),0)</f>
        <v>0</v>
      </c>
      <c r="EC49" s="997">
        <f>IFERROR(VLOOKUP($B49,KisuiBKerenPensiaDBWithParams!$D$6:$AP$100,21,FALSE),0)</f>
        <v>0</v>
      </c>
      <c r="ED49" s="997">
        <f t="shared" si="45"/>
        <v>0</v>
      </c>
      <c r="EE49" s="997"/>
      <c r="EF49" s="1020">
        <f>IFERROR(VLOOKUP($B49,KisuiBKerenPensiaDBWithParams!$D$6:$AP$100,21,FALSE),0)</f>
        <v>0</v>
      </c>
      <c r="EG49" s="1020">
        <f>IFERROR(VLOOKUP($B49,KisuiBKerenPensiaDBWithParams!$D$6:$AP$100,21,FALSE),0)</f>
        <v>0</v>
      </c>
      <c r="EH49">
        <f>IF(OR(G49=MyData!$J$51,G49=MyData!$J$52,G49=MyData!$J$53),1,IF(G49=MyData!$J$50,2,0))</f>
        <v>0</v>
      </c>
      <c r="EI49">
        <f>IFERROR(VLOOKUP($B49,CrosstabPerutYitrotDB!$C$6:$N$50,3,FALSE),0)</f>
        <v>0</v>
      </c>
      <c r="EJ49">
        <f>IFERROR(VLOOKUP($B49,CrosstabPerutYitrotDB!$C$6:$N$50,4,FALSE),0)</f>
        <v>0</v>
      </c>
      <c r="EK49">
        <f>IFERROR(VLOOKUP($B49,CrosstabPerutYitrotDB!$C$6:$N$50,5,FALSE),0)</f>
        <v>0</v>
      </c>
      <c r="EL49">
        <f>IFERROR(VLOOKUP($B49,CrosstabPerutYitrotDB!$C$6:$N$50,6,FALSE),0)</f>
        <v>0</v>
      </c>
      <c r="EM49">
        <f>IFERROR(VLOOKUP($B49,CrosstabPerutYitrotDB!$C$6:$N$50,7,FALSE),0)</f>
        <v>0</v>
      </c>
      <c r="EN49">
        <f>IFERROR(VLOOKUP($B49,CrosstabPerutYitrotDB!$C$6:$N$50,8,FALSE),0)</f>
        <v>0</v>
      </c>
      <c r="EO49">
        <f>IFERROR(VLOOKUP($B49,CrosstabPerutYitrotDB!$C$6:$N$50,9,FALSE),0)</f>
        <v>0</v>
      </c>
      <c r="EP49">
        <f>IFERROR(VLOOKUP($B49,CrosstabPerutYitrotDB!$C$6:$N$50,10,FALSE),0)</f>
        <v>0</v>
      </c>
      <c r="EQ49">
        <f>IFERROR(VLOOKUP($B49,CrosstabPerutYitrotDB!$C$6:$N$50,11,FALSE),0)</f>
        <v>0</v>
      </c>
    </row>
    <row r="50" spans="1:147" x14ac:dyDescent="0.2">
      <c r="A50">
        <f t="shared" si="46"/>
        <v>0</v>
      </c>
      <c r="B50" s="20">
        <f>RicusPolice!E47</f>
        <v>0</v>
      </c>
      <c r="C50" s="20">
        <f>RicusPolice!AL47</f>
        <v>0</v>
      </c>
      <c r="D50" s="20">
        <f>RicusPolice!F47</f>
        <v>0</v>
      </c>
      <c r="E50" s="20">
        <f>RicusPolice!R47</f>
        <v>0</v>
      </c>
      <c r="F50" s="20">
        <f>RicusPolice!N47</f>
        <v>0</v>
      </c>
      <c r="G50" s="20">
        <f>IFERROR(VLOOKUP($B50,PerutYitrot!$D$6:$P$100,4,FALSE),0)</f>
        <v>0</v>
      </c>
      <c r="H50" s="20">
        <f t="shared" si="29"/>
        <v>0</v>
      </c>
      <c r="I50" s="20">
        <f>RicusPolice!L47</f>
        <v>0</v>
      </c>
      <c r="J50" s="179">
        <f>IFERROR(VLOOKUP(TRIM(K50),MyData!$J$44:$K$50,2,FALSE),0)</f>
        <v>0</v>
      </c>
      <c r="K50" s="20">
        <f>RicusPolice!M47</f>
        <v>0</v>
      </c>
      <c r="L50" s="20">
        <f>RicusPolice!AM47</f>
        <v>0</v>
      </c>
      <c r="M50" s="20" t="str">
        <f>IF(B50&gt;0,RicusPolice!Y47," ")</f>
        <v xml:space="preserve"> </v>
      </c>
      <c r="N50" s="20" t="str">
        <f t="shared" si="30"/>
        <v/>
      </c>
      <c r="O50" s="20">
        <f>RicusPolice!N47</f>
        <v>0</v>
      </c>
      <c r="P50" s="20">
        <f>IFERROR(VLOOKUP(B50,PerutMasluleiHashkaa!$D$6:$R$100,4,FALSE),0)</f>
        <v>0</v>
      </c>
      <c r="Q50" s="19"/>
      <c r="R50" s="1011" t="str">
        <f>IF(B50&gt;0,RicusPolice!P49," ")</f>
        <v xml:space="preserve"> </v>
      </c>
      <c r="S50" s="20">
        <f>IFERROR(VLOOKUP($B50,'נתונים ידניים'!$B$9:$G$51,6,FALSE),0)</f>
        <v>0</v>
      </c>
      <c r="T50" s="21">
        <f>'נתונים ידניים'!J51</f>
        <v>0</v>
      </c>
      <c r="U50" s="21">
        <f>'נתונים ידניים'!K51</f>
        <v>0</v>
      </c>
      <c r="V50" s="20">
        <f>IFERROR(VLOOKUP($B50,PerutHafrashotLePolisa!$D$6:$N$50,2,FALSE),0)</f>
        <v>0</v>
      </c>
      <c r="W50" s="20">
        <f>IFERROR(VLOOKUP($B50,PerutHafrashotLePolisa!$D$6:$N$50,4,FALSE),0)</f>
        <v>0</v>
      </c>
      <c r="X50" s="20">
        <f>IFERROR(VLOOKUP($B50,PerutHafrashotLePolisa!$D$6:$N$50,3,FALSE),0)</f>
        <v>0</v>
      </c>
      <c r="Y50">
        <f t="shared" si="31"/>
        <v>0</v>
      </c>
      <c r="Z50">
        <f>RicusPolice!AP47</f>
        <v>0</v>
      </c>
      <c r="AA50">
        <f>IFERROR(VLOOKUP(B50,PirteiHaasaka!$D$6:$R$100,5,FALSE),0)</f>
        <v>0</v>
      </c>
      <c r="AC50">
        <f>IFERROR(VLOOKUP(B50,HafkadotMetchilatShanaAverages!$D$6:$E$100,2,FALSE),0)</f>
        <v>0</v>
      </c>
      <c r="AF50">
        <f>'נתונים ידניים'!L51</f>
        <v>0</v>
      </c>
      <c r="AG50">
        <f>IFERROR(VLOOKUP(B50,CrossTabYitraLeTkufa_till_2000!$D$6:$AB$100,6,FALSE),0)+IFERROR(VLOOKUP(B50,CrossTabYitraLeTkufa_after_2000!$D$6:$AB$100,6,FALSE),0)</f>
        <v>0</v>
      </c>
      <c r="AH50">
        <f>IFERROR(VLOOKUP(B50,CrossTabYitraLeTkufa_till_2000!$D$6:$AB$100,16,FALSE),0)</f>
        <v>0</v>
      </c>
      <c r="AI50">
        <f>IFERROR(VLOOKUP(B50,CrossTabYitraLeTkufa_after_2000!$D$6:$AB$100,16,FALSE),0)</f>
        <v>0</v>
      </c>
      <c r="AJ50">
        <f>IFERROR(VLOOKUP(B50,CrossTabYitraLeTkufa_till_2000!$D$6:$AB$100,17,FALSE),0)</f>
        <v>0</v>
      </c>
      <c r="AK50">
        <f>IFERROR(VLOOKUP(B50,CrossTabYitraLeTkufa_after_2000!$D$6:$AB$100,17,FALSE),0)</f>
        <v>0</v>
      </c>
      <c r="AL50" s="5">
        <f t="shared" si="32"/>
        <v>0</v>
      </c>
      <c r="AO50">
        <f>IFERROR(VLOOKUP(B50,PirteiKisuiBeMutzar_procerur!$C$6:$AA$100,2,FALSE),0)</f>
        <v>0</v>
      </c>
      <c r="AQ50">
        <f>IFERROR(VLOOKUP($B50,PirteiKisuiBeMutzar_procerur!$C$6:$AA$100,5,FALSE),0)</f>
        <v>0</v>
      </c>
      <c r="AR50">
        <f>IFERROR(VLOOKUP($B50,PirteiKisuiBeMutzar_procerur!$C$6:$AA$100,3,FALSE),0)</f>
        <v>0</v>
      </c>
      <c r="AS50">
        <f>IFERROR(VLOOKUP($B50,PirteiKisuiBeMutzar_procerur!$C$6:$AA$100,6,FALSE),0)</f>
        <v>0</v>
      </c>
      <c r="AT50">
        <f>IFERROR(VLOOKUP($B50,PirteiKisuiBeMutzar_procerur!$C$6:$AA$100,7,FALSE),0)</f>
        <v>0</v>
      </c>
      <c r="AX50" s="997">
        <f t="shared" si="33"/>
        <v>0</v>
      </c>
      <c r="AY50" s="997">
        <f t="shared" si="34"/>
        <v>0</v>
      </c>
      <c r="AZ50" s="997">
        <f t="shared" si="35"/>
        <v>0</v>
      </c>
      <c r="BA50" s="997">
        <f>IFERROR(FV(S50/100/12,'נתוני יסוד'!$B$16*12,AX50,AG50)*(-1),0)</f>
        <v>0</v>
      </c>
      <c r="BB50" s="997">
        <f>IFERROR(FV(S50/100/12,'נתוני יסוד'!$B$16*12,0,AH50)*(-1),0)</f>
        <v>0</v>
      </c>
      <c r="BC50" s="997">
        <f>IFERROR(FV(S50/100/12,'נתוני יסוד'!$B$16*12,AY50,AI50)*(-1),0)</f>
        <v>0</v>
      </c>
      <c r="BD50" s="997">
        <f>IFERROR(FV(S50/100/12,'נתוני יסוד'!$B$16*12,0,AJ50)*(-1),0)</f>
        <v>0</v>
      </c>
      <c r="BE50" s="997">
        <f>IFERROR(FV(S50/100/12,'נתוני יסוד'!$B$16*12,AZ50,AK50)*(-1),0)</f>
        <v>0</v>
      </c>
      <c r="BF50" s="997">
        <f t="shared" si="36"/>
        <v>0</v>
      </c>
      <c r="BG50" s="997">
        <f>IFERROR(FV(S50/100/12,'נתוני יסוד'!$B$16*12,AF50,AL50)*(-1),0)</f>
        <v>0</v>
      </c>
      <c r="BH50" s="997">
        <f t="shared" si="37"/>
        <v>0</v>
      </c>
      <c r="BI50" s="997">
        <f t="shared" si="38"/>
        <v>0</v>
      </c>
      <c r="BJ50" s="997">
        <f t="shared" si="39"/>
        <v>0</v>
      </c>
      <c r="BK50" s="997">
        <f t="shared" si="40"/>
        <v>0</v>
      </c>
      <c r="BL50" s="997">
        <f t="shared" si="47"/>
        <v>0</v>
      </c>
      <c r="BM50" s="997">
        <f t="shared" si="48"/>
        <v>0</v>
      </c>
      <c r="BN50" s="997">
        <f t="shared" si="49"/>
        <v>0</v>
      </c>
      <c r="BO50" s="997">
        <f t="shared" si="41"/>
        <v>0</v>
      </c>
      <c r="BP50" s="997">
        <f t="shared" si="50"/>
        <v>0</v>
      </c>
      <c r="BS50">
        <f t="shared" si="51"/>
        <v>0</v>
      </c>
      <c r="BT50">
        <f t="shared" si="52"/>
        <v>0</v>
      </c>
      <c r="BU50">
        <f t="shared" si="53"/>
        <v>0</v>
      </c>
      <c r="BV50">
        <f t="shared" si="42"/>
        <v>0</v>
      </c>
      <c r="BW50">
        <f t="shared" si="54"/>
        <v>0</v>
      </c>
      <c r="BY50" s="997">
        <f t="shared" si="55"/>
        <v>0</v>
      </c>
      <c r="BZ50" s="997">
        <f t="shared" si="56"/>
        <v>0</v>
      </c>
      <c r="CA50" s="997">
        <f t="shared" si="57"/>
        <v>0</v>
      </c>
      <c r="CB50" s="997">
        <f t="shared" si="43"/>
        <v>0</v>
      </c>
      <c r="CC50" s="997">
        <f t="shared" si="58"/>
        <v>0</v>
      </c>
      <c r="CD50" s="997">
        <f t="shared" si="13"/>
        <v>0</v>
      </c>
      <c r="CE50" s="997">
        <f t="shared" si="14"/>
        <v>0</v>
      </c>
      <c r="CF50" s="997">
        <f t="shared" si="15"/>
        <v>0</v>
      </c>
      <c r="CG50" s="997">
        <f t="shared" si="16"/>
        <v>0</v>
      </c>
      <c r="CH50" s="997">
        <f t="shared" si="17"/>
        <v>0</v>
      </c>
      <c r="CI50" s="997">
        <f t="shared" si="18"/>
        <v>0</v>
      </c>
      <c r="CJ50" s="997">
        <f t="shared" si="19"/>
        <v>0</v>
      </c>
      <c r="CK50" s="997"/>
      <c r="CL50" s="997"/>
      <c r="CM50" s="997">
        <f t="shared" si="59"/>
        <v>0</v>
      </c>
      <c r="CN50" s="997">
        <f t="shared" si="60"/>
        <v>0</v>
      </c>
      <c r="CO50" s="997">
        <f t="shared" si="61"/>
        <v>0</v>
      </c>
      <c r="CP50" s="997">
        <f t="shared" si="44"/>
        <v>0</v>
      </c>
      <c r="CQ50" s="997">
        <f t="shared" si="62"/>
        <v>0</v>
      </c>
      <c r="CR50" s="997">
        <f>IFERROR(VLOOKUP($B50,SchumeiBituahYesodi!$C$6:$AA$100,8,FALSE),0)</f>
        <v>0</v>
      </c>
      <c r="CS50" s="997">
        <f>IFERROR(VLOOKUP($B50,PirteiKisuiBeMutzar_procerur!$C$6:$AA$100,2,FALSE),0)</f>
        <v>0</v>
      </c>
      <c r="CT50" s="997">
        <f>IFERROR(VLOOKUP($B50,PirteiKisuiBeMutzar_procerur!$C$6:$AA$100,3,FALSE),0)</f>
        <v>0</v>
      </c>
      <c r="CU50" s="997">
        <f>IFERROR(VLOOKUP($B50,PirteiKisuiBeMutzar_procerur!$C$6:$AA$100,4,FALSE),0)</f>
        <v>0</v>
      </c>
      <c r="CV50" s="997">
        <f>IFERROR(VLOOKUP($B50,PirteiKisuiBeMutzar_procerur!$C$6:$AA$100,5,FALSE),0)</f>
        <v>0</v>
      </c>
      <c r="CW50" s="997">
        <f>IFERROR(VLOOKUP($B50,PirteiKisuiBeMutzar_procerur!$C$6:$AA$100,6,FALSE),0)</f>
        <v>0</v>
      </c>
      <c r="CX50" s="997">
        <f>IFERROR(VLOOKUP($B50,PirteiKisuiBeMutzar_procerur!$C$6:$AA$100,7,FALSE),0)</f>
        <v>0</v>
      </c>
      <c r="CY50" s="997">
        <f>IFERROR(VLOOKUP($B50,PirteiKisuiBeMutzar_procerur!$C$6:$AA$100,8,FALSE),0)</f>
        <v>0</v>
      </c>
      <c r="CZ50" s="997">
        <f>IFERROR(VLOOKUP($B50,PirteiKisuiBeMutzar_procerur!$C$6:$AA$100,9,FALSE),0)</f>
        <v>0</v>
      </c>
      <c r="DA50" s="997">
        <f>IFERROR(VLOOKUP($B50,PirteiKisuiBeMutzar_procerur!$C$6:$AA$100,10,FALSE),0)</f>
        <v>0</v>
      </c>
      <c r="DB50" s="997">
        <f>IFERROR(VLOOKUP($B50,PirteiKisuiBeMutzar_procerur!$C$6:$AA$100,11,FALSE),0)</f>
        <v>0</v>
      </c>
      <c r="DC50" s="997">
        <f>IFERROR(VLOOKUP($B50,PirteiKisuiBeMutzarPrmia!$C$6:$Z$100,2,FALSE),0)</f>
        <v>0</v>
      </c>
      <c r="DD50" s="997">
        <f>IFERROR(VLOOKUP($B50,PirteiKisuiBeMutzarPrmia!$C$6:$Z$100,3,FALSE),0)</f>
        <v>0</v>
      </c>
      <c r="DE50" s="997">
        <f>IFERROR(VLOOKUP($B50,PirteiKisuiBeMutzarPrmia!$C$6:$Z$100,4,FALSE),0)</f>
        <v>0</v>
      </c>
      <c r="DF50" s="997">
        <f>IFERROR(VLOOKUP($B50,PirteiKisuiBeMutzarPrmia!$C$6:$Z$100,5,FALSE),0)</f>
        <v>0</v>
      </c>
      <c r="DG50" s="997">
        <f>IFERROR(VLOOKUP($B50,PirteiKisuiBeMutzarPrmia!$C$6:$Z$100,6,FALSE),0)</f>
        <v>0</v>
      </c>
      <c r="DH50" s="997">
        <f>IFERROR(VLOOKUP($B50,PirteiKisuiBeMutzarPrmia!$C$6:$Z$100,7,FALSE),0)</f>
        <v>0</v>
      </c>
      <c r="DI50" s="997">
        <f>IFERROR(VLOOKUP($B50,PirteiKisuiBeMutzarPrmia!$C$6:$Z$100,8,FALSE),0)</f>
        <v>0</v>
      </c>
      <c r="DJ50" s="997">
        <f>IFERROR(VLOOKUP($B50,PirteiKisuiBeMutzarPrmia!$C$6:$Z$100,9,FALSE),0)</f>
        <v>0</v>
      </c>
      <c r="DK50" s="997">
        <f>IFERROR(VLOOKUP($B50,PirteiKisuiBeMutzarPrmia!$C$6:$Z$100,10,FALSE),0)</f>
        <v>0</v>
      </c>
      <c r="DL50" s="997">
        <f>IFERROR(VLOOKUP($B50,PirteiKisuiBeMutzarPrmia!$C$6:$Z$100,11,FALSE),0)</f>
        <v>0</v>
      </c>
      <c r="DM50" s="997">
        <f t="shared" si="24"/>
        <v>0</v>
      </c>
      <c r="DN50" s="997">
        <f t="shared" si="63"/>
        <v>0</v>
      </c>
      <c r="DO50" s="997">
        <f t="shared" si="64"/>
        <v>0</v>
      </c>
      <c r="DP50" s="997">
        <f t="shared" si="27"/>
        <v>0</v>
      </c>
      <c r="DQ50" s="997">
        <f t="shared" si="65"/>
        <v>0</v>
      </c>
      <c r="DR50" s="997">
        <f>IF(OR(L50=1,L50=3),IFERROR(VLOOKUP($B50,PerutHafkadotMetchilatShanaAvgM!$C$6:$G$100,3,FALSE),0),0)</f>
        <v>0</v>
      </c>
      <c r="DS50" s="997">
        <f>IF(OR(L50=2,L50=4),IFERROR(VLOOKUP($B50,PerutHafkadotMetchilatShanaAvgM!$C$6:$G$100,3,FALSE),0),0)</f>
        <v>0</v>
      </c>
      <c r="DT50" s="997">
        <f>IFERROR(VLOOKUP($B50,PerutHafkadotMetchilatShanaAvgM!$C$6:$G$100,4,FALSE),0)</f>
        <v>0</v>
      </c>
      <c r="DU50" s="997">
        <f>IFERROR(VLOOKUP($B50,Kupa!$D$6:$AA$100,5,FALSE),0)</f>
        <v>0</v>
      </c>
      <c r="DV50" s="997">
        <f>IFERROR(VLOOKUP($B50,Kupa!$D$6:$AA$100,6,FALSE),0)</f>
        <v>0</v>
      </c>
      <c r="DW50" s="997">
        <f>IFERROR(VLOOKUP($B50,KisuiBKerenPensiaDBWithParams!$D$6:$AP$100,9,FALSE),0)</f>
        <v>0</v>
      </c>
      <c r="DX50" s="997">
        <f>IFERROR(VLOOKUP($B50,KisuiBKerenPensiaDBWithParams!$D$6:$AP$100,12,FALSE),0)</f>
        <v>0</v>
      </c>
      <c r="DY50" s="997">
        <f>IFERROR(VLOOKUP($B50,KisuiBKerenPensiaDBWithParams!$D$6:$AP$100,13,FALSE),0)</f>
        <v>0</v>
      </c>
      <c r="DZ50" s="997">
        <f>IFERROR(VLOOKUP($B50,KisuiBKerenPensiaDBWithParams!$D$6:$AP$100,7,FALSE),0)</f>
        <v>0</v>
      </c>
      <c r="EA50" s="997">
        <f>IFERROR(VLOOKUP($B50,KisuiBKerenPensiaDBWithParams!$D$6:$AP$100,17,FALSE),0)</f>
        <v>0</v>
      </c>
      <c r="EB50" s="997">
        <f>IFERROR(VLOOKUP($B50,KisuiBKerenPensiaDBWithParams!$D$6:$AP$100,20,FALSE),0)</f>
        <v>0</v>
      </c>
      <c r="EC50" s="997">
        <f>IFERROR(VLOOKUP($B50,KisuiBKerenPensiaDBWithParams!$D$6:$AP$100,21,FALSE),0)</f>
        <v>0</v>
      </c>
      <c r="ED50" s="997">
        <f t="shared" si="45"/>
        <v>0</v>
      </c>
      <c r="EE50" s="997"/>
      <c r="EF50" s="1020">
        <f>IFERROR(VLOOKUP($B50,KisuiBKerenPensiaDBWithParams!$D$6:$AP$100,21,FALSE),0)</f>
        <v>0</v>
      </c>
      <c r="EG50" s="1020">
        <f>IFERROR(VLOOKUP($B50,KisuiBKerenPensiaDBWithParams!$D$6:$AP$100,21,FALSE),0)</f>
        <v>0</v>
      </c>
      <c r="EH50">
        <f>IF(OR(G50=MyData!$J$51,G50=MyData!$J$52,G50=MyData!$J$53),1,IF(G50=MyData!$J$50,2,0))</f>
        <v>0</v>
      </c>
      <c r="EI50">
        <f>IFERROR(VLOOKUP($B50,CrosstabPerutYitrotDB!$C$6:$N$50,3,FALSE),0)</f>
        <v>0</v>
      </c>
      <c r="EJ50">
        <f>IFERROR(VLOOKUP($B50,CrosstabPerutYitrotDB!$C$6:$N$50,4,FALSE),0)</f>
        <v>0</v>
      </c>
      <c r="EK50">
        <f>IFERROR(VLOOKUP($B50,CrosstabPerutYitrotDB!$C$6:$N$50,5,FALSE),0)</f>
        <v>0</v>
      </c>
      <c r="EL50">
        <f>IFERROR(VLOOKUP($B50,CrosstabPerutYitrotDB!$C$6:$N$50,6,FALSE),0)</f>
        <v>0</v>
      </c>
      <c r="EM50">
        <f>IFERROR(VLOOKUP($B50,CrosstabPerutYitrotDB!$C$6:$N$50,7,FALSE),0)</f>
        <v>0</v>
      </c>
      <c r="EN50">
        <f>IFERROR(VLOOKUP($B50,CrosstabPerutYitrotDB!$C$6:$N$50,8,FALSE),0)</f>
        <v>0</v>
      </c>
      <c r="EO50">
        <f>IFERROR(VLOOKUP($B50,CrosstabPerutYitrotDB!$C$6:$N$50,9,FALSE),0)</f>
        <v>0</v>
      </c>
      <c r="EP50">
        <f>IFERROR(VLOOKUP($B50,CrosstabPerutYitrotDB!$C$6:$N$50,10,FALSE),0)</f>
        <v>0</v>
      </c>
      <c r="EQ50">
        <f>IFERROR(VLOOKUP($B50,CrosstabPerutYitrotDB!$C$6:$N$50,11,FALSE),0)</f>
        <v>0</v>
      </c>
    </row>
    <row r="51" spans="1:147" x14ac:dyDescent="0.2">
      <c r="A51">
        <f t="shared" si="46"/>
        <v>0</v>
      </c>
      <c r="B51" s="20">
        <f>RicusPolice!E48</f>
        <v>0</v>
      </c>
      <c r="C51" s="20">
        <f>RicusPolice!AL48</f>
        <v>0</v>
      </c>
      <c r="D51" s="20">
        <f>RicusPolice!F48</f>
        <v>0</v>
      </c>
      <c r="E51" s="20">
        <f>RicusPolice!R48</f>
        <v>0</v>
      </c>
      <c r="F51" s="20">
        <f>RicusPolice!N48</f>
        <v>0</v>
      </c>
      <c r="G51" s="20">
        <f>IFERROR(VLOOKUP($B51,PerutYitrot!$D$6:$P$100,4,FALSE),0)</f>
        <v>0</v>
      </c>
      <c r="H51" s="20">
        <f t="shared" si="29"/>
        <v>0</v>
      </c>
      <c r="I51" s="20">
        <f>RicusPolice!L48</f>
        <v>0</v>
      </c>
      <c r="J51" s="179">
        <f>IFERROR(VLOOKUP(TRIM(K51),MyData!$J$44:$K$50,2,FALSE),0)</f>
        <v>0</v>
      </c>
      <c r="K51" s="20">
        <f>RicusPolice!M48</f>
        <v>0</v>
      </c>
      <c r="L51" s="20">
        <f>RicusPolice!AM48</f>
        <v>0</v>
      </c>
      <c r="M51" s="20" t="str">
        <f>IF(B51&gt;0,RicusPolice!Y48," ")</f>
        <v xml:space="preserve"> </v>
      </c>
      <c r="N51" s="20" t="str">
        <f t="shared" si="30"/>
        <v/>
      </c>
      <c r="O51" s="20">
        <f>RicusPolice!N48</f>
        <v>0</v>
      </c>
      <c r="P51" s="20">
        <f>IFERROR(VLOOKUP(B51,PerutMasluleiHashkaa!$D$6:$R$100,4,FALSE),0)</f>
        <v>0</v>
      </c>
      <c r="Q51" s="19"/>
      <c r="R51" s="1011" t="str">
        <f>IF(B51&gt;0,RicusPolice!P50," ")</f>
        <v xml:space="preserve"> </v>
      </c>
      <c r="S51" s="20">
        <f>IFERROR(VLOOKUP($B51,'נתונים ידניים'!$B$9:$G$51,6,FALSE),0)</f>
        <v>0</v>
      </c>
      <c r="T51" s="21">
        <f>'נתונים ידניים'!J52</f>
        <v>0</v>
      </c>
      <c r="U51" s="21">
        <f>'נתונים ידניים'!K52</f>
        <v>0</v>
      </c>
      <c r="V51" s="20">
        <f>IFERROR(VLOOKUP($B51,PerutHafrashotLePolisa!$D$6:$N$50,2,FALSE),0)</f>
        <v>0</v>
      </c>
      <c r="W51" s="20">
        <f>IFERROR(VLOOKUP($B51,PerutHafrashotLePolisa!$D$6:$N$50,4,FALSE),0)</f>
        <v>0</v>
      </c>
      <c r="X51" s="20">
        <f>IFERROR(VLOOKUP($B51,PerutHafrashotLePolisa!$D$6:$N$50,3,FALSE),0)</f>
        <v>0</v>
      </c>
      <c r="Y51">
        <f t="shared" si="31"/>
        <v>0</v>
      </c>
      <c r="Z51">
        <f>RicusPolice!AP48</f>
        <v>0</v>
      </c>
      <c r="AA51">
        <f>IFERROR(VLOOKUP(B51,PirteiHaasaka!$D$6:$R$100,5,FALSE),0)</f>
        <v>0</v>
      </c>
      <c r="AC51">
        <f>IFERROR(VLOOKUP(B51,HafkadotMetchilatShanaAverages!$D$6:$E$100,2,FALSE),0)</f>
        <v>0</v>
      </c>
      <c r="AF51">
        <f>'נתונים ידניים'!L52</f>
        <v>0</v>
      </c>
      <c r="AG51">
        <f>IFERROR(VLOOKUP(B51,CrossTabYitraLeTkufa_till_2000!$D$6:$AB$100,6,FALSE),0)+IFERROR(VLOOKUP(B51,CrossTabYitraLeTkufa_after_2000!$D$6:$AB$100,6,FALSE),0)</f>
        <v>0</v>
      </c>
      <c r="AH51">
        <f>IFERROR(VLOOKUP(B51,CrossTabYitraLeTkufa_till_2000!$D$6:$AB$100,16,FALSE),0)</f>
        <v>0</v>
      </c>
      <c r="AI51">
        <f>IFERROR(VLOOKUP(B51,CrossTabYitraLeTkufa_after_2000!$D$6:$AB$100,16,FALSE),0)</f>
        <v>0</v>
      </c>
      <c r="AJ51">
        <f>IFERROR(VLOOKUP(B51,CrossTabYitraLeTkufa_till_2000!$D$6:$AB$100,17,FALSE),0)</f>
        <v>0</v>
      </c>
      <c r="AK51">
        <f>IFERROR(VLOOKUP(B51,CrossTabYitraLeTkufa_after_2000!$D$6:$AB$100,17,FALSE),0)</f>
        <v>0</v>
      </c>
      <c r="AL51" s="5">
        <f t="shared" si="32"/>
        <v>0</v>
      </c>
      <c r="AO51">
        <f>IFERROR(VLOOKUP(B51,PirteiKisuiBeMutzar_procerur!$C$6:$AA$100,2,FALSE),0)</f>
        <v>0</v>
      </c>
      <c r="AQ51">
        <f>IFERROR(VLOOKUP($B51,PirteiKisuiBeMutzar_procerur!$C$6:$AA$100,5,FALSE),0)</f>
        <v>0</v>
      </c>
      <c r="AR51">
        <f>IFERROR(VLOOKUP($B51,PirteiKisuiBeMutzar_procerur!$C$6:$AA$100,3,FALSE),0)</f>
        <v>0</v>
      </c>
      <c r="AS51">
        <f>IFERROR(VLOOKUP($B51,PirteiKisuiBeMutzar_procerur!$C$6:$AA$100,6,FALSE),0)</f>
        <v>0</v>
      </c>
      <c r="AT51">
        <f>IFERROR(VLOOKUP($B51,PirteiKisuiBeMutzar_procerur!$C$6:$AA$100,7,FALSE),0)</f>
        <v>0</v>
      </c>
      <c r="AX51" s="997">
        <f t="shared" si="33"/>
        <v>0</v>
      </c>
      <c r="AY51" s="997">
        <f t="shared" si="34"/>
        <v>0</v>
      </c>
      <c r="AZ51" s="997">
        <f t="shared" si="35"/>
        <v>0</v>
      </c>
      <c r="BA51" s="997">
        <f>IFERROR(FV(S51/100/12,'נתוני יסוד'!$B$16*12,AX51,AG51)*(-1),0)</f>
        <v>0</v>
      </c>
      <c r="BB51" s="997">
        <f>IFERROR(FV(S51/100/12,'נתוני יסוד'!$B$16*12,0,AH51)*(-1),0)</f>
        <v>0</v>
      </c>
      <c r="BC51" s="997">
        <f>IFERROR(FV(S51/100/12,'נתוני יסוד'!$B$16*12,AY51,AI51)*(-1),0)</f>
        <v>0</v>
      </c>
      <c r="BD51" s="997">
        <f>IFERROR(FV(S51/100/12,'נתוני יסוד'!$B$16*12,0,AJ51)*(-1),0)</f>
        <v>0</v>
      </c>
      <c r="BE51" s="997">
        <f>IFERROR(FV(S51/100/12,'נתוני יסוד'!$B$16*12,AZ51,AK51)*(-1),0)</f>
        <v>0</v>
      </c>
      <c r="BF51" s="997">
        <f t="shared" si="36"/>
        <v>0</v>
      </c>
      <c r="BG51" s="997">
        <f>IFERROR(FV(S51/100/12,'נתוני יסוד'!$B$16*12,AF51,AL51)*(-1),0)</f>
        <v>0</v>
      </c>
      <c r="BH51" s="997">
        <f t="shared" si="37"/>
        <v>0</v>
      </c>
      <c r="BI51" s="997">
        <f t="shared" si="38"/>
        <v>0</v>
      </c>
      <c r="BJ51" s="997">
        <f t="shared" si="39"/>
        <v>0</v>
      </c>
      <c r="BK51" s="997">
        <f t="shared" si="40"/>
        <v>0</v>
      </c>
      <c r="BL51" s="997">
        <f t="shared" si="47"/>
        <v>0</v>
      </c>
      <c r="BM51" s="997">
        <f t="shared" si="48"/>
        <v>0</v>
      </c>
      <c r="BN51" s="997">
        <f t="shared" si="49"/>
        <v>0</v>
      </c>
      <c r="BO51" s="997">
        <f t="shared" si="41"/>
        <v>0</v>
      </c>
      <c r="BP51" s="997">
        <f t="shared" si="50"/>
        <v>0</v>
      </c>
      <c r="BS51">
        <f t="shared" si="51"/>
        <v>0</v>
      </c>
      <c r="BT51">
        <f t="shared" si="52"/>
        <v>0</v>
      </c>
      <c r="BU51">
        <f t="shared" si="53"/>
        <v>0</v>
      </c>
      <c r="BV51">
        <f t="shared" si="42"/>
        <v>0</v>
      </c>
      <c r="BW51">
        <f t="shared" si="54"/>
        <v>0</v>
      </c>
      <c r="BY51" s="997">
        <f t="shared" si="55"/>
        <v>0</v>
      </c>
      <c r="BZ51" s="997">
        <f t="shared" si="56"/>
        <v>0</v>
      </c>
      <c r="CA51" s="997">
        <f t="shared" si="57"/>
        <v>0</v>
      </c>
      <c r="CB51" s="997">
        <f t="shared" si="43"/>
        <v>0</v>
      </c>
      <c r="CC51" s="997">
        <f t="shared" si="58"/>
        <v>0</v>
      </c>
      <c r="CD51" s="997">
        <f t="shared" si="13"/>
        <v>0</v>
      </c>
      <c r="CE51" s="997">
        <f t="shared" si="14"/>
        <v>0</v>
      </c>
      <c r="CF51" s="997">
        <f t="shared" si="15"/>
        <v>0</v>
      </c>
      <c r="CG51" s="997">
        <f t="shared" si="16"/>
        <v>0</v>
      </c>
      <c r="CH51" s="997">
        <f t="shared" si="17"/>
        <v>0</v>
      </c>
      <c r="CI51" s="997">
        <f t="shared" si="18"/>
        <v>0</v>
      </c>
      <c r="CJ51" s="997">
        <f t="shared" si="19"/>
        <v>0</v>
      </c>
      <c r="CK51" s="997"/>
      <c r="CL51" s="997"/>
      <c r="CM51" s="997">
        <f t="shared" si="59"/>
        <v>0</v>
      </c>
      <c r="CN51" s="997">
        <f t="shared" si="60"/>
        <v>0</v>
      </c>
      <c r="CO51" s="997">
        <f t="shared" si="61"/>
        <v>0</v>
      </c>
      <c r="CP51" s="997">
        <f t="shared" si="44"/>
        <v>0</v>
      </c>
      <c r="CQ51" s="997">
        <f t="shared" si="62"/>
        <v>0</v>
      </c>
      <c r="CR51" s="997">
        <f>IFERROR(VLOOKUP($B51,SchumeiBituahYesodi!$C$6:$AA$100,8,FALSE),0)</f>
        <v>0</v>
      </c>
      <c r="CS51" s="997">
        <f>IFERROR(VLOOKUP($B51,PirteiKisuiBeMutzar_procerur!$C$6:$AA$100,2,FALSE),0)</f>
        <v>0</v>
      </c>
      <c r="CT51" s="997">
        <f>IFERROR(VLOOKUP($B51,PirteiKisuiBeMutzar_procerur!$C$6:$AA$100,3,FALSE),0)</f>
        <v>0</v>
      </c>
      <c r="CU51" s="997">
        <f>IFERROR(VLOOKUP($B51,PirteiKisuiBeMutzar_procerur!$C$6:$AA$100,4,FALSE),0)</f>
        <v>0</v>
      </c>
      <c r="CV51" s="997">
        <f>IFERROR(VLOOKUP($B51,PirteiKisuiBeMutzar_procerur!$C$6:$AA$100,5,FALSE),0)</f>
        <v>0</v>
      </c>
      <c r="CW51" s="997">
        <f>IFERROR(VLOOKUP($B51,PirteiKisuiBeMutzar_procerur!$C$6:$AA$100,6,FALSE),0)</f>
        <v>0</v>
      </c>
      <c r="CX51" s="997">
        <f>IFERROR(VLOOKUP($B51,PirteiKisuiBeMutzar_procerur!$C$6:$AA$100,7,FALSE),0)</f>
        <v>0</v>
      </c>
      <c r="CY51" s="997">
        <f>IFERROR(VLOOKUP($B51,PirteiKisuiBeMutzar_procerur!$C$6:$AA$100,8,FALSE),0)</f>
        <v>0</v>
      </c>
      <c r="CZ51" s="997">
        <f>IFERROR(VLOOKUP($B51,PirteiKisuiBeMutzar_procerur!$C$6:$AA$100,9,FALSE),0)</f>
        <v>0</v>
      </c>
      <c r="DA51" s="997">
        <f>IFERROR(VLOOKUP($B51,PirteiKisuiBeMutzar_procerur!$C$6:$AA$100,10,FALSE),0)</f>
        <v>0</v>
      </c>
      <c r="DB51" s="997">
        <f>IFERROR(VLOOKUP($B51,PirteiKisuiBeMutzar_procerur!$C$6:$AA$100,11,FALSE),0)</f>
        <v>0</v>
      </c>
      <c r="DC51" s="997">
        <f>IFERROR(VLOOKUP($B51,PirteiKisuiBeMutzarPrmia!$C$6:$Z$100,2,FALSE),0)</f>
        <v>0</v>
      </c>
      <c r="DD51" s="997">
        <f>IFERROR(VLOOKUP($B51,PirteiKisuiBeMutzarPrmia!$C$6:$Z$100,3,FALSE),0)</f>
        <v>0</v>
      </c>
      <c r="DE51" s="997">
        <f>IFERROR(VLOOKUP($B51,PirteiKisuiBeMutzarPrmia!$C$6:$Z$100,4,FALSE),0)</f>
        <v>0</v>
      </c>
      <c r="DF51" s="997">
        <f>IFERROR(VLOOKUP($B51,PirteiKisuiBeMutzarPrmia!$C$6:$Z$100,5,FALSE),0)</f>
        <v>0</v>
      </c>
      <c r="DG51" s="997">
        <f>IFERROR(VLOOKUP($B51,PirteiKisuiBeMutzarPrmia!$C$6:$Z$100,6,FALSE),0)</f>
        <v>0</v>
      </c>
      <c r="DH51" s="997">
        <f>IFERROR(VLOOKUP($B51,PirteiKisuiBeMutzarPrmia!$C$6:$Z$100,7,FALSE),0)</f>
        <v>0</v>
      </c>
      <c r="DI51" s="997">
        <f>IFERROR(VLOOKUP($B51,PirteiKisuiBeMutzarPrmia!$C$6:$Z$100,8,FALSE),0)</f>
        <v>0</v>
      </c>
      <c r="DJ51" s="997">
        <f>IFERROR(VLOOKUP($B51,PirteiKisuiBeMutzarPrmia!$C$6:$Z$100,9,FALSE),0)</f>
        <v>0</v>
      </c>
      <c r="DK51" s="997">
        <f>IFERROR(VLOOKUP($B51,PirteiKisuiBeMutzarPrmia!$C$6:$Z$100,10,FALSE),0)</f>
        <v>0</v>
      </c>
      <c r="DL51" s="997">
        <f>IFERROR(VLOOKUP($B51,PirteiKisuiBeMutzarPrmia!$C$6:$Z$100,11,FALSE),0)</f>
        <v>0</v>
      </c>
      <c r="DM51" s="997">
        <f t="shared" ref="DM51:DM73" si="66">SUM(DC51:DL51)</f>
        <v>0</v>
      </c>
      <c r="DN51" s="997">
        <f t="shared" si="63"/>
        <v>0</v>
      </c>
      <c r="DO51" s="997">
        <f t="shared" si="64"/>
        <v>0</v>
      </c>
      <c r="DP51" s="997">
        <f t="shared" ref="DP51:DP97" si="67">AH51+AI51+AJ51+AK51</f>
        <v>0</v>
      </c>
      <c r="DQ51" s="997">
        <f t="shared" si="65"/>
        <v>0</v>
      </c>
      <c r="DR51" s="997">
        <f>IF(OR(L51=1,L51=3),IFERROR(VLOOKUP($B51,PerutHafkadotMetchilatShanaAvgM!$C$6:$G$100,3,FALSE),0),0)</f>
        <v>0</v>
      </c>
      <c r="DS51" s="997">
        <f>IF(OR(L51=2,L51=4),IFERROR(VLOOKUP($B51,PerutHafkadotMetchilatShanaAvgM!$C$6:$G$100,3,FALSE),0),0)</f>
        <v>0</v>
      </c>
      <c r="DT51" s="997">
        <f>IFERROR(VLOOKUP($B51,PerutHafkadotMetchilatShanaAvgM!$C$6:$G$100,4,FALSE),0)</f>
        <v>0</v>
      </c>
      <c r="DU51" s="997">
        <f>IFERROR(VLOOKUP($B51,Kupa!$D$6:$AA$100,5,FALSE),0)</f>
        <v>0</v>
      </c>
      <c r="DV51" s="997">
        <f>IFERROR(VLOOKUP($B51,Kupa!$D$6:$AA$100,6,FALSE),0)</f>
        <v>0</v>
      </c>
      <c r="DW51" s="997">
        <f>IFERROR(VLOOKUP($B51,KisuiBKerenPensiaDBWithParams!$D$6:$AP$100,9,FALSE),0)</f>
        <v>0</v>
      </c>
      <c r="DX51" s="997">
        <f>IFERROR(VLOOKUP($B51,KisuiBKerenPensiaDBWithParams!$D$6:$AP$100,12,FALSE),0)</f>
        <v>0</v>
      </c>
      <c r="DY51" s="997">
        <f>IFERROR(VLOOKUP($B51,KisuiBKerenPensiaDBWithParams!$D$6:$AP$100,13,FALSE),0)</f>
        <v>0</v>
      </c>
      <c r="DZ51" s="997">
        <f>IFERROR(VLOOKUP($B51,KisuiBKerenPensiaDBWithParams!$D$6:$AP$100,7,FALSE),0)</f>
        <v>0</v>
      </c>
      <c r="EA51" s="997">
        <f>IFERROR(VLOOKUP($B51,KisuiBKerenPensiaDBWithParams!$D$6:$AP$100,17,FALSE),0)</f>
        <v>0</v>
      </c>
      <c r="EB51" s="997">
        <f>IFERROR(VLOOKUP($B51,KisuiBKerenPensiaDBWithParams!$D$6:$AP$100,20,FALSE),0)</f>
        <v>0</v>
      </c>
      <c r="EC51" s="997">
        <f>IFERROR(VLOOKUP($B51,KisuiBKerenPensiaDBWithParams!$D$6:$AP$100,21,FALSE),0)</f>
        <v>0</v>
      </c>
      <c r="ED51" s="997">
        <f t="shared" si="45"/>
        <v>0</v>
      </c>
      <c r="EE51" s="997"/>
      <c r="EF51" s="1020">
        <f>IFERROR(VLOOKUP($B51,KisuiBKerenPensiaDBWithParams!$D$6:$AP$100,21,FALSE),0)</f>
        <v>0</v>
      </c>
      <c r="EG51" s="1020">
        <f>IFERROR(VLOOKUP($B51,KisuiBKerenPensiaDBWithParams!$D$6:$AP$100,21,FALSE),0)</f>
        <v>0</v>
      </c>
      <c r="EH51">
        <f>IF(OR(G51=MyData!$J$51,G51=MyData!$J$52,G51=MyData!$J$53),1,IF(G51=MyData!$J$50,2,0))</f>
        <v>0</v>
      </c>
      <c r="EI51">
        <f>IFERROR(VLOOKUP($B51,CrosstabPerutYitrotDB!$C$6:$N$50,3,FALSE),0)</f>
        <v>0</v>
      </c>
      <c r="EJ51">
        <f>IFERROR(VLOOKUP($B51,CrosstabPerutYitrotDB!$C$6:$N$50,4,FALSE),0)</f>
        <v>0</v>
      </c>
      <c r="EK51">
        <f>IFERROR(VLOOKUP($B51,CrosstabPerutYitrotDB!$C$6:$N$50,5,FALSE),0)</f>
        <v>0</v>
      </c>
      <c r="EL51">
        <f>IFERROR(VLOOKUP($B51,CrosstabPerutYitrotDB!$C$6:$N$50,6,FALSE),0)</f>
        <v>0</v>
      </c>
      <c r="EM51">
        <f>IFERROR(VLOOKUP($B51,CrosstabPerutYitrotDB!$C$6:$N$50,7,FALSE),0)</f>
        <v>0</v>
      </c>
      <c r="EN51">
        <f>IFERROR(VLOOKUP($B51,CrosstabPerutYitrotDB!$C$6:$N$50,8,FALSE),0)</f>
        <v>0</v>
      </c>
      <c r="EO51">
        <f>IFERROR(VLOOKUP($B51,CrosstabPerutYitrotDB!$C$6:$N$50,9,FALSE),0)</f>
        <v>0</v>
      </c>
      <c r="EP51">
        <f>IFERROR(VLOOKUP($B51,CrosstabPerutYitrotDB!$C$6:$N$50,10,FALSE),0)</f>
        <v>0</v>
      </c>
      <c r="EQ51">
        <f>IFERROR(VLOOKUP($B51,CrosstabPerutYitrotDB!$C$6:$N$50,11,FALSE),0)</f>
        <v>0</v>
      </c>
    </row>
    <row r="52" spans="1:147" x14ac:dyDescent="0.2">
      <c r="A52">
        <f t="shared" si="46"/>
        <v>0</v>
      </c>
      <c r="B52" s="20">
        <f>RicusPolice!E49</f>
        <v>0</v>
      </c>
      <c r="C52" s="20">
        <f>RicusPolice!AL49</f>
        <v>0</v>
      </c>
      <c r="D52" s="20">
        <f>RicusPolice!F49</f>
        <v>0</v>
      </c>
      <c r="E52" s="20">
        <f>RicusPolice!R49</f>
        <v>0</v>
      </c>
      <c r="F52" s="20">
        <f>RicusPolice!N49</f>
        <v>0</v>
      </c>
      <c r="G52" s="20">
        <f>IFERROR(VLOOKUP($B52,PerutYitrot!$D$6:$P$100,4,FALSE),0)</f>
        <v>0</v>
      </c>
      <c r="H52" s="20">
        <f t="shared" si="29"/>
        <v>0</v>
      </c>
      <c r="I52" s="20">
        <f>RicusPolice!L49</f>
        <v>0</v>
      </c>
      <c r="J52" s="179">
        <f>IFERROR(VLOOKUP(TRIM(K52),MyData!$J$44:$K$50,2,FALSE),0)</f>
        <v>0</v>
      </c>
      <c r="K52" s="20">
        <f>RicusPolice!M49</f>
        <v>0</v>
      </c>
      <c r="L52" s="20">
        <f>RicusPolice!AM49</f>
        <v>0</v>
      </c>
      <c r="M52" s="20" t="str">
        <f>IF(B52&gt;0,RicusPolice!Y49," ")</f>
        <v xml:space="preserve"> </v>
      </c>
      <c r="N52" s="20" t="str">
        <f t="shared" si="30"/>
        <v/>
      </c>
      <c r="O52" s="20">
        <f>RicusPolice!N49</f>
        <v>0</v>
      </c>
      <c r="P52" s="20">
        <f>IFERROR(VLOOKUP(B52,PerutMasluleiHashkaa!$D$6:$R$100,4,FALSE),0)</f>
        <v>0</v>
      </c>
      <c r="Q52" s="19"/>
      <c r="R52" s="1011" t="str">
        <f>IF(B52&gt;0,RicusPolice!P51," ")</f>
        <v xml:space="preserve"> </v>
      </c>
      <c r="S52" s="20">
        <f>IFERROR(VLOOKUP($B52,'נתונים ידניים'!$B$9:$G$51,6,FALSE),0)</f>
        <v>0</v>
      </c>
      <c r="T52" s="21" t="str">
        <f>'נתונים ידניים'!J53</f>
        <v/>
      </c>
      <c r="U52" s="21">
        <f>'נתונים ידניים'!K53</f>
        <v>0</v>
      </c>
      <c r="V52" s="20">
        <f>IFERROR(VLOOKUP($B52,PerutHafrashotLePolisa!$D$6:$N$50,2,FALSE),0)</f>
        <v>0</v>
      </c>
      <c r="W52" s="20">
        <f>IFERROR(VLOOKUP($B52,PerutHafrashotLePolisa!$D$6:$N$50,4,FALSE),0)</f>
        <v>0</v>
      </c>
      <c r="X52" s="20">
        <f>IFERROR(VLOOKUP($B52,PerutHafrashotLePolisa!$D$6:$N$50,3,FALSE),0)</f>
        <v>0</v>
      </c>
      <c r="Y52">
        <f t="shared" si="31"/>
        <v>0</v>
      </c>
      <c r="Z52">
        <f>RicusPolice!AP49</f>
        <v>0</v>
      </c>
      <c r="AA52">
        <f>IFERROR(VLOOKUP(B52,PirteiHaasaka!$D$6:$R$100,5,FALSE),0)</f>
        <v>0</v>
      </c>
      <c r="AC52">
        <f>IFERROR(VLOOKUP(B52,HafkadotMetchilatShanaAverages!$D$6:$E$100,2,FALSE),0)</f>
        <v>0</v>
      </c>
      <c r="AF52">
        <f>'נתונים ידניים'!L53</f>
        <v>0</v>
      </c>
      <c r="AG52">
        <f>IFERROR(VLOOKUP(B52,CrossTabYitraLeTkufa_till_2000!$D$6:$AB$100,6,FALSE),0)+IFERROR(VLOOKUP(B52,CrossTabYitraLeTkufa_after_2000!$D$6:$AB$100,6,FALSE),0)</f>
        <v>0</v>
      </c>
      <c r="AH52">
        <f>IFERROR(VLOOKUP(B52,CrossTabYitraLeTkufa_till_2000!$D$6:$AB$100,16,FALSE),0)</f>
        <v>0</v>
      </c>
      <c r="AI52">
        <f>IFERROR(VLOOKUP(B52,CrossTabYitraLeTkufa_after_2000!$D$6:$AB$100,16,FALSE),0)</f>
        <v>0</v>
      </c>
      <c r="AJ52">
        <f>IFERROR(VLOOKUP(B52,CrossTabYitraLeTkufa_till_2000!$D$6:$AB$100,17,FALSE),0)</f>
        <v>0</v>
      </c>
      <c r="AK52">
        <f>IFERROR(VLOOKUP(B52,CrossTabYitraLeTkufa_after_2000!$D$6:$AB$100,17,FALSE),0)</f>
        <v>0</v>
      </c>
      <c r="AL52" s="5">
        <f t="shared" si="32"/>
        <v>0</v>
      </c>
      <c r="AO52">
        <f>IFERROR(VLOOKUP(B52,PirteiKisuiBeMutzar_procerur!$C$6:$AA$100,2,FALSE),0)</f>
        <v>0</v>
      </c>
      <c r="AQ52">
        <f>IFERROR(VLOOKUP($B52,PirteiKisuiBeMutzar_procerur!$C$6:$AA$100,5,FALSE),0)</f>
        <v>0</v>
      </c>
      <c r="AR52">
        <f>IFERROR(VLOOKUP($B52,PirteiKisuiBeMutzar_procerur!$C$6:$AA$100,3,FALSE),0)</f>
        <v>0</v>
      </c>
      <c r="AS52">
        <f>IFERROR(VLOOKUP($B52,PirteiKisuiBeMutzar_procerur!$C$6:$AA$100,6,FALSE),0)</f>
        <v>0</v>
      </c>
      <c r="AT52">
        <f>IFERROR(VLOOKUP($B52,PirteiKisuiBeMutzar_procerur!$C$6:$AA$100,7,FALSE),0)</f>
        <v>0</v>
      </c>
      <c r="AX52" s="997">
        <f t="shared" si="33"/>
        <v>0</v>
      </c>
      <c r="AY52" s="997">
        <f t="shared" si="34"/>
        <v>0</v>
      </c>
      <c r="AZ52" s="997">
        <f t="shared" si="35"/>
        <v>0</v>
      </c>
      <c r="BA52" s="997">
        <f>IFERROR(FV(S52/100/12,'נתוני יסוד'!$B$16*12,AX52,AG52)*(-1),0)</f>
        <v>0</v>
      </c>
      <c r="BB52" s="997">
        <f>IFERROR(FV(S52/100/12,'נתוני יסוד'!$B$16*12,0,AH52)*(-1),0)</f>
        <v>0</v>
      </c>
      <c r="BC52" s="997">
        <f>IFERROR(FV(S52/100/12,'נתוני יסוד'!$B$16*12,AY52,AI52)*(-1),0)</f>
        <v>0</v>
      </c>
      <c r="BD52" s="997">
        <f>IFERROR(FV(S52/100/12,'נתוני יסוד'!$B$16*12,0,AJ52)*(-1),0)</f>
        <v>0</v>
      </c>
      <c r="BE52" s="997">
        <f>IFERROR(FV(S52/100/12,'נתוני יסוד'!$B$16*12,AZ52,AK52)*(-1),0)</f>
        <v>0</v>
      </c>
      <c r="BF52" s="997">
        <f t="shared" si="36"/>
        <v>0</v>
      </c>
      <c r="BG52" s="997">
        <f>IFERROR(FV(S52/100/12,'נתוני יסוד'!$B$16*12,AF52,AL52)*(-1),0)</f>
        <v>0</v>
      </c>
      <c r="BH52" s="997">
        <f t="shared" si="37"/>
        <v>0</v>
      </c>
      <c r="BI52" s="997">
        <f t="shared" si="38"/>
        <v>0</v>
      </c>
      <c r="BJ52" s="997">
        <f t="shared" si="39"/>
        <v>0</v>
      </c>
      <c r="BK52" s="997">
        <f t="shared" si="40"/>
        <v>0</v>
      </c>
      <c r="BL52" s="997">
        <f t="shared" si="47"/>
        <v>0</v>
      </c>
      <c r="BM52" s="997">
        <f t="shared" si="48"/>
        <v>0</v>
      </c>
      <c r="BN52" s="997">
        <f t="shared" si="49"/>
        <v>0</v>
      </c>
      <c r="BO52" s="997">
        <f t="shared" si="41"/>
        <v>0</v>
      </c>
      <c r="BP52" s="997">
        <f t="shared" si="50"/>
        <v>0</v>
      </c>
      <c r="BS52">
        <f t="shared" si="51"/>
        <v>0</v>
      </c>
      <c r="BT52">
        <f t="shared" si="52"/>
        <v>0</v>
      </c>
      <c r="BU52">
        <f t="shared" si="53"/>
        <v>0</v>
      </c>
      <c r="BV52">
        <f t="shared" si="42"/>
        <v>0</v>
      </c>
      <c r="BW52">
        <f t="shared" si="54"/>
        <v>0</v>
      </c>
      <c r="BY52" s="997">
        <f t="shared" si="55"/>
        <v>0</v>
      </c>
      <c r="BZ52" s="997">
        <f t="shared" si="56"/>
        <v>0</v>
      </c>
      <c r="CA52" s="997">
        <f t="shared" si="57"/>
        <v>0</v>
      </c>
      <c r="CB52" s="997">
        <f t="shared" si="43"/>
        <v>0</v>
      </c>
      <c r="CC52" s="997">
        <f t="shared" si="58"/>
        <v>0</v>
      </c>
      <c r="CD52" s="997">
        <f t="shared" si="13"/>
        <v>0</v>
      </c>
      <c r="CE52" s="997">
        <f t="shared" si="14"/>
        <v>0</v>
      </c>
      <c r="CF52" s="997">
        <f t="shared" si="15"/>
        <v>0</v>
      </c>
      <c r="CG52" s="997">
        <f t="shared" si="16"/>
        <v>0</v>
      </c>
      <c r="CH52" s="997">
        <f t="shared" si="17"/>
        <v>0</v>
      </c>
      <c r="CI52" s="997">
        <f t="shared" si="18"/>
        <v>0</v>
      </c>
      <c r="CJ52" s="997">
        <f t="shared" si="19"/>
        <v>0</v>
      </c>
      <c r="CK52" s="997"/>
      <c r="CL52" s="997"/>
      <c r="CM52" s="997">
        <f t="shared" si="59"/>
        <v>0</v>
      </c>
      <c r="CN52" s="997">
        <f t="shared" si="60"/>
        <v>0</v>
      </c>
      <c r="CO52" s="997">
        <f t="shared" si="61"/>
        <v>0</v>
      </c>
      <c r="CP52" s="997">
        <f t="shared" si="44"/>
        <v>0</v>
      </c>
      <c r="CQ52" s="997">
        <f t="shared" si="62"/>
        <v>0</v>
      </c>
      <c r="CR52" s="997">
        <f>IFERROR(VLOOKUP($B52,SchumeiBituahYesodi!$C$6:$AA$100,8,FALSE),0)</f>
        <v>0</v>
      </c>
      <c r="CS52" s="997">
        <f>IFERROR(VLOOKUP($B52,PirteiKisuiBeMutzar_procerur!$C$6:$AA$100,2,FALSE),0)</f>
        <v>0</v>
      </c>
      <c r="CT52" s="997">
        <f>IFERROR(VLOOKUP($B52,PirteiKisuiBeMutzar_procerur!$C$6:$AA$100,3,FALSE),0)</f>
        <v>0</v>
      </c>
      <c r="CU52" s="997">
        <f>IFERROR(VLOOKUP($B52,PirteiKisuiBeMutzar_procerur!$C$6:$AA$100,4,FALSE),0)</f>
        <v>0</v>
      </c>
      <c r="CV52" s="997">
        <f>IFERROR(VLOOKUP($B52,PirteiKisuiBeMutzar_procerur!$C$6:$AA$100,5,FALSE),0)</f>
        <v>0</v>
      </c>
      <c r="CW52" s="997">
        <f>IFERROR(VLOOKUP($B52,PirteiKisuiBeMutzar_procerur!$C$6:$AA$100,6,FALSE),0)</f>
        <v>0</v>
      </c>
      <c r="CX52" s="997">
        <f>IFERROR(VLOOKUP($B52,PirteiKisuiBeMutzar_procerur!$C$6:$AA$100,7,FALSE),0)</f>
        <v>0</v>
      </c>
      <c r="CY52" s="997">
        <f>IFERROR(VLOOKUP($B52,PirteiKisuiBeMutzar_procerur!$C$6:$AA$100,8,FALSE),0)</f>
        <v>0</v>
      </c>
      <c r="CZ52" s="997">
        <f>IFERROR(VLOOKUP($B52,PirteiKisuiBeMutzar_procerur!$C$6:$AA$100,9,FALSE),0)</f>
        <v>0</v>
      </c>
      <c r="DA52" s="997">
        <f>IFERROR(VLOOKUP($B52,PirteiKisuiBeMutzar_procerur!$C$6:$AA$100,10,FALSE),0)</f>
        <v>0</v>
      </c>
      <c r="DB52" s="997">
        <f>IFERROR(VLOOKUP($B52,PirteiKisuiBeMutzar_procerur!$C$6:$AA$100,11,FALSE),0)</f>
        <v>0</v>
      </c>
      <c r="DC52" s="997">
        <f>IFERROR(VLOOKUP($B52,PirteiKisuiBeMutzarPrmia!$C$6:$Z$100,2,FALSE),0)</f>
        <v>0</v>
      </c>
      <c r="DD52" s="997">
        <f>IFERROR(VLOOKUP($B52,PirteiKisuiBeMutzarPrmia!$C$6:$Z$100,3,FALSE),0)</f>
        <v>0</v>
      </c>
      <c r="DE52" s="997">
        <f>IFERROR(VLOOKUP($B52,PirteiKisuiBeMutzarPrmia!$C$6:$Z$100,4,FALSE),0)</f>
        <v>0</v>
      </c>
      <c r="DF52" s="997">
        <f>IFERROR(VLOOKUP($B52,PirteiKisuiBeMutzarPrmia!$C$6:$Z$100,5,FALSE),0)</f>
        <v>0</v>
      </c>
      <c r="DG52" s="997">
        <f>IFERROR(VLOOKUP($B52,PirteiKisuiBeMutzarPrmia!$C$6:$Z$100,6,FALSE),0)</f>
        <v>0</v>
      </c>
      <c r="DH52" s="997">
        <f>IFERROR(VLOOKUP($B52,PirteiKisuiBeMutzarPrmia!$C$6:$Z$100,7,FALSE),0)</f>
        <v>0</v>
      </c>
      <c r="DI52" s="997">
        <f>IFERROR(VLOOKUP($B52,PirteiKisuiBeMutzarPrmia!$C$6:$Z$100,8,FALSE),0)</f>
        <v>0</v>
      </c>
      <c r="DJ52" s="997">
        <f>IFERROR(VLOOKUP($B52,PirteiKisuiBeMutzarPrmia!$C$6:$Z$100,9,FALSE),0)</f>
        <v>0</v>
      </c>
      <c r="DK52" s="997">
        <f>IFERROR(VLOOKUP($B52,PirteiKisuiBeMutzarPrmia!$C$6:$Z$100,10,FALSE),0)</f>
        <v>0</v>
      </c>
      <c r="DL52" s="997">
        <f>IFERROR(VLOOKUP($B52,PirteiKisuiBeMutzarPrmia!$C$6:$Z$100,11,FALSE),0)</f>
        <v>0</v>
      </c>
      <c r="DM52" s="997">
        <f t="shared" si="66"/>
        <v>0</v>
      </c>
      <c r="DN52" s="997">
        <f t="shared" si="63"/>
        <v>0</v>
      </c>
      <c r="DO52" s="997">
        <f t="shared" si="64"/>
        <v>0</v>
      </c>
      <c r="DP52" s="997">
        <f t="shared" si="67"/>
        <v>0</v>
      </c>
      <c r="DQ52" s="997">
        <f t="shared" si="65"/>
        <v>0</v>
      </c>
      <c r="DR52" s="997">
        <f>IF(OR(L52=1,L52=3),IFERROR(VLOOKUP($B52,PerutHafkadotMetchilatShanaAvgM!$C$6:$G$100,3,FALSE),0),0)</f>
        <v>0</v>
      </c>
      <c r="DS52" s="997">
        <f>IF(OR(L52=2,L52=4),IFERROR(VLOOKUP($B52,PerutHafkadotMetchilatShanaAvgM!$C$6:$G$100,3,FALSE),0),0)</f>
        <v>0</v>
      </c>
      <c r="DT52" s="997">
        <f>IFERROR(VLOOKUP($B52,PerutHafkadotMetchilatShanaAvgM!$C$6:$G$100,4,FALSE),0)</f>
        <v>0</v>
      </c>
      <c r="DU52" s="997">
        <f>IFERROR(VLOOKUP($B52,Kupa!$D$6:$AA$100,5,FALSE),0)</f>
        <v>0</v>
      </c>
      <c r="DV52" s="997">
        <f>IFERROR(VLOOKUP($B52,Kupa!$D$6:$AA$100,6,FALSE),0)</f>
        <v>0</v>
      </c>
      <c r="DW52" s="997">
        <f>IFERROR(VLOOKUP($B52,KisuiBKerenPensiaDBWithParams!$D$6:$AP$100,9,FALSE),0)</f>
        <v>0</v>
      </c>
      <c r="DX52" s="997">
        <f>IFERROR(VLOOKUP($B52,KisuiBKerenPensiaDBWithParams!$D$6:$AP$100,12,FALSE),0)</f>
        <v>0</v>
      </c>
      <c r="DY52" s="997">
        <f>IFERROR(VLOOKUP($B52,KisuiBKerenPensiaDBWithParams!$D$6:$AP$100,13,FALSE),0)</f>
        <v>0</v>
      </c>
      <c r="DZ52" s="997">
        <f>IFERROR(VLOOKUP($B52,KisuiBKerenPensiaDBWithParams!$D$6:$AP$100,7,FALSE),0)</f>
        <v>0</v>
      </c>
      <c r="EA52" s="997">
        <f>IFERROR(VLOOKUP($B52,KisuiBKerenPensiaDBWithParams!$D$6:$AP$100,17,FALSE),0)</f>
        <v>0</v>
      </c>
      <c r="EB52" s="997">
        <f>IFERROR(VLOOKUP($B52,KisuiBKerenPensiaDBWithParams!$D$6:$AP$100,20,FALSE),0)</f>
        <v>0</v>
      </c>
      <c r="EC52" s="997">
        <f>IFERROR(VLOOKUP($B52,KisuiBKerenPensiaDBWithParams!$D$6:$AP$100,21,FALSE),0)</f>
        <v>0</v>
      </c>
      <c r="ED52" s="997">
        <f t="shared" si="45"/>
        <v>0</v>
      </c>
      <c r="EE52" s="997"/>
      <c r="EF52" s="1020">
        <f>IFERROR(VLOOKUP($B52,KisuiBKerenPensiaDBWithParams!$D$6:$AP$100,21,FALSE),0)</f>
        <v>0</v>
      </c>
      <c r="EG52" s="1020">
        <f>IFERROR(VLOOKUP($B52,KisuiBKerenPensiaDBWithParams!$D$6:$AP$100,21,FALSE),0)</f>
        <v>0</v>
      </c>
      <c r="EH52">
        <f>IF(OR(G52=MyData!$J$51,G52=MyData!$J$52,G52=MyData!$J$53),1,IF(G52=MyData!$J$50,2,0))</f>
        <v>0</v>
      </c>
      <c r="EI52">
        <f>IFERROR(VLOOKUP($B52,CrosstabPerutYitrotDB!$C$6:$N$50,3,FALSE),0)</f>
        <v>0</v>
      </c>
      <c r="EJ52">
        <f>IFERROR(VLOOKUP($B52,CrosstabPerutYitrotDB!$C$6:$N$50,4,FALSE),0)</f>
        <v>0</v>
      </c>
      <c r="EK52">
        <f>IFERROR(VLOOKUP($B52,CrosstabPerutYitrotDB!$C$6:$N$50,5,FALSE),0)</f>
        <v>0</v>
      </c>
      <c r="EL52">
        <f>IFERROR(VLOOKUP($B52,CrosstabPerutYitrotDB!$C$6:$N$50,6,FALSE),0)</f>
        <v>0</v>
      </c>
      <c r="EM52">
        <f>IFERROR(VLOOKUP($B52,CrosstabPerutYitrotDB!$C$6:$N$50,7,FALSE),0)</f>
        <v>0</v>
      </c>
      <c r="EN52">
        <f>IFERROR(VLOOKUP($B52,CrosstabPerutYitrotDB!$C$6:$N$50,8,FALSE),0)</f>
        <v>0</v>
      </c>
      <c r="EO52">
        <f>IFERROR(VLOOKUP($B52,CrosstabPerutYitrotDB!$C$6:$N$50,9,FALSE),0)</f>
        <v>0</v>
      </c>
      <c r="EP52">
        <f>IFERROR(VLOOKUP($B52,CrosstabPerutYitrotDB!$C$6:$N$50,10,FALSE),0)</f>
        <v>0</v>
      </c>
      <c r="EQ52">
        <f>IFERROR(VLOOKUP($B52,CrosstabPerutYitrotDB!$C$6:$N$50,11,FALSE),0)</f>
        <v>0</v>
      </c>
    </row>
    <row r="53" spans="1:147" x14ac:dyDescent="0.2">
      <c r="A53">
        <f t="shared" si="46"/>
        <v>0</v>
      </c>
      <c r="B53" s="20">
        <f>RicusPolice!E50</f>
        <v>0</v>
      </c>
      <c r="C53" s="20">
        <f>RicusPolice!AL50</f>
        <v>0</v>
      </c>
      <c r="D53" s="20">
        <f>RicusPolice!F50</f>
        <v>0</v>
      </c>
      <c r="E53" s="20">
        <f>RicusPolice!R50</f>
        <v>0</v>
      </c>
      <c r="F53" s="20">
        <f>RicusPolice!N50</f>
        <v>0</v>
      </c>
      <c r="G53" s="20">
        <f>IFERROR(VLOOKUP($B53,PerutYitrot!$D$6:$P$100,4,FALSE),0)</f>
        <v>0</v>
      </c>
      <c r="H53" s="20">
        <f t="shared" si="29"/>
        <v>0</v>
      </c>
      <c r="I53" s="20">
        <f>RicusPolice!L50</f>
        <v>0</v>
      </c>
      <c r="J53" s="179">
        <f>IFERROR(VLOOKUP(TRIM(K53),MyData!$J$44:$K$50,2,FALSE),0)</f>
        <v>0</v>
      </c>
      <c r="K53" s="20">
        <f>RicusPolice!M50</f>
        <v>0</v>
      </c>
      <c r="L53" s="20">
        <f>RicusPolice!AM50</f>
        <v>0</v>
      </c>
      <c r="M53" s="20" t="str">
        <f>IF(B53&gt;0,RicusPolice!Y50," ")</f>
        <v xml:space="preserve"> </v>
      </c>
      <c r="N53" s="20" t="str">
        <f t="shared" si="30"/>
        <v/>
      </c>
      <c r="O53" s="20">
        <f>RicusPolice!N50</f>
        <v>0</v>
      </c>
      <c r="P53" s="20">
        <f>IFERROR(VLOOKUP(B53,PerutMasluleiHashkaa!$D$6:$R$100,4,FALSE),0)</f>
        <v>0</v>
      </c>
      <c r="Q53" s="19"/>
      <c r="R53" s="1011" t="str">
        <f>IF(B53&gt;0,RicusPolice!P52," ")</f>
        <v xml:space="preserve"> </v>
      </c>
      <c r="S53" s="20">
        <f>IFERROR(VLOOKUP($B53,'נתונים ידניים'!$B$9:$G$51,6,FALSE),0)</f>
        <v>0</v>
      </c>
      <c r="T53" s="21">
        <f>'נתונים ידניים'!J54</f>
        <v>0</v>
      </c>
      <c r="U53" s="21">
        <f>'נתונים ידניים'!K54</f>
        <v>0</v>
      </c>
      <c r="V53" s="20">
        <f>IFERROR(VLOOKUP($B53,PerutHafrashotLePolisa!$D$6:$N$50,2,FALSE),0)</f>
        <v>0</v>
      </c>
      <c r="W53" s="20">
        <f>IFERROR(VLOOKUP($B53,PerutHafrashotLePolisa!$D$6:$N$50,4,FALSE),0)</f>
        <v>0</v>
      </c>
      <c r="X53" s="20">
        <f>IFERROR(VLOOKUP($B53,PerutHafrashotLePolisa!$D$6:$N$50,3,FALSE),0)</f>
        <v>0</v>
      </c>
      <c r="Y53">
        <f t="shared" si="31"/>
        <v>0</v>
      </c>
      <c r="Z53">
        <f>RicusPolice!AP50</f>
        <v>0</v>
      </c>
      <c r="AA53">
        <f>IFERROR(VLOOKUP(B53,PirteiHaasaka!$D$6:$R$100,5,FALSE),0)</f>
        <v>0</v>
      </c>
      <c r="AC53">
        <f>IFERROR(VLOOKUP(B53,HafkadotMetchilatShanaAverages!$D$6:$E$100,2,FALSE),0)</f>
        <v>0</v>
      </c>
      <c r="AF53">
        <f>'נתונים ידניים'!L54</f>
        <v>0</v>
      </c>
      <c r="AG53">
        <f>IFERROR(VLOOKUP(B53,CrossTabYitraLeTkufa_till_2000!$D$6:$AB$100,6,FALSE),0)+IFERROR(VLOOKUP(B53,CrossTabYitraLeTkufa_after_2000!$D$6:$AB$100,6,FALSE),0)</f>
        <v>0</v>
      </c>
      <c r="AH53">
        <f>IFERROR(VLOOKUP(B53,CrossTabYitraLeTkufa_till_2000!$D$6:$AB$100,16,FALSE),0)</f>
        <v>0</v>
      </c>
      <c r="AI53">
        <f>IFERROR(VLOOKUP(B53,CrossTabYitraLeTkufa_after_2000!$D$6:$AB$100,16,FALSE),0)</f>
        <v>0</v>
      </c>
      <c r="AJ53">
        <f>IFERROR(VLOOKUP(B53,CrossTabYitraLeTkufa_till_2000!$D$6:$AB$100,17,FALSE),0)</f>
        <v>0</v>
      </c>
      <c r="AK53">
        <f>IFERROR(VLOOKUP(B53,CrossTabYitraLeTkufa_after_2000!$D$6:$AB$100,17,FALSE),0)</f>
        <v>0</v>
      </c>
      <c r="AL53" s="5">
        <f t="shared" si="32"/>
        <v>0</v>
      </c>
      <c r="AO53">
        <f>IFERROR(VLOOKUP(B53,PirteiKisuiBeMutzar_procerur!$C$6:$AA$100,2,FALSE),0)</f>
        <v>0</v>
      </c>
      <c r="AQ53">
        <f>IFERROR(VLOOKUP($B53,PirteiKisuiBeMutzar_procerur!$C$6:$AA$100,5,FALSE),0)</f>
        <v>0</v>
      </c>
      <c r="AR53">
        <f>IFERROR(VLOOKUP($B53,PirteiKisuiBeMutzar_procerur!$C$6:$AA$100,3,FALSE),0)</f>
        <v>0</v>
      </c>
      <c r="AS53">
        <f>IFERROR(VLOOKUP($B53,PirteiKisuiBeMutzar_procerur!$C$6:$AA$100,6,FALSE),0)</f>
        <v>0</v>
      </c>
      <c r="AT53">
        <f>IFERROR(VLOOKUP($B53,PirteiKisuiBeMutzar_procerur!$C$6:$AA$100,7,FALSE),0)</f>
        <v>0</v>
      </c>
      <c r="AX53" s="997">
        <f t="shared" si="33"/>
        <v>0</v>
      </c>
      <c r="AY53" s="997">
        <f t="shared" si="34"/>
        <v>0</v>
      </c>
      <c r="AZ53" s="997">
        <f t="shared" si="35"/>
        <v>0</v>
      </c>
      <c r="BA53" s="997">
        <f>IFERROR(FV(S53/100/12,'נתוני יסוד'!$B$16*12,AX53,AG53)*(-1),0)</f>
        <v>0</v>
      </c>
      <c r="BB53" s="997">
        <f>IFERROR(FV(S53/100/12,'נתוני יסוד'!$B$16*12,0,AH53)*(-1),0)</f>
        <v>0</v>
      </c>
      <c r="BC53" s="997">
        <f>IFERROR(FV(S53/100/12,'נתוני יסוד'!$B$16*12,AY53,AI53)*(-1),0)</f>
        <v>0</v>
      </c>
      <c r="BD53" s="997">
        <f>IFERROR(FV(S53/100/12,'נתוני יסוד'!$B$16*12,0,AJ53)*(-1),0)</f>
        <v>0</v>
      </c>
      <c r="BE53" s="997">
        <f>IFERROR(FV(S53/100/12,'נתוני יסוד'!$B$16*12,AZ53,AK53)*(-1),0)</f>
        <v>0</v>
      </c>
      <c r="BF53" s="997">
        <f t="shared" si="36"/>
        <v>0</v>
      </c>
      <c r="BG53" s="997">
        <f>IFERROR(FV(S53/100/12,'נתוני יסוד'!$B$16*12,AF53,AL53)*(-1),0)</f>
        <v>0</v>
      </c>
      <c r="BH53" s="997">
        <f t="shared" si="37"/>
        <v>0</v>
      </c>
      <c r="BI53" s="997">
        <f t="shared" si="38"/>
        <v>0</v>
      </c>
      <c r="BJ53" s="997">
        <f t="shared" si="39"/>
        <v>0</v>
      </c>
      <c r="BK53" s="997">
        <f t="shared" si="40"/>
        <v>0</v>
      </c>
      <c r="BL53" s="997">
        <f t="shared" si="47"/>
        <v>0</v>
      </c>
      <c r="BM53" s="997">
        <f t="shared" si="48"/>
        <v>0</v>
      </c>
      <c r="BN53" s="997">
        <f t="shared" si="49"/>
        <v>0</v>
      </c>
      <c r="BO53" s="997">
        <f t="shared" si="41"/>
        <v>0</v>
      </c>
      <c r="BP53" s="997">
        <f t="shared" si="50"/>
        <v>0</v>
      </c>
      <c r="BS53">
        <f t="shared" si="51"/>
        <v>0</v>
      </c>
      <c r="BT53">
        <f t="shared" si="52"/>
        <v>0</v>
      </c>
      <c r="BU53">
        <f t="shared" si="53"/>
        <v>0</v>
      </c>
      <c r="BV53">
        <f t="shared" si="42"/>
        <v>0</v>
      </c>
      <c r="BW53">
        <f t="shared" si="54"/>
        <v>0</v>
      </c>
      <c r="BY53" s="997">
        <f t="shared" si="55"/>
        <v>0</v>
      </c>
      <c r="BZ53" s="997">
        <f t="shared" si="56"/>
        <v>0</v>
      </c>
      <c r="CA53" s="997">
        <f t="shared" si="57"/>
        <v>0</v>
      </c>
      <c r="CB53" s="997">
        <f t="shared" si="43"/>
        <v>0</v>
      </c>
      <c r="CC53" s="997">
        <f t="shared" si="58"/>
        <v>0</v>
      </c>
      <c r="CD53" s="997">
        <f t="shared" si="13"/>
        <v>0</v>
      </c>
      <c r="CE53" s="997">
        <f t="shared" si="14"/>
        <v>0</v>
      </c>
      <c r="CF53" s="997">
        <f t="shared" si="15"/>
        <v>0</v>
      </c>
      <c r="CG53" s="997">
        <f t="shared" si="16"/>
        <v>0</v>
      </c>
      <c r="CH53" s="997">
        <f t="shared" si="17"/>
        <v>0</v>
      </c>
      <c r="CI53" s="997">
        <f t="shared" si="18"/>
        <v>0</v>
      </c>
      <c r="CJ53" s="997">
        <f t="shared" si="19"/>
        <v>0</v>
      </c>
      <c r="CK53" s="997"/>
      <c r="CL53" s="997"/>
      <c r="CM53" s="997">
        <f t="shared" si="59"/>
        <v>0</v>
      </c>
      <c r="CN53" s="997">
        <f t="shared" si="60"/>
        <v>0</v>
      </c>
      <c r="CO53" s="997">
        <f t="shared" si="61"/>
        <v>0</v>
      </c>
      <c r="CP53" s="997">
        <f t="shared" si="44"/>
        <v>0</v>
      </c>
      <c r="CQ53" s="997">
        <f t="shared" si="62"/>
        <v>0</v>
      </c>
      <c r="CR53" s="997">
        <f>IFERROR(VLOOKUP($B53,SchumeiBituahYesodi!$C$6:$AA$100,8,FALSE),0)</f>
        <v>0</v>
      </c>
      <c r="CS53" s="997">
        <f>IFERROR(VLOOKUP($B53,PirteiKisuiBeMutzar_procerur!$C$6:$AA$100,2,FALSE),0)</f>
        <v>0</v>
      </c>
      <c r="CT53" s="997">
        <f>IFERROR(VLOOKUP($B53,PirteiKisuiBeMutzar_procerur!$C$6:$AA$100,3,FALSE),0)</f>
        <v>0</v>
      </c>
      <c r="CU53" s="997">
        <f>IFERROR(VLOOKUP($B53,PirteiKisuiBeMutzar_procerur!$C$6:$AA$100,4,FALSE),0)</f>
        <v>0</v>
      </c>
      <c r="CV53" s="997">
        <f>IFERROR(VLOOKUP($B53,PirteiKisuiBeMutzar_procerur!$C$6:$AA$100,5,FALSE),0)</f>
        <v>0</v>
      </c>
      <c r="CW53" s="997">
        <f>IFERROR(VLOOKUP($B53,PirteiKisuiBeMutzar_procerur!$C$6:$AA$100,6,FALSE),0)</f>
        <v>0</v>
      </c>
      <c r="CX53" s="997">
        <f>IFERROR(VLOOKUP($B53,PirteiKisuiBeMutzar_procerur!$C$6:$AA$100,7,FALSE),0)</f>
        <v>0</v>
      </c>
      <c r="CY53" s="997">
        <f>IFERROR(VLOOKUP($B53,PirteiKisuiBeMutzar_procerur!$C$6:$AA$100,8,FALSE),0)</f>
        <v>0</v>
      </c>
      <c r="CZ53" s="997">
        <f>IFERROR(VLOOKUP($B53,PirteiKisuiBeMutzar_procerur!$C$6:$AA$100,9,FALSE),0)</f>
        <v>0</v>
      </c>
      <c r="DA53" s="997">
        <f>IFERROR(VLOOKUP($B53,PirteiKisuiBeMutzar_procerur!$C$6:$AA$100,10,FALSE),0)</f>
        <v>0</v>
      </c>
      <c r="DB53" s="997">
        <f>IFERROR(VLOOKUP($B53,PirteiKisuiBeMutzar_procerur!$C$6:$AA$100,11,FALSE),0)</f>
        <v>0</v>
      </c>
      <c r="DC53" s="997">
        <f>IFERROR(VLOOKUP($B53,PirteiKisuiBeMutzarPrmia!$C$6:$Z$100,2,FALSE),0)</f>
        <v>0</v>
      </c>
      <c r="DD53" s="997">
        <f>IFERROR(VLOOKUP($B53,PirteiKisuiBeMutzarPrmia!$C$6:$Z$100,3,FALSE),0)</f>
        <v>0</v>
      </c>
      <c r="DE53" s="997">
        <f>IFERROR(VLOOKUP($B53,PirteiKisuiBeMutzarPrmia!$C$6:$Z$100,4,FALSE),0)</f>
        <v>0</v>
      </c>
      <c r="DF53" s="997">
        <f>IFERROR(VLOOKUP($B53,PirteiKisuiBeMutzarPrmia!$C$6:$Z$100,5,FALSE),0)</f>
        <v>0</v>
      </c>
      <c r="DG53" s="997">
        <f>IFERROR(VLOOKUP($B53,PirteiKisuiBeMutzarPrmia!$C$6:$Z$100,6,FALSE),0)</f>
        <v>0</v>
      </c>
      <c r="DH53" s="997">
        <f>IFERROR(VLOOKUP($B53,PirteiKisuiBeMutzarPrmia!$C$6:$Z$100,7,FALSE),0)</f>
        <v>0</v>
      </c>
      <c r="DI53" s="997">
        <f>IFERROR(VLOOKUP($B53,PirteiKisuiBeMutzarPrmia!$C$6:$Z$100,8,FALSE),0)</f>
        <v>0</v>
      </c>
      <c r="DJ53" s="997">
        <f>IFERROR(VLOOKUP($B53,PirteiKisuiBeMutzarPrmia!$C$6:$Z$100,9,FALSE),0)</f>
        <v>0</v>
      </c>
      <c r="DK53" s="997">
        <f>IFERROR(VLOOKUP($B53,PirteiKisuiBeMutzarPrmia!$C$6:$Z$100,10,FALSE),0)</f>
        <v>0</v>
      </c>
      <c r="DL53" s="997">
        <f>IFERROR(VLOOKUP($B53,PirteiKisuiBeMutzarPrmia!$C$6:$Z$100,11,FALSE),0)</f>
        <v>0</v>
      </c>
      <c r="DM53" s="997">
        <f t="shared" si="66"/>
        <v>0</v>
      </c>
      <c r="DN53" s="997">
        <f t="shared" si="63"/>
        <v>0</v>
      </c>
      <c r="DO53" s="997">
        <f t="shared" si="64"/>
        <v>0</v>
      </c>
      <c r="DP53" s="997">
        <f t="shared" si="67"/>
        <v>0</v>
      </c>
      <c r="DQ53" s="997">
        <f t="shared" si="65"/>
        <v>0</v>
      </c>
      <c r="DR53" s="997">
        <f>IF(OR(L53=1,L53=3),IFERROR(VLOOKUP($B53,PerutHafkadotMetchilatShanaAvgM!$C$6:$G$100,3,FALSE),0),0)</f>
        <v>0</v>
      </c>
      <c r="DS53" s="997">
        <f>IF(OR(L53=2,L53=4),IFERROR(VLOOKUP($B53,PerutHafkadotMetchilatShanaAvgM!$C$6:$G$100,3,FALSE),0),0)</f>
        <v>0</v>
      </c>
      <c r="DT53" s="997">
        <f>IFERROR(VLOOKUP($B53,PerutHafkadotMetchilatShanaAvgM!$C$6:$G$100,4,FALSE),0)</f>
        <v>0</v>
      </c>
      <c r="DU53" s="997">
        <f>IFERROR(VLOOKUP($B53,Kupa!$D$6:$AA$100,5,FALSE),0)</f>
        <v>0</v>
      </c>
      <c r="DV53" s="997">
        <f>IFERROR(VLOOKUP($B53,Kupa!$D$6:$AA$100,6,FALSE),0)</f>
        <v>0</v>
      </c>
      <c r="DW53" s="997">
        <f>IFERROR(VLOOKUP($B53,KisuiBKerenPensiaDBWithParams!$D$6:$AP$100,9,FALSE),0)</f>
        <v>0</v>
      </c>
      <c r="DX53" s="997">
        <f>IFERROR(VLOOKUP($B53,KisuiBKerenPensiaDBWithParams!$D$6:$AP$100,12,FALSE),0)</f>
        <v>0</v>
      </c>
      <c r="DY53" s="997">
        <f>IFERROR(VLOOKUP($B53,KisuiBKerenPensiaDBWithParams!$D$6:$AP$100,13,FALSE),0)</f>
        <v>0</v>
      </c>
      <c r="DZ53" s="997">
        <f>IFERROR(VLOOKUP($B53,KisuiBKerenPensiaDBWithParams!$D$6:$AP$100,7,FALSE),0)</f>
        <v>0</v>
      </c>
      <c r="EA53" s="997">
        <f>IFERROR(VLOOKUP($B53,KisuiBKerenPensiaDBWithParams!$D$6:$AP$100,17,FALSE),0)</f>
        <v>0</v>
      </c>
      <c r="EB53" s="997">
        <f>IFERROR(VLOOKUP($B53,KisuiBKerenPensiaDBWithParams!$D$6:$AP$100,20,FALSE),0)</f>
        <v>0</v>
      </c>
      <c r="EC53" s="997">
        <f>IFERROR(VLOOKUP($B53,KisuiBKerenPensiaDBWithParams!$D$6:$AP$100,21,FALSE),0)</f>
        <v>0</v>
      </c>
      <c r="ED53" s="997">
        <f t="shared" si="45"/>
        <v>0</v>
      </c>
      <c r="EE53" s="997"/>
      <c r="EF53" s="1020">
        <f>IFERROR(VLOOKUP($B53,KisuiBKerenPensiaDBWithParams!$D$6:$AP$100,21,FALSE),0)</f>
        <v>0</v>
      </c>
      <c r="EG53" s="1020">
        <f>IFERROR(VLOOKUP($B53,KisuiBKerenPensiaDBWithParams!$D$6:$AP$100,21,FALSE),0)</f>
        <v>0</v>
      </c>
      <c r="EH53">
        <f>IF(OR(G53=MyData!$J$51,G53=MyData!$J$52,G53=MyData!$J$53),1,IF(G53=MyData!$J$50,2,0))</f>
        <v>0</v>
      </c>
      <c r="EI53">
        <f>IFERROR(VLOOKUP($B53,CrosstabPerutYitrotDB!$C$6:$N$50,3,FALSE),0)</f>
        <v>0</v>
      </c>
      <c r="EJ53">
        <f>IFERROR(VLOOKUP($B53,CrosstabPerutYitrotDB!$C$6:$N$50,4,FALSE),0)</f>
        <v>0</v>
      </c>
      <c r="EK53">
        <f>IFERROR(VLOOKUP($B53,CrosstabPerutYitrotDB!$C$6:$N$50,5,FALSE),0)</f>
        <v>0</v>
      </c>
      <c r="EL53">
        <f>IFERROR(VLOOKUP($B53,CrosstabPerutYitrotDB!$C$6:$N$50,6,FALSE),0)</f>
        <v>0</v>
      </c>
      <c r="EM53">
        <f>IFERROR(VLOOKUP($B53,CrosstabPerutYitrotDB!$C$6:$N$50,7,FALSE),0)</f>
        <v>0</v>
      </c>
      <c r="EN53">
        <f>IFERROR(VLOOKUP($B53,CrosstabPerutYitrotDB!$C$6:$N$50,8,FALSE),0)</f>
        <v>0</v>
      </c>
      <c r="EO53">
        <f>IFERROR(VLOOKUP($B53,CrosstabPerutYitrotDB!$C$6:$N$50,9,FALSE),0)</f>
        <v>0</v>
      </c>
      <c r="EP53">
        <f>IFERROR(VLOOKUP($B53,CrosstabPerutYitrotDB!$C$6:$N$50,10,FALSE),0)</f>
        <v>0</v>
      </c>
      <c r="EQ53">
        <f>IFERROR(VLOOKUP($B53,CrosstabPerutYitrotDB!$C$6:$N$50,11,FALSE),0)</f>
        <v>0</v>
      </c>
    </row>
    <row r="54" spans="1:147" x14ac:dyDescent="0.2">
      <c r="A54">
        <f t="shared" si="46"/>
        <v>0</v>
      </c>
      <c r="B54" s="20">
        <f>RicusPolice!E51</f>
        <v>0</v>
      </c>
      <c r="C54" s="20">
        <f>RicusPolice!AL51</f>
        <v>0</v>
      </c>
      <c r="D54" s="20">
        <f>RicusPolice!F51</f>
        <v>0</v>
      </c>
      <c r="E54" s="20">
        <f>RicusPolice!R51</f>
        <v>0</v>
      </c>
      <c r="F54" s="20">
        <f>RicusPolice!N51</f>
        <v>0</v>
      </c>
      <c r="G54" s="20">
        <f>IFERROR(VLOOKUP($B54,PerutYitrot!$D$6:$P$100,4,FALSE),0)</f>
        <v>0</v>
      </c>
      <c r="H54" s="20">
        <f t="shared" si="29"/>
        <v>0</v>
      </c>
      <c r="I54" s="20">
        <f>RicusPolice!L51</f>
        <v>0</v>
      </c>
      <c r="J54" s="179">
        <f>IFERROR(VLOOKUP(TRIM(K54),MyData!$J$44:$K$50,2,FALSE),0)</f>
        <v>0</v>
      </c>
      <c r="K54" s="20">
        <f>RicusPolice!M51</f>
        <v>0</v>
      </c>
      <c r="L54" s="20">
        <f>RicusPolice!AM51</f>
        <v>0</v>
      </c>
      <c r="M54" s="20" t="str">
        <f>IF(B54&gt;0,RicusPolice!Y51," ")</f>
        <v xml:space="preserve"> </v>
      </c>
      <c r="N54" s="20" t="str">
        <f t="shared" si="30"/>
        <v/>
      </c>
      <c r="O54" s="20">
        <f>RicusPolice!N51</f>
        <v>0</v>
      </c>
      <c r="P54" s="20">
        <f>IFERROR(VLOOKUP(B54,PerutMasluleiHashkaa!$D$6:$R$100,4,FALSE),0)</f>
        <v>0</v>
      </c>
      <c r="Q54" s="19"/>
      <c r="R54" s="1011" t="str">
        <f>IF(B54&gt;0,RicusPolice!P53," ")</f>
        <v xml:space="preserve"> </v>
      </c>
      <c r="S54" s="20">
        <f>IFERROR(VLOOKUP($B54,'נתונים ידניים'!$B$9:$G$51,6,FALSE),0)</f>
        <v>0</v>
      </c>
      <c r="T54" s="21">
        <f>'נתונים ידניים'!J55</f>
        <v>0</v>
      </c>
      <c r="U54" s="21">
        <f>'נתונים ידניים'!K55</f>
        <v>0</v>
      </c>
      <c r="V54" s="20">
        <f>IFERROR(VLOOKUP($B54,PerutHafrashotLePolisa!$D$6:$N$50,2,FALSE),0)</f>
        <v>0</v>
      </c>
      <c r="W54" s="20">
        <f>IFERROR(VLOOKUP($B54,PerutHafrashotLePolisa!$D$6:$N$50,4,FALSE),0)</f>
        <v>0</v>
      </c>
      <c r="X54" s="20">
        <f>IFERROR(VLOOKUP($B54,PerutHafrashotLePolisa!$D$6:$N$50,3,FALSE),0)</f>
        <v>0</v>
      </c>
      <c r="Y54">
        <f t="shared" si="31"/>
        <v>0</v>
      </c>
      <c r="Z54">
        <f>RicusPolice!AP51</f>
        <v>0</v>
      </c>
      <c r="AA54">
        <f>IFERROR(VLOOKUP(B54,PirteiHaasaka!$D$6:$R$100,5,FALSE),0)</f>
        <v>0</v>
      </c>
      <c r="AC54">
        <f>IFERROR(VLOOKUP(B54,HafkadotMetchilatShanaAverages!$D$6:$E$100,2,FALSE),0)</f>
        <v>0</v>
      </c>
      <c r="AF54">
        <f>'נתונים ידניים'!L55</f>
        <v>0</v>
      </c>
      <c r="AG54">
        <f>IFERROR(VLOOKUP(B54,CrossTabYitraLeTkufa_till_2000!$D$6:$AB$100,6,FALSE),0)+IFERROR(VLOOKUP(B54,CrossTabYitraLeTkufa_after_2000!$D$6:$AB$100,6,FALSE),0)</f>
        <v>0</v>
      </c>
      <c r="AH54">
        <f>IFERROR(VLOOKUP(B54,CrossTabYitraLeTkufa_till_2000!$D$6:$AB$100,16,FALSE),0)</f>
        <v>0</v>
      </c>
      <c r="AI54">
        <f>IFERROR(VLOOKUP(B54,CrossTabYitraLeTkufa_after_2000!$D$6:$AB$100,16,FALSE),0)</f>
        <v>0</v>
      </c>
      <c r="AJ54">
        <f>IFERROR(VLOOKUP(B54,CrossTabYitraLeTkufa_till_2000!$D$6:$AB$100,17,FALSE),0)</f>
        <v>0</v>
      </c>
      <c r="AK54">
        <f>IFERROR(VLOOKUP(B54,CrossTabYitraLeTkufa_after_2000!$D$6:$AB$100,17,FALSE),0)</f>
        <v>0</v>
      </c>
      <c r="AL54" s="5">
        <f t="shared" si="32"/>
        <v>0</v>
      </c>
      <c r="AO54">
        <f>IFERROR(VLOOKUP(B54,PirteiKisuiBeMutzar_procerur!$C$6:$AA$100,2,FALSE),0)</f>
        <v>0</v>
      </c>
      <c r="AQ54">
        <f>IFERROR(VLOOKUP($B54,PirteiKisuiBeMutzar_procerur!$C$6:$AA$100,5,FALSE),0)</f>
        <v>0</v>
      </c>
      <c r="AR54">
        <f>IFERROR(VLOOKUP($B54,PirteiKisuiBeMutzar_procerur!$C$6:$AA$100,3,FALSE),0)</f>
        <v>0</v>
      </c>
      <c r="AS54">
        <f>IFERROR(VLOOKUP($B54,PirteiKisuiBeMutzar_procerur!$C$6:$AA$100,6,FALSE),0)</f>
        <v>0</v>
      </c>
      <c r="AT54">
        <f>IFERROR(VLOOKUP($B54,PirteiKisuiBeMutzar_procerur!$C$6:$AA$100,7,FALSE),0)</f>
        <v>0</v>
      </c>
      <c r="AX54" s="997">
        <f t="shared" si="33"/>
        <v>0</v>
      </c>
      <c r="AY54" s="997">
        <f t="shared" si="34"/>
        <v>0</v>
      </c>
      <c r="AZ54" s="997">
        <f t="shared" si="35"/>
        <v>0</v>
      </c>
      <c r="BA54" s="997">
        <f>IFERROR(FV(S54/100/12,'נתוני יסוד'!$B$16*12,AX54,AG54)*(-1),0)</f>
        <v>0</v>
      </c>
      <c r="BB54" s="997">
        <f>IFERROR(FV(S54/100/12,'נתוני יסוד'!$B$16*12,0,AH54)*(-1),0)</f>
        <v>0</v>
      </c>
      <c r="BC54" s="997">
        <f>IFERROR(FV(S54/100/12,'נתוני יסוד'!$B$16*12,AY54,AI54)*(-1),0)</f>
        <v>0</v>
      </c>
      <c r="BD54" s="997">
        <f>IFERROR(FV(S54/100/12,'נתוני יסוד'!$B$16*12,0,AJ54)*(-1),0)</f>
        <v>0</v>
      </c>
      <c r="BE54" s="997">
        <f>IFERROR(FV(S54/100/12,'נתוני יסוד'!$B$16*12,AZ54,AK54)*(-1),0)</f>
        <v>0</v>
      </c>
      <c r="BF54" s="997">
        <f t="shared" si="36"/>
        <v>0</v>
      </c>
      <c r="BG54" s="997">
        <f>IFERROR(FV(S54/100/12,'נתוני יסוד'!$B$16*12,AF54,AL54)*(-1),0)</f>
        <v>0</v>
      </c>
      <c r="BH54" s="997">
        <f t="shared" si="37"/>
        <v>0</v>
      </c>
      <c r="BI54" s="997">
        <f t="shared" si="38"/>
        <v>0</v>
      </c>
      <c r="BJ54" s="997">
        <f t="shared" si="39"/>
        <v>0</v>
      </c>
      <c r="BK54" s="997">
        <f t="shared" si="40"/>
        <v>0</v>
      </c>
      <c r="BL54" s="997">
        <f t="shared" si="47"/>
        <v>0</v>
      </c>
      <c r="BM54" s="997">
        <f t="shared" si="48"/>
        <v>0</v>
      </c>
      <c r="BN54" s="997">
        <f t="shared" si="49"/>
        <v>0</v>
      </c>
      <c r="BO54" s="997">
        <f t="shared" si="41"/>
        <v>0</v>
      </c>
      <c r="BP54" s="997">
        <f t="shared" si="50"/>
        <v>0</v>
      </c>
      <c r="BS54">
        <f t="shared" si="51"/>
        <v>0</v>
      </c>
      <c r="BT54">
        <f t="shared" si="52"/>
        <v>0</v>
      </c>
      <c r="BU54">
        <f t="shared" si="53"/>
        <v>0</v>
      </c>
      <c r="BV54">
        <f t="shared" si="42"/>
        <v>0</v>
      </c>
      <c r="BW54">
        <f t="shared" si="54"/>
        <v>0</v>
      </c>
      <c r="BY54" s="997">
        <f t="shared" si="55"/>
        <v>0</v>
      </c>
      <c r="BZ54" s="997">
        <f t="shared" si="56"/>
        <v>0</v>
      </c>
      <c r="CA54" s="997">
        <f t="shared" si="57"/>
        <v>0</v>
      </c>
      <c r="CB54" s="997">
        <f t="shared" si="43"/>
        <v>0</v>
      </c>
      <c r="CC54" s="997">
        <f t="shared" si="58"/>
        <v>0</v>
      </c>
      <c r="CD54" s="997">
        <f t="shared" si="13"/>
        <v>0</v>
      </c>
      <c r="CE54" s="997">
        <f t="shared" si="14"/>
        <v>0</v>
      </c>
      <c r="CF54" s="997">
        <f t="shared" si="15"/>
        <v>0</v>
      </c>
      <c r="CG54" s="997">
        <f t="shared" si="16"/>
        <v>0</v>
      </c>
      <c r="CH54" s="997">
        <f t="shared" si="17"/>
        <v>0</v>
      </c>
      <c r="CI54" s="997">
        <f t="shared" si="18"/>
        <v>0</v>
      </c>
      <c r="CJ54" s="997">
        <f t="shared" si="19"/>
        <v>0</v>
      </c>
      <c r="CK54" s="997"/>
      <c r="CL54" s="997"/>
      <c r="CM54" s="997">
        <f t="shared" si="59"/>
        <v>0</v>
      </c>
      <c r="CN54" s="997">
        <f t="shared" si="60"/>
        <v>0</v>
      </c>
      <c r="CO54" s="997">
        <f t="shared" si="61"/>
        <v>0</v>
      </c>
      <c r="CP54" s="997">
        <f t="shared" si="44"/>
        <v>0</v>
      </c>
      <c r="CQ54" s="997">
        <f t="shared" si="62"/>
        <v>0</v>
      </c>
      <c r="CR54" s="997">
        <f>IFERROR(VLOOKUP($B54,SchumeiBituahYesodi!$C$6:$AA$100,8,FALSE),0)</f>
        <v>0</v>
      </c>
      <c r="CS54" s="997">
        <f>IFERROR(VLOOKUP($B54,PirteiKisuiBeMutzar_procerur!$C$6:$AA$100,2,FALSE),0)</f>
        <v>0</v>
      </c>
      <c r="CT54" s="997">
        <f>IFERROR(VLOOKUP($B54,PirteiKisuiBeMutzar_procerur!$C$6:$AA$100,3,FALSE),0)</f>
        <v>0</v>
      </c>
      <c r="CU54" s="997">
        <f>IFERROR(VLOOKUP($B54,PirteiKisuiBeMutzar_procerur!$C$6:$AA$100,4,FALSE),0)</f>
        <v>0</v>
      </c>
      <c r="CV54" s="997">
        <f>IFERROR(VLOOKUP($B54,PirteiKisuiBeMutzar_procerur!$C$6:$AA$100,5,FALSE),0)</f>
        <v>0</v>
      </c>
      <c r="CW54" s="997">
        <f>IFERROR(VLOOKUP($B54,PirteiKisuiBeMutzar_procerur!$C$6:$AA$100,6,FALSE),0)</f>
        <v>0</v>
      </c>
      <c r="CX54" s="997">
        <f>IFERROR(VLOOKUP($B54,PirteiKisuiBeMutzar_procerur!$C$6:$AA$100,7,FALSE),0)</f>
        <v>0</v>
      </c>
      <c r="CY54" s="997">
        <f>IFERROR(VLOOKUP($B54,PirteiKisuiBeMutzar_procerur!$C$6:$AA$100,8,FALSE),0)</f>
        <v>0</v>
      </c>
      <c r="CZ54" s="997">
        <f>IFERROR(VLOOKUP($B54,PirteiKisuiBeMutzar_procerur!$C$6:$AA$100,9,FALSE),0)</f>
        <v>0</v>
      </c>
      <c r="DA54" s="997">
        <f>IFERROR(VLOOKUP($B54,PirteiKisuiBeMutzar_procerur!$C$6:$AA$100,10,FALSE),0)</f>
        <v>0</v>
      </c>
      <c r="DB54" s="997">
        <f>IFERROR(VLOOKUP($B54,PirteiKisuiBeMutzar_procerur!$C$6:$AA$100,11,FALSE),0)</f>
        <v>0</v>
      </c>
      <c r="DC54" s="997">
        <f>IFERROR(VLOOKUP($B54,PirteiKisuiBeMutzarPrmia!$C$6:$Z$100,2,FALSE),0)</f>
        <v>0</v>
      </c>
      <c r="DD54" s="997">
        <f>IFERROR(VLOOKUP($B54,PirteiKisuiBeMutzarPrmia!$C$6:$Z$100,3,FALSE),0)</f>
        <v>0</v>
      </c>
      <c r="DE54" s="997">
        <f>IFERROR(VLOOKUP($B54,PirteiKisuiBeMutzarPrmia!$C$6:$Z$100,4,FALSE),0)</f>
        <v>0</v>
      </c>
      <c r="DF54" s="997">
        <f>IFERROR(VLOOKUP($B54,PirteiKisuiBeMutzarPrmia!$C$6:$Z$100,5,FALSE),0)</f>
        <v>0</v>
      </c>
      <c r="DG54" s="997">
        <f>IFERROR(VLOOKUP($B54,PirteiKisuiBeMutzarPrmia!$C$6:$Z$100,6,FALSE),0)</f>
        <v>0</v>
      </c>
      <c r="DH54" s="997">
        <f>IFERROR(VLOOKUP($B54,PirteiKisuiBeMutzarPrmia!$C$6:$Z$100,7,FALSE),0)</f>
        <v>0</v>
      </c>
      <c r="DI54" s="997">
        <f>IFERROR(VLOOKUP($B54,PirteiKisuiBeMutzarPrmia!$C$6:$Z$100,8,FALSE),0)</f>
        <v>0</v>
      </c>
      <c r="DJ54" s="997">
        <f>IFERROR(VLOOKUP($B54,PirteiKisuiBeMutzarPrmia!$C$6:$Z$100,9,FALSE),0)</f>
        <v>0</v>
      </c>
      <c r="DK54" s="997">
        <f>IFERROR(VLOOKUP($B54,PirteiKisuiBeMutzarPrmia!$C$6:$Z$100,10,FALSE),0)</f>
        <v>0</v>
      </c>
      <c r="DL54" s="997">
        <f>IFERROR(VLOOKUP($B54,PirteiKisuiBeMutzarPrmia!$C$6:$Z$100,11,FALSE),0)</f>
        <v>0</v>
      </c>
      <c r="DM54" s="997">
        <f t="shared" si="66"/>
        <v>0</v>
      </c>
      <c r="DN54" s="997">
        <f t="shared" si="63"/>
        <v>0</v>
      </c>
      <c r="DO54" s="997">
        <f t="shared" si="64"/>
        <v>0</v>
      </c>
      <c r="DP54" s="997">
        <f t="shared" si="67"/>
        <v>0</v>
      </c>
      <c r="DQ54" s="997">
        <f t="shared" si="65"/>
        <v>0</v>
      </c>
      <c r="DR54" s="997">
        <f>IF(OR(L54=1,L54=3),IFERROR(VLOOKUP($B54,PerutHafkadotMetchilatShanaAvgM!$C$6:$G$100,3,FALSE),0),0)</f>
        <v>0</v>
      </c>
      <c r="DS54" s="997">
        <f>IF(OR(L54=2,L54=4),IFERROR(VLOOKUP($B54,PerutHafkadotMetchilatShanaAvgM!$C$6:$G$100,3,FALSE),0),0)</f>
        <v>0</v>
      </c>
      <c r="DT54" s="997">
        <f>IFERROR(VLOOKUP($B54,PerutHafkadotMetchilatShanaAvgM!$C$6:$G$100,4,FALSE),0)</f>
        <v>0</v>
      </c>
      <c r="DU54" s="997">
        <f>IFERROR(VLOOKUP($B54,Kupa!$D$6:$AA$100,5,FALSE),0)</f>
        <v>0</v>
      </c>
      <c r="DV54" s="997">
        <f>IFERROR(VLOOKUP($B54,Kupa!$D$6:$AA$100,6,FALSE),0)</f>
        <v>0</v>
      </c>
      <c r="DW54" s="997">
        <f>IFERROR(VLOOKUP($B54,KisuiBKerenPensiaDBWithParams!$D$6:$AP$100,9,FALSE),0)</f>
        <v>0</v>
      </c>
      <c r="DX54" s="997">
        <f>IFERROR(VLOOKUP($B54,KisuiBKerenPensiaDBWithParams!$D$6:$AP$100,12,FALSE),0)</f>
        <v>0</v>
      </c>
      <c r="DY54" s="997">
        <f>IFERROR(VLOOKUP($B54,KisuiBKerenPensiaDBWithParams!$D$6:$AP$100,13,FALSE),0)</f>
        <v>0</v>
      </c>
      <c r="DZ54" s="997">
        <f>IFERROR(VLOOKUP($B54,KisuiBKerenPensiaDBWithParams!$D$6:$AP$100,7,FALSE),0)</f>
        <v>0</v>
      </c>
      <c r="EA54" s="997">
        <f>IFERROR(VLOOKUP($B54,KisuiBKerenPensiaDBWithParams!$D$6:$AP$100,17,FALSE),0)</f>
        <v>0</v>
      </c>
      <c r="EB54" s="997">
        <f>IFERROR(VLOOKUP($B54,KisuiBKerenPensiaDBWithParams!$D$6:$AP$100,20,FALSE),0)</f>
        <v>0</v>
      </c>
      <c r="EC54" s="997">
        <f>IFERROR(VLOOKUP($B54,KisuiBKerenPensiaDBWithParams!$D$6:$AP$100,21,FALSE),0)</f>
        <v>0</v>
      </c>
      <c r="ED54" s="997">
        <f t="shared" si="45"/>
        <v>0</v>
      </c>
      <c r="EE54" s="997"/>
      <c r="EF54" s="1020">
        <f>IFERROR(VLOOKUP($B54,KisuiBKerenPensiaDBWithParams!$D$6:$AP$100,21,FALSE),0)</f>
        <v>0</v>
      </c>
      <c r="EG54" s="1020">
        <f>IFERROR(VLOOKUP($B54,KisuiBKerenPensiaDBWithParams!$D$6:$AP$100,21,FALSE),0)</f>
        <v>0</v>
      </c>
      <c r="EH54">
        <f>IF(OR(G54=MyData!$J$51,G54=MyData!$J$52,G54=MyData!$J$53),1,IF(G54=MyData!$J$50,2,0))</f>
        <v>0</v>
      </c>
      <c r="EI54">
        <f>IFERROR(VLOOKUP($B54,CrosstabPerutYitrotDB!$C$6:$N$50,3,FALSE),0)</f>
        <v>0</v>
      </c>
      <c r="EJ54">
        <f>IFERROR(VLOOKUP($B54,CrosstabPerutYitrotDB!$C$6:$N$50,4,FALSE),0)</f>
        <v>0</v>
      </c>
      <c r="EK54">
        <f>IFERROR(VLOOKUP($B54,CrosstabPerutYitrotDB!$C$6:$N$50,5,FALSE),0)</f>
        <v>0</v>
      </c>
      <c r="EL54">
        <f>IFERROR(VLOOKUP($B54,CrosstabPerutYitrotDB!$C$6:$N$50,6,FALSE),0)</f>
        <v>0</v>
      </c>
      <c r="EM54">
        <f>IFERROR(VLOOKUP($B54,CrosstabPerutYitrotDB!$C$6:$N$50,7,FALSE),0)</f>
        <v>0</v>
      </c>
      <c r="EN54">
        <f>IFERROR(VLOOKUP($B54,CrosstabPerutYitrotDB!$C$6:$N$50,8,FALSE),0)</f>
        <v>0</v>
      </c>
      <c r="EO54">
        <f>IFERROR(VLOOKUP($B54,CrosstabPerutYitrotDB!$C$6:$N$50,9,FALSE),0)</f>
        <v>0</v>
      </c>
      <c r="EP54">
        <f>IFERROR(VLOOKUP($B54,CrosstabPerutYitrotDB!$C$6:$N$50,10,FALSE),0)</f>
        <v>0</v>
      </c>
      <c r="EQ54">
        <f>IFERROR(VLOOKUP($B54,CrosstabPerutYitrotDB!$C$6:$N$50,11,FALSE),0)</f>
        <v>0</v>
      </c>
    </row>
    <row r="55" spans="1:147" x14ac:dyDescent="0.2">
      <c r="A55">
        <f t="shared" si="46"/>
        <v>0</v>
      </c>
      <c r="B55" s="20">
        <f>RicusPolice!E52</f>
        <v>0</v>
      </c>
      <c r="C55" s="20">
        <f>RicusPolice!AL52</f>
        <v>0</v>
      </c>
      <c r="D55" s="20">
        <f>RicusPolice!F52</f>
        <v>0</v>
      </c>
      <c r="E55" s="20">
        <f>RicusPolice!R52</f>
        <v>0</v>
      </c>
      <c r="F55" s="20">
        <f>RicusPolice!N52</f>
        <v>0</v>
      </c>
      <c r="G55" s="20">
        <f>IFERROR(VLOOKUP($B55,PerutYitrot!$D$6:$P$100,4,FALSE),0)</f>
        <v>0</v>
      </c>
      <c r="H55" s="20">
        <f t="shared" si="29"/>
        <v>0</v>
      </c>
      <c r="I55" s="20">
        <f>RicusPolice!L52</f>
        <v>0</v>
      </c>
      <c r="J55" s="179">
        <f>IFERROR(VLOOKUP(TRIM(K55),MyData!$J$44:$K$50,2,FALSE),0)</f>
        <v>0</v>
      </c>
      <c r="K55" s="20">
        <f>RicusPolice!M52</f>
        <v>0</v>
      </c>
      <c r="L55" s="20">
        <f>RicusPolice!AM52</f>
        <v>0</v>
      </c>
      <c r="M55" s="20" t="str">
        <f>IF(B55&gt;0,RicusPolice!Y52," ")</f>
        <v xml:space="preserve"> </v>
      </c>
      <c r="N55" s="20" t="str">
        <f t="shared" si="30"/>
        <v/>
      </c>
      <c r="O55" s="20">
        <f>RicusPolice!N52</f>
        <v>0</v>
      </c>
      <c r="P55" s="20">
        <f>IFERROR(VLOOKUP(B55,PerutMasluleiHashkaa!$D$6:$R$100,4,FALSE),0)</f>
        <v>0</v>
      </c>
      <c r="Q55" s="19"/>
      <c r="R55" s="1011" t="str">
        <f>IF(B55&gt;0,RicusPolice!P54," ")</f>
        <v xml:space="preserve"> </v>
      </c>
      <c r="S55" s="20">
        <f>IFERROR(VLOOKUP($B55,'נתונים ידניים'!$B$9:$G$51,6,FALSE),0)</f>
        <v>0</v>
      </c>
      <c r="T55" s="21">
        <f>'נתונים ידניים'!J56</f>
        <v>0</v>
      </c>
      <c r="U55" s="21">
        <f>'נתונים ידניים'!K56</f>
        <v>0</v>
      </c>
      <c r="V55" s="20">
        <f>IFERROR(VLOOKUP($B55,PerutHafrashotLePolisa!$D$6:$N$50,2,FALSE),0)</f>
        <v>0</v>
      </c>
      <c r="W55" s="20">
        <f>IFERROR(VLOOKUP($B55,PerutHafrashotLePolisa!$D$6:$N$50,4,FALSE),0)</f>
        <v>0</v>
      </c>
      <c r="X55" s="20">
        <f>IFERROR(VLOOKUP($B55,PerutHafrashotLePolisa!$D$6:$N$50,3,FALSE),0)</f>
        <v>0</v>
      </c>
      <c r="Y55">
        <f t="shared" si="31"/>
        <v>0</v>
      </c>
      <c r="Z55">
        <f>RicusPolice!AP52</f>
        <v>0</v>
      </c>
      <c r="AA55">
        <f>IFERROR(VLOOKUP(B55,PirteiHaasaka!$D$6:$R$100,5,FALSE),0)</f>
        <v>0</v>
      </c>
      <c r="AC55">
        <f>IFERROR(VLOOKUP(B55,HafkadotMetchilatShanaAverages!$D$6:$E$100,2,FALSE),0)</f>
        <v>0</v>
      </c>
      <c r="AF55">
        <f>'נתונים ידניים'!L56</f>
        <v>0</v>
      </c>
      <c r="AG55">
        <f>IFERROR(VLOOKUP(B55,CrossTabYitraLeTkufa_till_2000!$D$6:$AB$100,6,FALSE),0)+IFERROR(VLOOKUP(B55,CrossTabYitraLeTkufa_after_2000!$D$6:$AB$100,6,FALSE),0)</f>
        <v>0</v>
      </c>
      <c r="AH55">
        <f>IFERROR(VLOOKUP(B55,CrossTabYitraLeTkufa_till_2000!$D$6:$AB$100,16,FALSE),0)</f>
        <v>0</v>
      </c>
      <c r="AI55">
        <f>IFERROR(VLOOKUP(B55,CrossTabYitraLeTkufa_after_2000!$D$6:$AB$100,16,FALSE),0)</f>
        <v>0</v>
      </c>
      <c r="AJ55">
        <f>IFERROR(VLOOKUP(B55,CrossTabYitraLeTkufa_till_2000!$D$6:$AB$100,17,FALSE),0)</f>
        <v>0</v>
      </c>
      <c r="AK55">
        <f>IFERROR(VLOOKUP(B55,CrossTabYitraLeTkufa_after_2000!$D$6:$AB$100,17,FALSE),0)</f>
        <v>0</v>
      </c>
      <c r="AL55" s="5">
        <f t="shared" si="32"/>
        <v>0</v>
      </c>
      <c r="AO55">
        <f>IFERROR(VLOOKUP(B55,PirteiKisuiBeMutzar_procerur!$C$6:$AA$100,2,FALSE),0)</f>
        <v>0</v>
      </c>
      <c r="AQ55">
        <f>IFERROR(VLOOKUP($B55,PirteiKisuiBeMutzar_procerur!$C$6:$AA$100,5,FALSE),0)</f>
        <v>0</v>
      </c>
      <c r="AR55">
        <f>IFERROR(VLOOKUP($B55,PirteiKisuiBeMutzar_procerur!$C$6:$AA$100,3,FALSE),0)</f>
        <v>0</v>
      </c>
      <c r="AS55">
        <f>IFERROR(VLOOKUP($B55,PirteiKisuiBeMutzar_procerur!$C$6:$AA$100,6,FALSE),0)</f>
        <v>0</v>
      </c>
      <c r="AT55">
        <f>IFERROR(VLOOKUP($B55,PirteiKisuiBeMutzar_procerur!$C$6:$AA$100,7,FALSE),0)</f>
        <v>0</v>
      </c>
      <c r="AX55" s="997">
        <f t="shared" si="33"/>
        <v>0</v>
      </c>
      <c r="AY55" s="997">
        <f t="shared" si="34"/>
        <v>0</v>
      </c>
      <c r="AZ55" s="997">
        <f t="shared" si="35"/>
        <v>0</v>
      </c>
      <c r="BA55" s="997">
        <f>IFERROR(FV(S55/100/12,'נתוני יסוד'!$B$16*12,AX55,AG55)*(-1),0)</f>
        <v>0</v>
      </c>
      <c r="BB55" s="997">
        <f>IFERROR(FV(S55/100/12,'נתוני יסוד'!$B$16*12,0,AH55)*(-1),0)</f>
        <v>0</v>
      </c>
      <c r="BC55" s="997">
        <f>IFERROR(FV(S55/100/12,'נתוני יסוד'!$B$16*12,AY55,AI55)*(-1),0)</f>
        <v>0</v>
      </c>
      <c r="BD55" s="997">
        <f>IFERROR(FV(S55/100/12,'נתוני יסוד'!$B$16*12,0,AJ55)*(-1),0)</f>
        <v>0</v>
      </c>
      <c r="BE55" s="997">
        <f>IFERROR(FV(S55/100/12,'נתוני יסוד'!$B$16*12,AZ55,AK55)*(-1),0)</f>
        <v>0</v>
      </c>
      <c r="BF55" s="997">
        <f t="shared" si="36"/>
        <v>0</v>
      </c>
      <c r="BG55" s="997">
        <f>IFERROR(FV(S55/100/12,'נתוני יסוד'!$B$16*12,AF55,AL55)*(-1),0)</f>
        <v>0</v>
      </c>
      <c r="BH55" s="997">
        <f t="shared" si="37"/>
        <v>0</v>
      </c>
      <c r="BI55" s="997">
        <f t="shared" si="38"/>
        <v>0</v>
      </c>
      <c r="BJ55" s="997">
        <f t="shared" si="39"/>
        <v>0</v>
      </c>
      <c r="BK55" s="997">
        <f t="shared" si="40"/>
        <v>0</v>
      </c>
      <c r="BL55" s="997">
        <f t="shared" si="47"/>
        <v>0</v>
      </c>
      <c r="BM55" s="997">
        <f t="shared" si="48"/>
        <v>0</v>
      </c>
      <c r="BN55" s="997">
        <f t="shared" si="49"/>
        <v>0</v>
      </c>
      <c r="BO55" s="997">
        <f t="shared" si="41"/>
        <v>0</v>
      </c>
      <c r="BP55" s="997">
        <f t="shared" si="50"/>
        <v>0</v>
      </c>
      <c r="BS55">
        <f t="shared" si="51"/>
        <v>0</v>
      </c>
      <c r="BT55">
        <f t="shared" si="52"/>
        <v>0</v>
      </c>
      <c r="BU55">
        <f t="shared" si="53"/>
        <v>0</v>
      </c>
      <c r="BV55">
        <f t="shared" si="42"/>
        <v>0</v>
      </c>
      <c r="BW55">
        <f t="shared" si="54"/>
        <v>0</v>
      </c>
      <c r="BY55" s="997">
        <f t="shared" si="55"/>
        <v>0</v>
      </c>
      <c r="BZ55" s="997">
        <f t="shared" si="56"/>
        <v>0</v>
      </c>
      <c r="CA55" s="997">
        <f t="shared" si="57"/>
        <v>0</v>
      </c>
      <c r="CB55" s="997">
        <f t="shared" si="43"/>
        <v>0</v>
      </c>
      <c r="CC55" s="997">
        <f t="shared" si="58"/>
        <v>0</v>
      </c>
      <c r="CD55" s="997">
        <f t="shared" si="13"/>
        <v>0</v>
      </c>
      <c r="CE55" s="997">
        <f t="shared" si="14"/>
        <v>0</v>
      </c>
      <c r="CF55" s="997">
        <f t="shared" si="15"/>
        <v>0</v>
      </c>
      <c r="CG55" s="997">
        <f t="shared" si="16"/>
        <v>0</v>
      </c>
      <c r="CH55" s="997">
        <f t="shared" si="17"/>
        <v>0</v>
      </c>
      <c r="CI55" s="997">
        <f t="shared" si="18"/>
        <v>0</v>
      </c>
      <c r="CJ55" s="997">
        <f t="shared" si="19"/>
        <v>0</v>
      </c>
      <c r="CK55" s="997"/>
      <c r="CL55" s="997"/>
      <c r="CM55" s="997">
        <f t="shared" si="59"/>
        <v>0</v>
      </c>
      <c r="CN55" s="997">
        <f t="shared" si="60"/>
        <v>0</v>
      </c>
      <c r="CO55" s="997">
        <f t="shared" si="61"/>
        <v>0</v>
      </c>
      <c r="CP55" s="997">
        <f t="shared" si="44"/>
        <v>0</v>
      </c>
      <c r="CQ55" s="997">
        <f t="shared" si="62"/>
        <v>0</v>
      </c>
      <c r="CR55" s="997">
        <f>IFERROR(VLOOKUP($B55,SchumeiBituahYesodi!$C$6:$AA$100,8,FALSE),0)</f>
        <v>0</v>
      </c>
      <c r="CS55" s="997">
        <f>IFERROR(VLOOKUP($B55,PirteiKisuiBeMutzar_procerur!$C$6:$AA$100,2,FALSE),0)</f>
        <v>0</v>
      </c>
      <c r="CT55" s="997">
        <f>IFERROR(VLOOKUP($B55,PirteiKisuiBeMutzar_procerur!$C$6:$AA$100,3,FALSE),0)</f>
        <v>0</v>
      </c>
      <c r="CU55" s="997">
        <f>IFERROR(VLOOKUP($B55,PirteiKisuiBeMutzar_procerur!$C$6:$AA$100,4,FALSE),0)</f>
        <v>0</v>
      </c>
      <c r="CV55" s="997">
        <f>IFERROR(VLOOKUP($B55,PirteiKisuiBeMutzar_procerur!$C$6:$AA$100,5,FALSE),0)</f>
        <v>0</v>
      </c>
      <c r="CW55" s="997">
        <f>IFERROR(VLOOKUP($B55,PirteiKisuiBeMutzar_procerur!$C$6:$AA$100,6,FALSE),0)</f>
        <v>0</v>
      </c>
      <c r="CX55" s="997">
        <f>IFERROR(VLOOKUP($B55,PirteiKisuiBeMutzar_procerur!$C$6:$AA$100,7,FALSE),0)</f>
        <v>0</v>
      </c>
      <c r="CY55" s="997">
        <f>IFERROR(VLOOKUP($B55,PirteiKisuiBeMutzar_procerur!$C$6:$AA$100,8,FALSE),0)</f>
        <v>0</v>
      </c>
      <c r="CZ55" s="997">
        <f>IFERROR(VLOOKUP($B55,PirteiKisuiBeMutzar_procerur!$C$6:$AA$100,9,FALSE),0)</f>
        <v>0</v>
      </c>
      <c r="DA55" s="997">
        <f>IFERROR(VLOOKUP($B55,PirteiKisuiBeMutzar_procerur!$C$6:$AA$100,10,FALSE),0)</f>
        <v>0</v>
      </c>
      <c r="DB55" s="997">
        <f>IFERROR(VLOOKUP($B55,PirteiKisuiBeMutzar_procerur!$C$6:$AA$100,11,FALSE),0)</f>
        <v>0</v>
      </c>
      <c r="DC55" s="997">
        <f>IFERROR(VLOOKUP($B55,PirteiKisuiBeMutzarPrmia!$C$6:$Z$100,2,FALSE),0)</f>
        <v>0</v>
      </c>
      <c r="DD55" s="997">
        <f>IFERROR(VLOOKUP($B55,PirteiKisuiBeMutzarPrmia!$C$6:$Z$100,3,FALSE),0)</f>
        <v>0</v>
      </c>
      <c r="DE55" s="997">
        <f>IFERROR(VLOOKUP($B55,PirteiKisuiBeMutzarPrmia!$C$6:$Z$100,4,FALSE),0)</f>
        <v>0</v>
      </c>
      <c r="DF55" s="997">
        <f>IFERROR(VLOOKUP($B55,PirteiKisuiBeMutzarPrmia!$C$6:$Z$100,5,FALSE),0)</f>
        <v>0</v>
      </c>
      <c r="DG55" s="997">
        <f>IFERROR(VLOOKUP($B55,PirteiKisuiBeMutzarPrmia!$C$6:$Z$100,6,FALSE),0)</f>
        <v>0</v>
      </c>
      <c r="DH55" s="997">
        <f>IFERROR(VLOOKUP($B55,PirteiKisuiBeMutzarPrmia!$C$6:$Z$100,7,FALSE),0)</f>
        <v>0</v>
      </c>
      <c r="DI55" s="997">
        <f>IFERROR(VLOOKUP($B55,PirteiKisuiBeMutzarPrmia!$C$6:$Z$100,8,FALSE),0)</f>
        <v>0</v>
      </c>
      <c r="DJ55" s="997">
        <f>IFERROR(VLOOKUP($B55,PirteiKisuiBeMutzarPrmia!$C$6:$Z$100,9,FALSE),0)</f>
        <v>0</v>
      </c>
      <c r="DK55" s="997">
        <f>IFERROR(VLOOKUP($B55,PirteiKisuiBeMutzarPrmia!$C$6:$Z$100,10,FALSE),0)</f>
        <v>0</v>
      </c>
      <c r="DL55" s="997">
        <f>IFERROR(VLOOKUP($B55,PirteiKisuiBeMutzarPrmia!$C$6:$Z$100,11,FALSE),0)</f>
        <v>0</v>
      </c>
      <c r="DM55" s="997">
        <f t="shared" si="66"/>
        <v>0</v>
      </c>
      <c r="DN55" s="997">
        <f t="shared" si="63"/>
        <v>0</v>
      </c>
      <c r="DO55" s="997">
        <f t="shared" si="64"/>
        <v>0</v>
      </c>
      <c r="DP55" s="997">
        <f t="shared" si="67"/>
        <v>0</v>
      </c>
      <c r="DQ55" s="997">
        <f t="shared" si="65"/>
        <v>0</v>
      </c>
      <c r="DR55" s="997">
        <f>IF(OR(L55=1,L55=3),IFERROR(VLOOKUP($B55,PerutHafkadotMetchilatShanaAvgM!$C$6:$G$100,3,FALSE),0),0)</f>
        <v>0</v>
      </c>
      <c r="DS55" s="997">
        <f>IF(OR(L55=2,L55=4),IFERROR(VLOOKUP($B55,PerutHafkadotMetchilatShanaAvgM!$C$6:$G$100,3,FALSE),0),0)</f>
        <v>0</v>
      </c>
      <c r="DT55" s="997">
        <f>IFERROR(VLOOKUP($B55,PerutHafkadotMetchilatShanaAvgM!$C$6:$G$100,4,FALSE),0)</f>
        <v>0</v>
      </c>
      <c r="DU55" s="997">
        <f>IFERROR(VLOOKUP($B55,Kupa!$D$6:$AA$100,5,FALSE),0)</f>
        <v>0</v>
      </c>
      <c r="DV55" s="997">
        <f>IFERROR(VLOOKUP($B55,Kupa!$D$6:$AA$100,6,FALSE),0)</f>
        <v>0</v>
      </c>
      <c r="DW55" s="997">
        <f>IFERROR(VLOOKUP($B55,KisuiBKerenPensiaDBWithParams!$D$6:$AP$100,9,FALSE),0)</f>
        <v>0</v>
      </c>
      <c r="DX55" s="997">
        <f>IFERROR(VLOOKUP($B55,KisuiBKerenPensiaDBWithParams!$D$6:$AP$100,12,FALSE),0)</f>
        <v>0</v>
      </c>
      <c r="DY55" s="997">
        <f>IFERROR(VLOOKUP($B55,KisuiBKerenPensiaDBWithParams!$D$6:$AP$100,13,FALSE),0)</f>
        <v>0</v>
      </c>
      <c r="DZ55" s="997">
        <f>IFERROR(VLOOKUP($B55,KisuiBKerenPensiaDBWithParams!$D$6:$AP$100,7,FALSE),0)</f>
        <v>0</v>
      </c>
      <c r="EA55" s="997">
        <f>IFERROR(VLOOKUP($B55,KisuiBKerenPensiaDBWithParams!$D$6:$AP$100,17,FALSE),0)</f>
        <v>0</v>
      </c>
      <c r="EB55" s="997">
        <f>IFERROR(VLOOKUP($B55,KisuiBKerenPensiaDBWithParams!$D$6:$AP$100,20,FALSE),0)</f>
        <v>0</v>
      </c>
      <c r="EC55" s="997">
        <f>IFERROR(VLOOKUP($B55,KisuiBKerenPensiaDBWithParams!$D$6:$AP$100,21,FALSE),0)</f>
        <v>0</v>
      </c>
      <c r="ED55" s="997">
        <f t="shared" si="45"/>
        <v>0</v>
      </c>
      <c r="EE55" s="997"/>
      <c r="EF55" s="1020">
        <f>IFERROR(VLOOKUP($B55,KisuiBKerenPensiaDBWithParams!$D$6:$AP$100,21,FALSE),0)</f>
        <v>0</v>
      </c>
      <c r="EG55" s="1020">
        <f>IFERROR(VLOOKUP($B55,KisuiBKerenPensiaDBWithParams!$D$6:$AP$100,21,FALSE),0)</f>
        <v>0</v>
      </c>
      <c r="EH55">
        <f>IF(OR(G55=MyData!$J$51,G55=MyData!$J$52,G55=MyData!$J$53),1,IF(G55=MyData!$J$50,2,0))</f>
        <v>0</v>
      </c>
      <c r="EI55">
        <f>IFERROR(VLOOKUP($B55,CrosstabPerutYitrotDB!$C$6:$N$50,3,FALSE),0)</f>
        <v>0</v>
      </c>
      <c r="EJ55">
        <f>IFERROR(VLOOKUP($B55,CrosstabPerutYitrotDB!$C$6:$N$50,4,FALSE),0)</f>
        <v>0</v>
      </c>
      <c r="EK55">
        <f>IFERROR(VLOOKUP($B55,CrosstabPerutYitrotDB!$C$6:$N$50,5,FALSE),0)</f>
        <v>0</v>
      </c>
      <c r="EL55">
        <f>IFERROR(VLOOKUP($B55,CrosstabPerutYitrotDB!$C$6:$N$50,6,FALSE),0)</f>
        <v>0</v>
      </c>
      <c r="EM55">
        <f>IFERROR(VLOOKUP($B55,CrosstabPerutYitrotDB!$C$6:$N$50,7,FALSE),0)</f>
        <v>0</v>
      </c>
      <c r="EN55">
        <f>IFERROR(VLOOKUP($B55,CrosstabPerutYitrotDB!$C$6:$N$50,8,FALSE),0)</f>
        <v>0</v>
      </c>
      <c r="EO55">
        <f>IFERROR(VLOOKUP($B55,CrosstabPerutYitrotDB!$C$6:$N$50,9,FALSE),0)</f>
        <v>0</v>
      </c>
      <c r="EP55">
        <f>IFERROR(VLOOKUP($B55,CrosstabPerutYitrotDB!$C$6:$N$50,10,FALSE),0)</f>
        <v>0</v>
      </c>
      <c r="EQ55">
        <f>IFERROR(VLOOKUP($B55,CrosstabPerutYitrotDB!$C$6:$N$50,11,FALSE),0)</f>
        <v>0</v>
      </c>
    </row>
    <row r="56" spans="1:147" x14ac:dyDescent="0.2">
      <c r="A56">
        <f t="shared" si="46"/>
        <v>0</v>
      </c>
      <c r="B56" s="20">
        <f>RicusPolice!E53</f>
        <v>0</v>
      </c>
      <c r="C56" s="20">
        <f>RicusPolice!AL53</f>
        <v>0</v>
      </c>
      <c r="D56" s="20">
        <f>RicusPolice!F53</f>
        <v>0</v>
      </c>
      <c r="E56" s="20">
        <f>RicusPolice!R53</f>
        <v>0</v>
      </c>
      <c r="F56" s="20">
        <f>RicusPolice!N53</f>
        <v>0</v>
      </c>
      <c r="G56" s="20">
        <f>IFERROR(VLOOKUP($B56,PerutYitrot!$D$6:$P$100,4,FALSE),0)</f>
        <v>0</v>
      </c>
      <c r="H56" s="20">
        <f t="shared" si="29"/>
        <v>0</v>
      </c>
      <c r="I56" s="20">
        <f>RicusPolice!L53</f>
        <v>0</v>
      </c>
      <c r="J56" s="179">
        <f>IFERROR(VLOOKUP(TRIM(K56),MyData!$J$44:$K$50,2,FALSE),0)</f>
        <v>0</v>
      </c>
      <c r="K56" s="20">
        <f>RicusPolice!M53</f>
        <v>0</v>
      </c>
      <c r="L56" s="20">
        <f>RicusPolice!AM53</f>
        <v>0</v>
      </c>
      <c r="M56" s="20" t="str">
        <f>IF(B56&gt;0,RicusPolice!Y53," ")</f>
        <v xml:space="preserve"> </v>
      </c>
      <c r="N56" s="20" t="str">
        <f t="shared" si="30"/>
        <v/>
      </c>
      <c r="O56" s="20">
        <f>RicusPolice!N53</f>
        <v>0</v>
      </c>
      <c r="P56" s="20">
        <f>IFERROR(VLOOKUP(B56,PerutMasluleiHashkaa!$D$6:$R$100,4,FALSE),0)</f>
        <v>0</v>
      </c>
      <c r="Q56" s="19"/>
      <c r="R56" s="1011" t="str">
        <f>IF(B56&gt;0,RicusPolice!P55," ")</f>
        <v xml:space="preserve"> </v>
      </c>
      <c r="S56" s="20">
        <f>IFERROR(VLOOKUP($B56,'נתונים ידניים'!$B$9:$G$51,6,FALSE),0)</f>
        <v>0</v>
      </c>
      <c r="T56" s="21">
        <f>'נתונים ידניים'!J57</f>
        <v>0</v>
      </c>
      <c r="U56" s="21">
        <f>'נתונים ידניים'!K57</f>
        <v>0</v>
      </c>
      <c r="V56" s="20">
        <f>IFERROR(VLOOKUP($B56,PerutHafrashotLePolisa!$D$6:$N$50,2,FALSE),0)</f>
        <v>0</v>
      </c>
      <c r="W56" s="20">
        <f>IFERROR(VLOOKUP($B56,PerutHafrashotLePolisa!$D$6:$N$50,4,FALSE),0)</f>
        <v>0</v>
      </c>
      <c r="X56" s="20">
        <f>IFERROR(VLOOKUP($B56,PerutHafrashotLePolisa!$D$6:$N$50,3,FALSE),0)</f>
        <v>0</v>
      </c>
      <c r="Y56">
        <f t="shared" si="31"/>
        <v>0</v>
      </c>
      <c r="Z56">
        <f>RicusPolice!AP53</f>
        <v>0</v>
      </c>
      <c r="AA56">
        <f>IFERROR(VLOOKUP(B56,PirteiHaasaka!$D$6:$R$100,5,FALSE),0)</f>
        <v>0</v>
      </c>
      <c r="AC56">
        <f>IFERROR(VLOOKUP(B56,HafkadotMetchilatShanaAverages!$D$6:$E$100,2,FALSE),0)</f>
        <v>0</v>
      </c>
      <c r="AF56">
        <f>'נתונים ידניים'!L57</f>
        <v>0</v>
      </c>
      <c r="AG56">
        <f>IFERROR(VLOOKUP(B56,CrossTabYitraLeTkufa_till_2000!$D$6:$AB$100,6,FALSE),0)+IFERROR(VLOOKUP(B56,CrossTabYitraLeTkufa_after_2000!$D$6:$AB$100,6,FALSE),0)</f>
        <v>0</v>
      </c>
      <c r="AH56">
        <f>IFERROR(VLOOKUP(B56,CrossTabYitraLeTkufa_till_2000!$D$6:$AB$100,16,FALSE),0)</f>
        <v>0</v>
      </c>
      <c r="AI56">
        <f>IFERROR(VLOOKUP(B56,CrossTabYitraLeTkufa_after_2000!$D$6:$AB$100,16,FALSE),0)</f>
        <v>0</v>
      </c>
      <c r="AJ56">
        <f>IFERROR(VLOOKUP(B56,CrossTabYitraLeTkufa_till_2000!$D$6:$AB$100,17,FALSE),0)</f>
        <v>0</v>
      </c>
      <c r="AK56">
        <f>IFERROR(VLOOKUP(B56,CrossTabYitraLeTkufa_after_2000!$D$6:$AB$100,17,FALSE),0)</f>
        <v>0</v>
      </c>
      <c r="AL56" s="5">
        <f t="shared" si="32"/>
        <v>0</v>
      </c>
      <c r="AO56">
        <f>IFERROR(VLOOKUP(B56,PirteiKisuiBeMutzar_procerur!$C$6:$AA$100,2,FALSE),0)</f>
        <v>0</v>
      </c>
      <c r="AQ56">
        <f>IFERROR(VLOOKUP($B56,PirteiKisuiBeMutzar_procerur!$C$6:$AA$100,5,FALSE),0)</f>
        <v>0</v>
      </c>
      <c r="AR56">
        <f>IFERROR(VLOOKUP($B56,PirteiKisuiBeMutzar_procerur!$C$6:$AA$100,3,FALSE),0)</f>
        <v>0</v>
      </c>
      <c r="AS56">
        <f>IFERROR(VLOOKUP($B56,PirteiKisuiBeMutzar_procerur!$C$6:$AA$100,6,FALSE),0)</f>
        <v>0</v>
      </c>
      <c r="AT56">
        <f>IFERROR(VLOOKUP($B56,PirteiKisuiBeMutzar_procerur!$C$6:$AA$100,7,FALSE),0)</f>
        <v>0</v>
      </c>
      <c r="AX56" s="997">
        <f t="shared" si="33"/>
        <v>0</v>
      </c>
      <c r="AY56" s="997">
        <f t="shared" si="34"/>
        <v>0</v>
      </c>
      <c r="AZ56" s="997">
        <f t="shared" si="35"/>
        <v>0</v>
      </c>
      <c r="BA56" s="997">
        <f>IFERROR(FV(S56/100/12,'נתוני יסוד'!$B$16*12,AX56,AG56)*(-1),0)</f>
        <v>0</v>
      </c>
      <c r="BB56" s="997">
        <f>IFERROR(FV(S56/100/12,'נתוני יסוד'!$B$16*12,0,AH56)*(-1),0)</f>
        <v>0</v>
      </c>
      <c r="BC56" s="997">
        <f>IFERROR(FV(S56/100/12,'נתוני יסוד'!$B$16*12,AY56,AI56)*(-1),0)</f>
        <v>0</v>
      </c>
      <c r="BD56" s="997">
        <f>IFERROR(FV(S56/100/12,'נתוני יסוד'!$B$16*12,0,AJ56)*(-1),0)</f>
        <v>0</v>
      </c>
      <c r="BE56" s="997">
        <f>IFERROR(FV(S56/100/12,'נתוני יסוד'!$B$16*12,AZ56,AK56)*(-1),0)</f>
        <v>0</v>
      </c>
      <c r="BF56" s="997">
        <f t="shared" si="36"/>
        <v>0</v>
      </c>
      <c r="BG56" s="997">
        <f>IFERROR(FV(S56/100/12,'נתוני יסוד'!$B$16*12,AF56,AL56)*(-1),0)</f>
        <v>0</v>
      </c>
      <c r="BH56" s="997">
        <f t="shared" si="37"/>
        <v>0</v>
      </c>
      <c r="BI56" s="997">
        <f t="shared" si="38"/>
        <v>0</v>
      </c>
      <c r="BJ56" s="997">
        <f t="shared" si="39"/>
        <v>0</v>
      </c>
      <c r="BK56" s="997">
        <f t="shared" si="40"/>
        <v>0</v>
      </c>
      <c r="BL56" s="997">
        <f t="shared" si="47"/>
        <v>0</v>
      </c>
      <c r="BM56" s="997">
        <f t="shared" si="48"/>
        <v>0</v>
      </c>
      <c r="BN56" s="997">
        <f t="shared" si="49"/>
        <v>0</v>
      </c>
      <c r="BO56" s="997">
        <f t="shared" si="41"/>
        <v>0</v>
      </c>
      <c r="BP56" s="997">
        <f t="shared" si="50"/>
        <v>0</v>
      </c>
      <c r="BS56">
        <f t="shared" si="51"/>
        <v>0</v>
      </c>
      <c r="BT56">
        <f t="shared" si="52"/>
        <v>0</v>
      </c>
      <c r="BU56">
        <f t="shared" si="53"/>
        <v>0</v>
      </c>
      <c r="BV56">
        <f t="shared" si="42"/>
        <v>0</v>
      </c>
      <c r="BW56">
        <f t="shared" si="54"/>
        <v>0</v>
      </c>
      <c r="BY56" s="997">
        <f t="shared" si="55"/>
        <v>0</v>
      </c>
      <c r="BZ56" s="997">
        <f t="shared" si="56"/>
        <v>0</v>
      </c>
      <c r="CA56" s="997">
        <f t="shared" si="57"/>
        <v>0</v>
      </c>
      <c r="CB56" s="997">
        <f t="shared" si="43"/>
        <v>0</v>
      </c>
      <c r="CC56" s="997">
        <f t="shared" si="58"/>
        <v>0</v>
      </c>
      <c r="CD56" s="997">
        <f t="shared" si="13"/>
        <v>0</v>
      </c>
      <c r="CE56" s="997">
        <f t="shared" si="14"/>
        <v>0</v>
      </c>
      <c r="CF56" s="997">
        <f t="shared" si="15"/>
        <v>0</v>
      </c>
      <c r="CG56" s="997">
        <f t="shared" si="16"/>
        <v>0</v>
      </c>
      <c r="CH56" s="997">
        <f t="shared" si="17"/>
        <v>0</v>
      </c>
      <c r="CI56" s="997">
        <f t="shared" si="18"/>
        <v>0</v>
      </c>
      <c r="CJ56" s="997">
        <f t="shared" si="19"/>
        <v>0</v>
      </c>
      <c r="CK56" s="997"/>
      <c r="CL56" s="997"/>
      <c r="CM56" s="997">
        <f t="shared" si="59"/>
        <v>0</v>
      </c>
      <c r="CN56" s="997">
        <f t="shared" si="60"/>
        <v>0</v>
      </c>
      <c r="CO56" s="997">
        <f t="shared" si="61"/>
        <v>0</v>
      </c>
      <c r="CP56" s="997">
        <f t="shared" si="44"/>
        <v>0</v>
      </c>
      <c r="CQ56" s="997">
        <f t="shared" si="62"/>
        <v>0</v>
      </c>
      <c r="CR56" s="997">
        <f>IFERROR(VLOOKUP($B56,SchumeiBituahYesodi!$C$6:$AA$100,8,FALSE),0)</f>
        <v>0</v>
      </c>
      <c r="CS56" s="997">
        <f>IFERROR(VLOOKUP($B56,PirteiKisuiBeMutzar_procerur!$C$6:$AA$100,2,FALSE),0)</f>
        <v>0</v>
      </c>
      <c r="CT56" s="997">
        <f>IFERROR(VLOOKUP($B56,PirteiKisuiBeMutzar_procerur!$C$6:$AA$100,3,FALSE),0)</f>
        <v>0</v>
      </c>
      <c r="CU56" s="997">
        <f>IFERROR(VLOOKUP($B56,PirteiKisuiBeMutzar_procerur!$C$6:$AA$100,4,FALSE),0)</f>
        <v>0</v>
      </c>
      <c r="CV56" s="997">
        <f>IFERROR(VLOOKUP($B56,PirteiKisuiBeMutzar_procerur!$C$6:$AA$100,5,FALSE),0)</f>
        <v>0</v>
      </c>
      <c r="CW56" s="997">
        <f>IFERROR(VLOOKUP($B56,PirteiKisuiBeMutzar_procerur!$C$6:$AA$100,6,FALSE),0)</f>
        <v>0</v>
      </c>
      <c r="CX56" s="997">
        <f>IFERROR(VLOOKUP($B56,PirteiKisuiBeMutzar_procerur!$C$6:$AA$100,7,FALSE),0)</f>
        <v>0</v>
      </c>
      <c r="CY56" s="997">
        <f>IFERROR(VLOOKUP($B56,PirteiKisuiBeMutzar_procerur!$C$6:$AA$100,8,FALSE),0)</f>
        <v>0</v>
      </c>
      <c r="CZ56" s="997">
        <f>IFERROR(VLOOKUP($B56,PirteiKisuiBeMutzar_procerur!$C$6:$AA$100,9,FALSE),0)</f>
        <v>0</v>
      </c>
      <c r="DA56" s="997">
        <f>IFERROR(VLOOKUP($B56,PirteiKisuiBeMutzar_procerur!$C$6:$AA$100,10,FALSE),0)</f>
        <v>0</v>
      </c>
      <c r="DB56" s="997">
        <f>IFERROR(VLOOKUP($B56,PirteiKisuiBeMutzar_procerur!$C$6:$AA$100,11,FALSE),0)</f>
        <v>0</v>
      </c>
      <c r="DC56" s="997">
        <f>IFERROR(VLOOKUP($B56,PirteiKisuiBeMutzarPrmia!$C$6:$Z$100,2,FALSE),0)</f>
        <v>0</v>
      </c>
      <c r="DD56" s="997">
        <f>IFERROR(VLOOKUP($B56,PirteiKisuiBeMutzarPrmia!$C$6:$Z$100,3,FALSE),0)</f>
        <v>0</v>
      </c>
      <c r="DE56" s="997">
        <f>IFERROR(VLOOKUP($B56,PirteiKisuiBeMutzarPrmia!$C$6:$Z$100,4,FALSE),0)</f>
        <v>0</v>
      </c>
      <c r="DF56" s="997">
        <f>IFERROR(VLOOKUP($B56,PirteiKisuiBeMutzarPrmia!$C$6:$Z$100,5,FALSE),0)</f>
        <v>0</v>
      </c>
      <c r="DG56" s="997">
        <f>IFERROR(VLOOKUP($B56,PirteiKisuiBeMutzarPrmia!$C$6:$Z$100,6,FALSE),0)</f>
        <v>0</v>
      </c>
      <c r="DH56" s="997">
        <f>IFERROR(VLOOKUP($B56,PirteiKisuiBeMutzarPrmia!$C$6:$Z$100,7,FALSE),0)</f>
        <v>0</v>
      </c>
      <c r="DI56" s="997">
        <f>IFERROR(VLOOKUP($B56,PirteiKisuiBeMutzarPrmia!$C$6:$Z$100,8,FALSE),0)</f>
        <v>0</v>
      </c>
      <c r="DJ56" s="997">
        <f>IFERROR(VLOOKUP($B56,PirteiKisuiBeMutzarPrmia!$C$6:$Z$100,9,FALSE),0)</f>
        <v>0</v>
      </c>
      <c r="DK56" s="997">
        <f>IFERROR(VLOOKUP($B56,PirteiKisuiBeMutzarPrmia!$C$6:$Z$100,10,FALSE),0)</f>
        <v>0</v>
      </c>
      <c r="DL56" s="997">
        <f>IFERROR(VLOOKUP($B56,PirteiKisuiBeMutzarPrmia!$C$6:$Z$100,11,FALSE),0)</f>
        <v>0</v>
      </c>
      <c r="DM56" s="997">
        <f t="shared" si="66"/>
        <v>0</v>
      </c>
      <c r="DN56" s="997">
        <f t="shared" si="63"/>
        <v>0</v>
      </c>
      <c r="DO56" s="997">
        <f t="shared" si="64"/>
        <v>0</v>
      </c>
      <c r="DP56" s="997">
        <f t="shared" si="67"/>
        <v>0</v>
      </c>
      <c r="DQ56" s="997">
        <f t="shared" si="65"/>
        <v>0</v>
      </c>
      <c r="DR56" s="997">
        <f>IF(OR(L56=1,L56=3),IFERROR(VLOOKUP($B56,PerutHafkadotMetchilatShanaAvgM!$C$6:$G$100,3,FALSE),0),0)</f>
        <v>0</v>
      </c>
      <c r="DS56" s="997">
        <f>IF(OR(L56=2,L56=4),IFERROR(VLOOKUP($B56,PerutHafkadotMetchilatShanaAvgM!$C$6:$G$100,3,FALSE),0),0)</f>
        <v>0</v>
      </c>
      <c r="DT56" s="997">
        <f>IFERROR(VLOOKUP($B56,PerutHafkadotMetchilatShanaAvgM!$C$6:$G$100,4,FALSE),0)</f>
        <v>0</v>
      </c>
      <c r="DU56" s="997">
        <f>IFERROR(VLOOKUP($B56,Kupa!$D$6:$AA$100,5,FALSE),0)</f>
        <v>0</v>
      </c>
      <c r="DV56" s="997">
        <f>IFERROR(VLOOKUP($B56,Kupa!$D$6:$AA$100,6,FALSE),0)</f>
        <v>0</v>
      </c>
      <c r="DW56" s="997">
        <f>IFERROR(VLOOKUP($B56,KisuiBKerenPensiaDBWithParams!$D$6:$AP$100,9,FALSE),0)</f>
        <v>0</v>
      </c>
      <c r="DX56" s="997">
        <f>IFERROR(VLOOKUP($B56,KisuiBKerenPensiaDBWithParams!$D$6:$AP$100,12,FALSE),0)</f>
        <v>0</v>
      </c>
      <c r="DY56" s="997">
        <f>IFERROR(VLOOKUP($B56,KisuiBKerenPensiaDBWithParams!$D$6:$AP$100,13,FALSE),0)</f>
        <v>0</v>
      </c>
      <c r="DZ56" s="997">
        <f>IFERROR(VLOOKUP($B56,KisuiBKerenPensiaDBWithParams!$D$6:$AP$100,7,FALSE),0)</f>
        <v>0</v>
      </c>
      <c r="EA56" s="997">
        <f>IFERROR(VLOOKUP($B56,KisuiBKerenPensiaDBWithParams!$D$6:$AP$100,17,FALSE),0)</f>
        <v>0</v>
      </c>
      <c r="EB56" s="997">
        <f>IFERROR(VLOOKUP($B56,KisuiBKerenPensiaDBWithParams!$D$6:$AP$100,20,FALSE),0)</f>
        <v>0</v>
      </c>
      <c r="EC56" s="997">
        <f>IFERROR(VLOOKUP($B56,KisuiBKerenPensiaDBWithParams!$D$6:$AP$100,21,FALSE),0)</f>
        <v>0</v>
      </c>
      <c r="ED56" s="997">
        <f t="shared" si="45"/>
        <v>0</v>
      </c>
      <c r="EE56" s="997"/>
      <c r="EF56" s="1020">
        <f>IFERROR(VLOOKUP($B56,KisuiBKerenPensiaDBWithParams!$D$6:$AP$100,21,FALSE),0)</f>
        <v>0</v>
      </c>
      <c r="EG56" s="1020">
        <f>IFERROR(VLOOKUP($B56,KisuiBKerenPensiaDBWithParams!$D$6:$AP$100,21,FALSE),0)</f>
        <v>0</v>
      </c>
      <c r="EH56">
        <f>IF(OR(G56=MyData!$J$51,G56=MyData!$J$52,G56=MyData!$J$53),1,IF(G56=MyData!$J$50,2,0))</f>
        <v>0</v>
      </c>
      <c r="EI56">
        <f>IFERROR(VLOOKUP($B56,CrosstabPerutYitrotDB!$C$6:$N$50,3,FALSE),0)</f>
        <v>0</v>
      </c>
      <c r="EJ56">
        <f>IFERROR(VLOOKUP($B56,CrosstabPerutYitrotDB!$C$6:$N$50,4,FALSE),0)</f>
        <v>0</v>
      </c>
      <c r="EK56">
        <f>IFERROR(VLOOKUP($B56,CrosstabPerutYitrotDB!$C$6:$N$50,5,FALSE),0)</f>
        <v>0</v>
      </c>
      <c r="EL56">
        <f>IFERROR(VLOOKUP($B56,CrosstabPerutYitrotDB!$C$6:$N$50,6,FALSE),0)</f>
        <v>0</v>
      </c>
      <c r="EM56">
        <f>IFERROR(VLOOKUP($B56,CrosstabPerutYitrotDB!$C$6:$N$50,7,FALSE),0)</f>
        <v>0</v>
      </c>
      <c r="EN56">
        <f>IFERROR(VLOOKUP($B56,CrosstabPerutYitrotDB!$C$6:$N$50,8,FALSE),0)</f>
        <v>0</v>
      </c>
      <c r="EO56">
        <f>IFERROR(VLOOKUP($B56,CrosstabPerutYitrotDB!$C$6:$N$50,9,FALSE),0)</f>
        <v>0</v>
      </c>
      <c r="EP56">
        <f>IFERROR(VLOOKUP($B56,CrosstabPerutYitrotDB!$C$6:$N$50,10,FALSE),0)</f>
        <v>0</v>
      </c>
      <c r="EQ56">
        <f>IFERROR(VLOOKUP($B56,CrosstabPerutYitrotDB!$C$6:$N$50,11,FALSE),0)</f>
        <v>0</v>
      </c>
    </row>
    <row r="57" spans="1:147" x14ac:dyDescent="0.2">
      <c r="A57">
        <f t="shared" si="46"/>
        <v>0</v>
      </c>
      <c r="B57" s="20">
        <f>RicusPolice!E54</f>
        <v>0</v>
      </c>
      <c r="C57" s="20">
        <f>RicusPolice!AL54</f>
        <v>0</v>
      </c>
      <c r="D57" s="20">
        <f>RicusPolice!F54</f>
        <v>0</v>
      </c>
      <c r="E57" s="20">
        <f>RicusPolice!R54</f>
        <v>0</v>
      </c>
      <c r="F57" s="20">
        <f>RicusPolice!N54</f>
        <v>0</v>
      </c>
      <c r="G57" s="20">
        <f>IFERROR(VLOOKUP($B57,PerutYitrot!$D$6:$P$100,4,FALSE),0)</f>
        <v>0</v>
      </c>
      <c r="H57" s="20">
        <f t="shared" si="29"/>
        <v>0</v>
      </c>
      <c r="I57" s="20">
        <f>RicusPolice!L54</f>
        <v>0</v>
      </c>
      <c r="J57" s="179">
        <f>IFERROR(VLOOKUP(TRIM(K57),MyData!$J$44:$K$50,2,FALSE),0)</f>
        <v>0</v>
      </c>
      <c r="K57" s="20">
        <f>RicusPolice!M54</f>
        <v>0</v>
      </c>
      <c r="L57" s="20">
        <f>RicusPolice!AM54</f>
        <v>0</v>
      </c>
      <c r="M57" s="20" t="str">
        <f>IF(B57&gt;0,RicusPolice!Y54," ")</f>
        <v xml:space="preserve"> </v>
      </c>
      <c r="N57" s="20" t="str">
        <f t="shared" si="30"/>
        <v/>
      </c>
      <c r="O57" s="20">
        <f>RicusPolice!N54</f>
        <v>0</v>
      </c>
      <c r="P57" s="20">
        <f>IFERROR(VLOOKUP(B57,PerutMasluleiHashkaa!$D$6:$R$100,4,FALSE),0)</f>
        <v>0</v>
      </c>
      <c r="Q57" s="19"/>
      <c r="R57" s="1011" t="str">
        <f>IF(B57&gt;0,RicusPolice!P56," ")</f>
        <v xml:space="preserve"> </v>
      </c>
      <c r="S57" s="20">
        <f>IFERROR(VLOOKUP($B57,'נתונים ידניים'!$B$9:$G$51,6,FALSE),0)</f>
        <v>0</v>
      </c>
      <c r="T57" s="21">
        <f>'נתונים ידניים'!J58</f>
        <v>0</v>
      </c>
      <c r="U57" s="21">
        <f>'נתונים ידניים'!K58</f>
        <v>0</v>
      </c>
      <c r="V57" s="20">
        <f>IFERROR(VLOOKUP($B57,PerutHafrashotLePolisa!$D$6:$N$50,2,FALSE),0)</f>
        <v>0</v>
      </c>
      <c r="W57" s="20">
        <f>IFERROR(VLOOKUP($B57,PerutHafrashotLePolisa!$D$6:$N$50,4,FALSE),0)</f>
        <v>0</v>
      </c>
      <c r="X57" s="20">
        <f>IFERROR(VLOOKUP($B57,PerutHafrashotLePolisa!$D$6:$N$50,3,FALSE),0)</f>
        <v>0</v>
      </c>
      <c r="Y57">
        <f t="shared" si="31"/>
        <v>0</v>
      </c>
      <c r="Z57">
        <f>RicusPolice!AP54</f>
        <v>0</v>
      </c>
      <c r="AA57">
        <f>IFERROR(VLOOKUP(B57,PirteiHaasaka!$D$6:$R$100,5,FALSE),0)</f>
        <v>0</v>
      </c>
      <c r="AC57">
        <f>IFERROR(VLOOKUP(B57,HafkadotMetchilatShanaAverages!$D$6:$E$100,2,FALSE),0)</f>
        <v>0</v>
      </c>
      <c r="AF57">
        <f>'נתונים ידניים'!L58</f>
        <v>0</v>
      </c>
      <c r="AG57">
        <f>IFERROR(VLOOKUP(B57,CrossTabYitraLeTkufa_till_2000!$D$6:$AB$100,6,FALSE),0)+IFERROR(VLOOKUP(B57,CrossTabYitraLeTkufa_after_2000!$D$6:$AB$100,6,FALSE),0)</f>
        <v>0</v>
      </c>
      <c r="AH57">
        <f>IFERROR(VLOOKUP(B57,CrossTabYitraLeTkufa_till_2000!$D$6:$AB$100,16,FALSE),0)</f>
        <v>0</v>
      </c>
      <c r="AI57">
        <f>IFERROR(VLOOKUP(B57,CrossTabYitraLeTkufa_after_2000!$D$6:$AB$100,16,FALSE),0)</f>
        <v>0</v>
      </c>
      <c r="AJ57">
        <f>IFERROR(VLOOKUP(B57,CrossTabYitraLeTkufa_till_2000!$D$6:$AB$100,17,FALSE),0)</f>
        <v>0</v>
      </c>
      <c r="AK57">
        <f>IFERROR(VLOOKUP(B57,CrossTabYitraLeTkufa_after_2000!$D$6:$AB$100,17,FALSE),0)</f>
        <v>0</v>
      </c>
      <c r="AL57" s="5">
        <f t="shared" si="32"/>
        <v>0</v>
      </c>
      <c r="AO57">
        <f>IFERROR(VLOOKUP(B57,PirteiKisuiBeMutzar_procerur!$C$6:$AA$100,2,FALSE),0)</f>
        <v>0</v>
      </c>
      <c r="AQ57">
        <f>IFERROR(VLOOKUP($B57,PirteiKisuiBeMutzar_procerur!$C$6:$AA$100,5,FALSE),0)</f>
        <v>0</v>
      </c>
      <c r="AR57">
        <f>IFERROR(VLOOKUP($B57,PirteiKisuiBeMutzar_procerur!$C$6:$AA$100,3,FALSE),0)</f>
        <v>0</v>
      </c>
      <c r="AS57">
        <f>IFERROR(VLOOKUP($B57,PirteiKisuiBeMutzar_procerur!$C$6:$AA$100,6,FALSE),0)</f>
        <v>0</v>
      </c>
      <c r="AT57">
        <f>IFERROR(VLOOKUP($B57,PirteiKisuiBeMutzar_procerur!$C$6:$AA$100,7,FALSE),0)</f>
        <v>0</v>
      </c>
      <c r="AX57" s="997">
        <f t="shared" si="33"/>
        <v>0</v>
      </c>
      <c r="AY57" s="997">
        <f t="shared" si="34"/>
        <v>0</v>
      </c>
      <c r="AZ57" s="997">
        <f t="shared" si="35"/>
        <v>0</v>
      </c>
      <c r="BA57" s="997">
        <f>IFERROR(FV(S57/100/12,'נתוני יסוד'!$B$16*12,AX57,AG57)*(-1),0)</f>
        <v>0</v>
      </c>
      <c r="BB57" s="997">
        <f>IFERROR(FV(S57/100/12,'נתוני יסוד'!$B$16*12,0,AH57)*(-1),0)</f>
        <v>0</v>
      </c>
      <c r="BC57" s="997">
        <f>IFERROR(FV(S57/100/12,'נתוני יסוד'!$B$16*12,AY57,AI57)*(-1),0)</f>
        <v>0</v>
      </c>
      <c r="BD57" s="997">
        <f>IFERROR(FV(S57/100/12,'נתוני יסוד'!$B$16*12,0,AJ57)*(-1),0)</f>
        <v>0</v>
      </c>
      <c r="BE57" s="997">
        <f>IFERROR(FV(S57/100/12,'נתוני יסוד'!$B$16*12,AZ57,AK57)*(-1),0)</f>
        <v>0</v>
      </c>
      <c r="BF57" s="997">
        <f t="shared" si="36"/>
        <v>0</v>
      </c>
      <c r="BG57" s="997">
        <f>IFERROR(FV(S57/100/12,'נתוני יסוד'!$B$16*12,AF57,AL57)*(-1),0)</f>
        <v>0</v>
      </c>
      <c r="BH57" s="997">
        <f t="shared" si="37"/>
        <v>0</v>
      </c>
      <c r="BI57" s="997">
        <f t="shared" si="38"/>
        <v>0</v>
      </c>
      <c r="BJ57" s="997">
        <f t="shared" si="39"/>
        <v>0</v>
      </c>
      <c r="BK57" s="997">
        <f t="shared" si="40"/>
        <v>0</v>
      </c>
      <c r="BL57" s="997">
        <f t="shared" si="47"/>
        <v>0</v>
      </c>
      <c r="BM57" s="997">
        <f t="shared" si="48"/>
        <v>0</v>
      </c>
      <c r="BN57" s="997">
        <f t="shared" si="49"/>
        <v>0</v>
      </c>
      <c r="BO57" s="997">
        <f t="shared" si="41"/>
        <v>0</v>
      </c>
      <c r="BP57" s="997">
        <f t="shared" si="50"/>
        <v>0</v>
      </c>
      <c r="BS57">
        <f t="shared" si="51"/>
        <v>0</v>
      </c>
      <c r="BT57">
        <f t="shared" si="52"/>
        <v>0</v>
      </c>
      <c r="BU57">
        <f t="shared" si="53"/>
        <v>0</v>
      </c>
      <c r="BV57">
        <f t="shared" si="42"/>
        <v>0</v>
      </c>
      <c r="BW57">
        <f t="shared" si="54"/>
        <v>0</v>
      </c>
      <c r="BY57" s="997">
        <f t="shared" si="55"/>
        <v>0</v>
      </c>
      <c r="BZ57" s="997">
        <f t="shared" si="56"/>
        <v>0</v>
      </c>
      <c r="CA57" s="997">
        <f t="shared" si="57"/>
        <v>0</v>
      </c>
      <c r="CB57" s="997">
        <f t="shared" si="43"/>
        <v>0</v>
      </c>
      <c r="CC57" s="997">
        <f t="shared" si="58"/>
        <v>0</v>
      </c>
      <c r="CD57" s="997">
        <f t="shared" si="13"/>
        <v>0</v>
      </c>
      <c r="CE57" s="997">
        <f t="shared" si="14"/>
        <v>0</v>
      </c>
      <c r="CF57" s="997">
        <f t="shared" si="15"/>
        <v>0</v>
      </c>
      <c r="CG57" s="997">
        <f t="shared" si="16"/>
        <v>0</v>
      </c>
      <c r="CH57" s="997">
        <f t="shared" si="17"/>
        <v>0</v>
      </c>
      <c r="CI57" s="997">
        <f t="shared" si="18"/>
        <v>0</v>
      </c>
      <c r="CJ57" s="997">
        <f t="shared" si="19"/>
        <v>0</v>
      </c>
      <c r="CK57" s="997"/>
      <c r="CL57" s="997"/>
      <c r="CM57" s="997">
        <f t="shared" si="59"/>
        <v>0</v>
      </c>
      <c r="CN57" s="997">
        <f t="shared" si="60"/>
        <v>0</v>
      </c>
      <c r="CO57" s="997">
        <f t="shared" si="61"/>
        <v>0</v>
      </c>
      <c r="CP57" s="997">
        <f t="shared" si="44"/>
        <v>0</v>
      </c>
      <c r="CQ57" s="997">
        <f t="shared" si="62"/>
        <v>0</v>
      </c>
      <c r="CR57" s="997">
        <f>IFERROR(VLOOKUP($B57,SchumeiBituahYesodi!$C$6:$AA$100,8,FALSE),0)</f>
        <v>0</v>
      </c>
      <c r="CS57" s="997">
        <f>IFERROR(VLOOKUP($B57,PirteiKisuiBeMutzar_procerur!$C$6:$AA$100,2,FALSE),0)</f>
        <v>0</v>
      </c>
      <c r="CT57" s="997">
        <f>IFERROR(VLOOKUP($B57,PirteiKisuiBeMutzar_procerur!$C$6:$AA$100,3,FALSE),0)</f>
        <v>0</v>
      </c>
      <c r="CU57" s="997">
        <f>IFERROR(VLOOKUP($B57,PirteiKisuiBeMutzar_procerur!$C$6:$AA$100,4,FALSE),0)</f>
        <v>0</v>
      </c>
      <c r="CV57" s="997">
        <f>IFERROR(VLOOKUP($B57,PirteiKisuiBeMutzar_procerur!$C$6:$AA$100,5,FALSE),0)</f>
        <v>0</v>
      </c>
      <c r="CW57" s="997">
        <f>IFERROR(VLOOKUP($B57,PirteiKisuiBeMutzar_procerur!$C$6:$AA$100,6,FALSE),0)</f>
        <v>0</v>
      </c>
      <c r="CX57" s="997">
        <f>IFERROR(VLOOKUP($B57,PirteiKisuiBeMutzar_procerur!$C$6:$AA$100,7,FALSE),0)</f>
        <v>0</v>
      </c>
      <c r="CY57" s="997">
        <f>IFERROR(VLOOKUP($B57,PirteiKisuiBeMutzar_procerur!$C$6:$AA$100,8,FALSE),0)</f>
        <v>0</v>
      </c>
      <c r="CZ57" s="997">
        <f>IFERROR(VLOOKUP($B57,PirteiKisuiBeMutzar_procerur!$C$6:$AA$100,9,FALSE),0)</f>
        <v>0</v>
      </c>
      <c r="DA57" s="997">
        <f>IFERROR(VLOOKUP($B57,PirteiKisuiBeMutzar_procerur!$C$6:$AA$100,10,FALSE),0)</f>
        <v>0</v>
      </c>
      <c r="DB57" s="997">
        <f>IFERROR(VLOOKUP($B57,PirteiKisuiBeMutzar_procerur!$C$6:$AA$100,11,FALSE),0)</f>
        <v>0</v>
      </c>
      <c r="DC57" s="997">
        <f>IFERROR(VLOOKUP($B57,PirteiKisuiBeMutzarPrmia!$C$6:$Z$100,2,FALSE),0)</f>
        <v>0</v>
      </c>
      <c r="DD57" s="997">
        <f>IFERROR(VLOOKUP($B57,PirteiKisuiBeMutzarPrmia!$C$6:$Z$100,3,FALSE),0)</f>
        <v>0</v>
      </c>
      <c r="DE57" s="997">
        <f>IFERROR(VLOOKUP($B57,PirteiKisuiBeMutzarPrmia!$C$6:$Z$100,4,FALSE),0)</f>
        <v>0</v>
      </c>
      <c r="DF57" s="997">
        <f>IFERROR(VLOOKUP($B57,PirteiKisuiBeMutzarPrmia!$C$6:$Z$100,5,FALSE),0)</f>
        <v>0</v>
      </c>
      <c r="DG57" s="997">
        <f>IFERROR(VLOOKUP($B57,PirteiKisuiBeMutzarPrmia!$C$6:$Z$100,6,FALSE),0)</f>
        <v>0</v>
      </c>
      <c r="DH57" s="997">
        <f>IFERROR(VLOOKUP($B57,PirteiKisuiBeMutzarPrmia!$C$6:$Z$100,7,FALSE),0)</f>
        <v>0</v>
      </c>
      <c r="DI57" s="997">
        <f>IFERROR(VLOOKUP($B57,PirteiKisuiBeMutzarPrmia!$C$6:$Z$100,8,FALSE),0)</f>
        <v>0</v>
      </c>
      <c r="DJ57" s="997">
        <f>IFERROR(VLOOKUP($B57,PirteiKisuiBeMutzarPrmia!$C$6:$Z$100,9,FALSE),0)</f>
        <v>0</v>
      </c>
      <c r="DK57" s="997">
        <f>IFERROR(VLOOKUP($B57,PirteiKisuiBeMutzarPrmia!$C$6:$Z$100,10,FALSE),0)</f>
        <v>0</v>
      </c>
      <c r="DL57" s="997">
        <f>IFERROR(VLOOKUP($B57,PirteiKisuiBeMutzarPrmia!$C$6:$Z$100,11,FALSE),0)</f>
        <v>0</v>
      </c>
      <c r="DM57" s="997">
        <f t="shared" si="66"/>
        <v>0</v>
      </c>
      <c r="DN57" s="997">
        <f t="shared" si="63"/>
        <v>0</v>
      </c>
      <c r="DO57" s="997">
        <f t="shared" si="64"/>
        <v>0</v>
      </c>
      <c r="DP57" s="997">
        <f t="shared" si="67"/>
        <v>0</v>
      </c>
      <c r="DQ57" s="997">
        <f t="shared" si="65"/>
        <v>0</v>
      </c>
      <c r="DR57" s="997">
        <f>IF(OR(L57=1,L57=3),IFERROR(VLOOKUP($B57,PerutHafkadotMetchilatShanaAvgM!$C$6:$G$100,3,FALSE),0),0)</f>
        <v>0</v>
      </c>
      <c r="DS57" s="997">
        <f>IF(OR(L57=2,L57=4),IFERROR(VLOOKUP($B57,PerutHafkadotMetchilatShanaAvgM!$C$6:$G$100,3,FALSE),0),0)</f>
        <v>0</v>
      </c>
      <c r="DT57" s="997">
        <f>IFERROR(VLOOKUP($B57,PerutHafkadotMetchilatShanaAvgM!$C$6:$G$100,4,FALSE),0)</f>
        <v>0</v>
      </c>
      <c r="DU57" s="997">
        <f>IFERROR(VLOOKUP($B57,Kupa!$D$6:$AA$100,5,FALSE),0)</f>
        <v>0</v>
      </c>
      <c r="DV57" s="997">
        <f>IFERROR(VLOOKUP($B57,Kupa!$D$6:$AA$100,6,FALSE),0)</f>
        <v>0</v>
      </c>
      <c r="DW57" s="997">
        <f>IFERROR(VLOOKUP($B57,KisuiBKerenPensiaDBWithParams!$D$6:$AP$100,9,FALSE),0)</f>
        <v>0</v>
      </c>
      <c r="DX57" s="997">
        <f>IFERROR(VLOOKUP($B57,KisuiBKerenPensiaDBWithParams!$D$6:$AP$100,12,FALSE),0)</f>
        <v>0</v>
      </c>
      <c r="DY57" s="997">
        <f>IFERROR(VLOOKUP($B57,KisuiBKerenPensiaDBWithParams!$D$6:$AP$100,13,FALSE),0)</f>
        <v>0</v>
      </c>
      <c r="DZ57" s="997">
        <f>IFERROR(VLOOKUP($B57,KisuiBKerenPensiaDBWithParams!$D$6:$AP$100,7,FALSE),0)</f>
        <v>0</v>
      </c>
      <c r="EA57" s="997">
        <f>IFERROR(VLOOKUP($B57,KisuiBKerenPensiaDBWithParams!$D$6:$AP$100,17,FALSE),0)</f>
        <v>0</v>
      </c>
      <c r="EB57" s="997">
        <f>IFERROR(VLOOKUP($B57,KisuiBKerenPensiaDBWithParams!$D$6:$AP$100,20,FALSE),0)</f>
        <v>0</v>
      </c>
      <c r="EC57" s="997">
        <f>IFERROR(VLOOKUP($B57,KisuiBKerenPensiaDBWithParams!$D$6:$AP$100,21,FALSE),0)</f>
        <v>0</v>
      </c>
      <c r="ED57" s="997">
        <f t="shared" si="45"/>
        <v>0</v>
      </c>
      <c r="EE57" s="997"/>
      <c r="EF57" s="1020">
        <f>IFERROR(VLOOKUP($B57,KisuiBKerenPensiaDBWithParams!$D$6:$AP$100,21,FALSE),0)</f>
        <v>0</v>
      </c>
      <c r="EG57" s="1020">
        <f>IFERROR(VLOOKUP($B57,KisuiBKerenPensiaDBWithParams!$D$6:$AP$100,21,FALSE),0)</f>
        <v>0</v>
      </c>
      <c r="EH57">
        <f>IF(OR(G57=MyData!$J$51,G57=MyData!$J$52,G57=MyData!$J$53),1,IF(G57=MyData!$J$50,2,0))</f>
        <v>0</v>
      </c>
      <c r="EI57">
        <f>IFERROR(VLOOKUP($B57,CrosstabPerutYitrotDB!$C$6:$N$50,3,FALSE),0)</f>
        <v>0</v>
      </c>
      <c r="EJ57">
        <f>IFERROR(VLOOKUP($B57,CrosstabPerutYitrotDB!$C$6:$N$50,4,FALSE),0)</f>
        <v>0</v>
      </c>
      <c r="EK57">
        <f>IFERROR(VLOOKUP($B57,CrosstabPerutYitrotDB!$C$6:$N$50,5,FALSE),0)</f>
        <v>0</v>
      </c>
      <c r="EL57">
        <f>IFERROR(VLOOKUP($B57,CrosstabPerutYitrotDB!$C$6:$N$50,6,FALSE),0)</f>
        <v>0</v>
      </c>
      <c r="EM57">
        <f>IFERROR(VLOOKUP($B57,CrosstabPerutYitrotDB!$C$6:$N$50,7,FALSE),0)</f>
        <v>0</v>
      </c>
      <c r="EN57">
        <f>IFERROR(VLOOKUP($B57,CrosstabPerutYitrotDB!$C$6:$N$50,8,FALSE),0)</f>
        <v>0</v>
      </c>
      <c r="EO57">
        <f>IFERROR(VLOOKUP($B57,CrosstabPerutYitrotDB!$C$6:$N$50,9,FALSE),0)</f>
        <v>0</v>
      </c>
      <c r="EP57">
        <f>IFERROR(VLOOKUP($B57,CrosstabPerutYitrotDB!$C$6:$N$50,10,FALSE),0)</f>
        <v>0</v>
      </c>
      <c r="EQ57">
        <f>IFERROR(VLOOKUP($B57,CrosstabPerutYitrotDB!$C$6:$N$50,11,FALSE),0)</f>
        <v>0</v>
      </c>
    </row>
    <row r="58" spans="1:147" x14ac:dyDescent="0.2">
      <c r="A58">
        <f t="shared" si="46"/>
        <v>0</v>
      </c>
      <c r="B58" s="20">
        <f>RicusPolice!E55</f>
        <v>0</v>
      </c>
      <c r="C58" s="20">
        <f>RicusPolice!AL55</f>
        <v>0</v>
      </c>
      <c r="D58" s="20">
        <f>RicusPolice!F55</f>
        <v>0</v>
      </c>
      <c r="E58" s="20">
        <f>RicusPolice!R55</f>
        <v>0</v>
      </c>
      <c r="F58" s="20">
        <f>RicusPolice!N55</f>
        <v>0</v>
      </c>
      <c r="G58" s="20">
        <f>IFERROR(VLOOKUP($B58,PerutYitrot!$D$6:$P$100,4,FALSE),0)</f>
        <v>0</v>
      </c>
      <c r="H58" s="20">
        <f t="shared" si="29"/>
        <v>0</v>
      </c>
      <c r="I58" s="20">
        <f>RicusPolice!L55</f>
        <v>0</v>
      </c>
      <c r="J58" s="179">
        <f>IFERROR(VLOOKUP(TRIM(K58),MyData!$J$44:$K$50,2,FALSE),0)</f>
        <v>0</v>
      </c>
      <c r="K58" s="20">
        <f>RicusPolice!M55</f>
        <v>0</v>
      </c>
      <c r="L58" s="20">
        <f>RicusPolice!AM55</f>
        <v>0</v>
      </c>
      <c r="M58" s="20" t="str">
        <f>IF(B58&gt;0,RicusPolice!Y55," ")</f>
        <v xml:space="preserve"> </v>
      </c>
      <c r="N58" s="20" t="str">
        <f t="shared" si="30"/>
        <v/>
      </c>
      <c r="O58" s="20">
        <f>RicusPolice!N55</f>
        <v>0</v>
      </c>
      <c r="P58" s="20">
        <f>IFERROR(VLOOKUP(B58,PerutMasluleiHashkaa!$D$6:$R$100,4,FALSE),0)</f>
        <v>0</v>
      </c>
      <c r="Q58" s="19"/>
      <c r="R58" s="1011" t="str">
        <f>IF(B58&gt;0,RicusPolice!P57," ")</f>
        <v xml:space="preserve"> </v>
      </c>
      <c r="S58" s="20">
        <f>IFERROR(VLOOKUP($B58,'נתונים ידניים'!$B$9:$G$51,6,FALSE),0)</f>
        <v>0</v>
      </c>
      <c r="T58" s="21">
        <f>'נתונים ידניים'!J59</f>
        <v>0</v>
      </c>
      <c r="U58" s="21">
        <f>'נתונים ידניים'!K59</f>
        <v>0</v>
      </c>
      <c r="V58" s="20">
        <f>IFERROR(VLOOKUP($B58,PerutHafrashotLePolisa!$D$6:$N$50,2,FALSE),0)</f>
        <v>0</v>
      </c>
      <c r="W58" s="20">
        <f>IFERROR(VLOOKUP($B58,PerutHafrashotLePolisa!$D$6:$N$50,4,FALSE),0)</f>
        <v>0</v>
      </c>
      <c r="X58" s="20">
        <f>IFERROR(VLOOKUP($B58,PerutHafrashotLePolisa!$D$6:$N$50,3,FALSE),0)</f>
        <v>0</v>
      </c>
      <c r="Y58">
        <f t="shared" si="31"/>
        <v>0</v>
      </c>
      <c r="Z58">
        <f>RicusPolice!AP55</f>
        <v>0</v>
      </c>
      <c r="AA58">
        <f>IFERROR(VLOOKUP(B58,PirteiHaasaka!$D$6:$R$100,5,FALSE),0)</f>
        <v>0</v>
      </c>
      <c r="AC58">
        <f>IFERROR(VLOOKUP(B58,HafkadotMetchilatShanaAverages!$D$6:$E$100,2,FALSE),0)</f>
        <v>0</v>
      </c>
      <c r="AF58">
        <f>'נתונים ידניים'!L59</f>
        <v>0</v>
      </c>
      <c r="AG58">
        <f>IFERROR(VLOOKUP(B58,CrossTabYitraLeTkufa_till_2000!$D$6:$AB$100,6,FALSE),0)+IFERROR(VLOOKUP(B58,CrossTabYitraLeTkufa_after_2000!$D$6:$AB$100,6,FALSE),0)</f>
        <v>0</v>
      </c>
      <c r="AH58">
        <f>IFERROR(VLOOKUP(B58,CrossTabYitraLeTkufa_till_2000!$D$6:$AB$100,16,FALSE),0)</f>
        <v>0</v>
      </c>
      <c r="AI58">
        <f>IFERROR(VLOOKUP(B58,CrossTabYitraLeTkufa_after_2000!$D$6:$AB$100,16,FALSE),0)</f>
        <v>0</v>
      </c>
      <c r="AJ58">
        <f>IFERROR(VLOOKUP(B58,CrossTabYitraLeTkufa_till_2000!$D$6:$AB$100,17,FALSE),0)</f>
        <v>0</v>
      </c>
      <c r="AK58">
        <f>IFERROR(VLOOKUP(B58,CrossTabYitraLeTkufa_after_2000!$D$6:$AB$100,17,FALSE),0)</f>
        <v>0</v>
      </c>
      <c r="AL58" s="5">
        <f t="shared" si="32"/>
        <v>0</v>
      </c>
      <c r="AO58">
        <f>IFERROR(VLOOKUP(B58,PirteiKisuiBeMutzar_procerur!$C$6:$AA$100,2,FALSE),0)</f>
        <v>0</v>
      </c>
      <c r="AQ58">
        <f>IFERROR(VLOOKUP($B58,PirteiKisuiBeMutzar_procerur!$C$6:$AA$100,5,FALSE),0)</f>
        <v>0</v>
      </c>
      <c r="AR58">
        <f>IFERROR(VLOOKUP($B58,PirteiKisuiBeMutzar_procerur!$C$6:$AA$100,3,FALSE),0)</f>
        <v>0</v>
      </c>
      <c r="AS58">
        <f>IFERROR(VLOOKUP($B58,PirteiKisuiBeMutzar_procerur!$C$6:$AA$100,6,FALSE),0)</f>
        <v>0</v>
      </c>
      <c r="AT58">
        <f>IFERROR(VLOOKUP($B58,PirteiKisuiBeMutzar_procerur!$C$6:$AA$100,7,FALSE),0)</f>
        <v>0</v>
      </c>
      <c r="AX58" s="997">
        <f t="shared" si="33"/>
        <v>0</v>
      </c>
      <c r="AY58" s="997">
        <f t="shared" si="34"/>
        <v>0</v>
      </c>
      <c r="AZ58" s="997">
        <f t="shared" si="35"/>
        <v>0</v>
      </c>
      <c r="BA58" s="997">
        <f>IFERROR(FV(S58/100/12,'נתוני יסוד'!$B$16*12,AX58,AG58)*(-1),0)</f>
        <v>0</v>
      </c>
      <c r="BB58" s="997">
        <f>IFERROR(FV(S58/100/12,'נתוני יסוד'!$B$16*12,0,AH58)*(-1),0)</f>
        <v>0</v>
      </c>
      <c r="BC58" s="997">
        <f>IFERROR(FV(S58/100/12,'נתוני יסוד'!$B$16*12,AY58,AI58)*(-1),0)</f>
        <v>0</v>
      </c>
      <c r="BD58" s="997">
        <f>IFERROR(FV(S58/100/12,'נתוני יסוד'!$B$16*12,0,AJ58)*(-1),0)</f>
        <v>0</v>
      </c>
      <c r="BE58" s="997">
        <f>IFERROR(FV(S58/100/12,'נתוני יסוד'!$B$16*12,AZ58,AK58)*(-1),0)</f>
        <v>0</v>
      </c>
      <c r="BF58" s="997">
        <f t="shared" si="36"/>
        <v>0</v>
      </c>
      <c r="BG58" s="997">
        <f>IFERROR(FV(S58/100/12,'נתוני יסוד'!$B$16*12,AF58,AL58)*(-1),0)</f>
        <v>0</v>
      </c>
      <c r="BH58" s="997">
        <f t="shared" si="37"/>
        <v>0</v>
      </c>
      <c r="BI58" s="997">
        <f t="shared" si="38"/>
        <v>0</v>
      </c>
      <c r="BJ58" s="997">
        <f t="shared" si="39"/>
        <v>0</v>
      </c>
      <c r="BK58" s="997">
        <f t="shared" si="40"/>
        <v>0</v>
      </c>
      <c r="BL58" s="997">
        <f t="shared" si="47"/>
        <v>0</v>
      </c>
      <c r="BM58" s="997">
        <f t="shared" si="48"/>
        <v>0</v>
      </c>
      <c r="BN58" s="997">
        <f t="shared" si="49"/>
        <v>0</v>
      </c>
      <c r="BO58" s="997">
        <f t="shared" si="41"/>
        <v>0</v>
      </c>
      <c r="BP58" s="997">
        <f t="shared" si="50"/>
        <v>0</v>
      </c>
      <c r="BS58">
        <f t="shared" si="51"/>
        <v>0</v>
      </c>
      <c r="BT58">
        <f t="shared" si="52"/>
        <v>0</v>
      </c>
      <c r="BU58">
        <f t="shared" si="53"/>
        <v>0</v>
      </c>
      <c r="BV58">
        <f t="shared" si="42"/>
        <v>0</v>
      </c>
      <c r="BW58">
        <f t="shared" si="54"/>
        <v>0</v>
      </c>
      <c r="BY58" s="997">
        <f t="shared" si="55"/>
        <v>0</v>
      </c>
      <c r="BZ58" s="997">
        <f t="shared" si="56"/>
        <v>0</v>
      </c>
      <c r="CA58" s="997">
        <f t="shared" si="57"/>
        <v>0</v>
      </c>
      <c r="CB58" s="997">
        <f t="shared" si="43"/>
        <v>0</v>
      </c>
      <c r="CC58" s="997">
        <f t="shared" si="58"/>
        <v>0</v>
      </c>
      <c r="CD58" s="997">
        <f t="shared" si="13"/>
        <v>0</v>
      </c>
      <c r="CE58" s="997">
        <f t="shared" si="14"/>
        <v>0</v>
      </c>
      <c r="CF58" s="997">
        <f t="shared" si="15"/>
        <v>0</v>
      </c>
      <c r="CG58" s="997">
        <f t="shared" si="16"/>
        <v>0</v>
      </c>
      <c r="CH58" s="997">
        <f t="shared" si="17"/>
        <v>0</v>
      </c>
      <c r="CI58" s="997">
        <f t="shared" si="18"/>
        <v>0</v>
      </c>
      <c r="CJ58" s="997">
        <f t="shared" si="19"/>
        <v>0</v>
      </c>
      <c r="CK58" s="997"/>
      <c r="CL58" s="997"/>
      <c r="CM58" s="997">
        <f t="shared" si="59"/>
        <v>0</v>
      </c>
      <c r="CN58" s="997">
        <f t="shared" si="60"/>
        <v>0</v>
      </c>
      <c r="CO58" s="997">
        <f t="shared" si="61"/>
        <v>0</v>
      </c>
      <c r="CP58" s="997">
        <f t="shared" si="44"/>
        <v>0</v>
      </c>
      <c r="CQ58" s="997">
        <f t="shared" si="62"/>
        <v>0</v>
      </c>
      <c r="CR58" s="997">
        <f>IFERROR(VLOOKUP($B58,SchumeiBituahYesodi!$C$6:$AA$100,8,FALSE),0)</f>
        <v>0</v>
      </c>
      <c r="CS58" s="997">
        <f>IFERROR(VLOOKUP($B58,PirteiKisuiBeMutzar_procerur!$C$6:$AA$100,2,FALSE),0)</f>
        <v>0</v>
      </c>
      <c r="CT58" s="997">
        <f>IFERROR(VLOOKUP($B58,PirteiKisuiBeMutzar_procerur!$C$6:$AA$100,3,FALSE),0)</f>
        <v>0</v>
      </c>
      <c r="CU58" s="997">
        <f>IFERROR(VLOOKUP($B58,PirteiKisuiBeMutzar_procerur!$C$6:$AA$100,4,FALSE),0)</f>
        <v>0</v>
      </c>
      <c r="CV58" s="997">
        <f>IFERROR(VLOOKUP($B58,PirteiKisuiBeMutzar_procerur!$C$6:$AA$100,5,FALSE),0)</f>
        <v>0</v>
      </c>
      <c r="CW58" s="997">
        <f>IFERROR(VLOOKUP($B58,PirteiKisuiBeMutzar_procerur!$C$6:$AA$100,6,FALSE),0)</f>
        <v>0</v>
      </c>
      <c r="CX58" s="997">
        <f>IFERROR(VLOOKUP($B58,PirteiKisuiBeMutzar_procerur!$C$6:$AA$100,7,FALSE),0)</f>
        <v>0</v>
      </c>
      <c r="CY58" s="997">
        <f>IFERROR(VLOOKUP($B58,PirteiKisuiBeMutzar_procerur!$C$6:$AA$100,8,FALSE),0)</f>
        <v>0</v>
      </c>
      <c r="CZ58" s="997">
        <f>IFERROR(VLOOKUP($B58,PirteiKisuiBeMutzar_procerur!$C$6:$AA$100,9,FALSE),0)</f>
        <v>0</v>
      </c>
      <c r="DA58" s="997">
        <f>IFERROR(VLOOKUP($B58,PirteiKisuiBeMutzar_procerur!$C$6:$AA$100,10,FALSE),0)</f>
        <v>0</v>
      </c>
      <c r="DB58" s="997">
        <f>IFERROR(VLOOKUP($B58,PirteiKisuiBeMutzar_procerur!$C$6:$AA$100,11,FALSE),0)</f>
        <v>0</v>
      </c>
      <c r="DC58" s="997">
        <f>IFERROR(VLOOKUP($B58,PirteiKisuiBeMutzarPrmia!$C$6:$Z$100,2,FALSE),0)</f>
        <v>0</v>
      </c>
      <c r="DD58" s="997">
        <f>IFERROR(VLOOKUP($B58,PirteiKisuiBeMutzarPrmia!$C$6:$Z$100,3,FALSE),0)</f>
        <v>0</v>
      </c>
      <c r="DE58" s="997">
        <f>IFERROR(VLOOKUP($B58,PirteiKisuiBeMutzarPrmia!$C$6:$Z$100,4,FALSE),0)</f>
        <v>0</v>
      </c>
      <c r="DF58" s="997">
        <f>IFERROR(VLOOKUP($B58,PirteiKisuiBeMutzarPrmia!$C$6:$Z$100,5,FALSE),0)</f>
        <v>0</v>
      </c>
      <c r="DG58" s="997">
        <f>IFERROR(VLOOKUP($B58,PirteiKisuiBeMutzarPrmia!$C$6:$Z$100,6,FALSE),0)</f>
        <v>0</v>
      </c>
      <c r="DH58" s="997">
        <f>IFERROR(VLOOKUP($B58,PirteiKisuiBeMutzarPrmia!$C$6:$Z$100,7,FALSE),0)</f>
        <v>0</v>
      </c>
      <c r="DI58" s="997">
        <f>IFERROR(VLOOKUP($B58,PirteiKisuiBeMutzarPrmia!$C$6:$Z$100,8,FALSE),0)</f>
        <v>0</v>
      </c>
      <c r="DJ58" s="997">
        <f>IFERROR(VLOOKUP($B58,PirteiKisuiBeMutzarPrmia!$C$6:$Z$100,9,FALSE),0)</f>
        <v>0</v>
      </c>
      <c r="DK58" s="997">
        <f>IFERROR(VLOOKUP($B58,PirteiKisuiBeMutzarPrmia!$C$6:$Z$100,10,FALSE),0)</f>
        <v>0</v>
      </c>
      <c r="DL58" s="997">
        <f>IFERROR(VLOOKUP($B58,PirteiKisuiBeMutzarPrmia!$C$6:$Z$100,11,FALSE),0)</f>
        <v>0</v>
      </c>
      <c r="DM58" s="997">
        <f t="shared" si="66"/>
        <v>0</v>
      </c>
      <c r="DN58" s="997">
        <f t="shared" si="63"/>
        <v>0</v>
      </c>
      <c r="DO58" s="997">
        <f t="shared" si="64"/>
        <v>0</v>
      </c>
      <c r="DP58" s="997">
        <f t="shared" si="67"/>
        <v>0</v>
      </c>
      <c r="DQ58" s="997">
        <f t="shared" si="65"/>
        <v>0</v>
      </c>
      <c r="DR58" s="997">
        <f>IF(OR(L58=1,L58=3),IFERROR(VLOOKUP($B58,PerutHafkadotMetchilatShanaAvgM!$C$6:$G$100,3,FALSE),0),0)</f>
        <v>0</v>
      </c>
      <c r="DS58" s="997">
        <f>IF(OR(L58=2,L58=4),IFERROR(VLOOKUP($B58,PerutHafkadotMetchilatShanaAvgM!$C$6:$G$100,3,FALSE),0),0)</f>
        <v>0</v>
      </c>
      <c r="DT58" s="997">
        <f>IFERROR(VLOOKUP($B58,PerutHafkadotMetchilatShanaAvgM!$C$6:$G$100,4,FALSE),0)</f>
        <v>0</v>
      </c>
      <c r="DU58" s="997">
        <f>IFERROR(VLOOKUP($B58,Kupa!$D$6:$AA$100,5,FALSE),0)</f>
        <v>0</v>
      </c>
      <c r="DV58" s="997">
        <f>IFERROR(VLOOKUP($B58,Kupa!$D$6:$AA$100,6,FALSE),0)</f>
        <v>0</v>
      </c>
      <c r="DW58" s="997">
        <f>IFERROR(VLOOKUP($B58,KisuiBKerenPensiaDBWithParams!$D$6:$AP$100,9,FALSE),0)</f>
        <v>0</v>
      </c>
      <c r="DX58" s="997">
        <f>IFERROR(VLOOKUP($B58,KisuiBKerenPensiaDBWithParams!$D$6:$AP$100,12,FALSE),0)</f>
        <v>0</v>
      </c>
      <c r="DY58" s="997">
        <f>IFERROR(VLOOKUP($B58,KisuiBKerenPensiaDBWithParams!$D$6:$AP$100,13,FALSE),0)</f>
        <v>0</v>
      </c>
      <c r="DZ58" s="997">
        <f>IFERROR(VLOOKUP($B58,KisuiBKerenPensiaDBWithParams!$D$6:$AP$100,7,FALSE),0)</f>
        <v>0</v>
      </c>
      <c r="EA58" s="997">
        <f>IFERROR(VLOOKUP($B58,KisuiBKerenPensiaDBWithParams!$D$6:$AP$100,17,FALSE),0)</f>
        <v>0</v>
      </c>
      <c r="EB58" s="997">
        <f>IFERROR(VLOOKUP($B58,KisuiBKerenPensiaDBWithParams!$D$6:$AP$100,20,FALSE),0)</f>
        <v>0</v>
      </c>
      <c r="EC58" s="997">
        <f>IFERROR(VLOOKUP($B58,KisuiBKerenPensiaDBWithParams!$D$6:$AP$100,21,FALSE),0)</f>
        <v>0</v>
      </c>
      <c r="ED58" s="997">
        <f t="shared" si="45"/>
        <v>0</v>
      </c>
      <c r="EE58" s="997"/>
      <c r="EF58" s="1020">
        <f>IFERROR(VLOOKUP($B58,KisuiBKerenPensiaDBWithParams!$D$6:$AP$100,21,FALSE),0)</f>
        <v>0</v>
      </c>
      <c r="EG58" s="1020">
        <f>IFERROR(VLOOKUP($B58,KisuiBKerenPensiaDBWithParams!$D$6:$AP$100,21,FALSE),0)</f>
        <v>0</v>
      </c>
      <c r="EH58">
        <f>IF(OR(G58=MyData!$J$51,G58=MyData!$J$52,G58=MyData!$J$53),1,IF(G58=MyData!$J$50,2,0))</f>
        <v>0</v>
      </c>
      <c r="EI58">
        <f>IFERROR(VLOOKUP($B58,CrosstabPerutYitrotDB!$C$6:$N$50,3,FALSE),0)</f>
        <v>0</v>
      </c>
      <c r="EJ58">
        <f>IFERROR(VLOOKUP($B58,CrosstabPerutYitrotDB!$C$6:$N$50,4,FALSE),0)</f>
        <v>0</v>
      </c>
      <c r="EK58">
        <f>IFERROR(VLOOKUP($B58,CrosstabPerutYitrotDB!$C$6:$N$50,5,FALSE),0)</f>
        <v>0</v>
      </c>
      <c r="EL58">
        <f>IFERROR(VLOOKUP($B58,CrosstabPerutYitrotDB!$C$6:$N$50,6,FALSE),0)</f>
        <v>0</v>
      </c>
      <c r="EM58">
        <f>IFERROR(VLOOKUP($B58,CrosstabPerutYitrotDB!$C$6:$N$50,7,FALSE),0)</f>
        <v>0</v>
      </c>
      <c r="EN58">
        <f>IFERROR(VLOOKUP($B58,CrosstabPerutYitrotDB!$C$6:$N$50,8,FALSE),0)</f>
        <v>0</v>
      </c>
      <c r="EO58">
        <f>IFERROR(VLOOKUP($B58,CrosstabPerutYitrotDB!$C$6:$N$50,9,FALSE),0)</f>
        <v>0</v>
      </c>
      <c r="EP58">
        <f>IFERROR(VLOOKUP($B58,CrosstabPerutYitrotDB!$C$6:$N$50,10,FALSE),0)</f>
        <v>0</v>
      </c>
      <c r="EQ58">
        <f>IFERROR(VLOOKUP($B58,CrosstabPerutYitrotDB!$C$6:$N$50,11,FALSE),0)</f>
        <v>0</v>
      </c>
    </row>
    <row r="59" spans="1:147" x14ac:dyDescent="0.2">
      <c r="A59">
        <f t="shared" si="46"/>
        <v>0</v>
      </c>
      <c r="B59" s="20">
        <f>RicusPolice!E56</f>
        <v>0</v>
      </c>
      <c r="C59" s="20">
        <f>RicusPolice!AL56</f>
        <v>0</v>
      </c>
      <c r="D59" s="20">
        <f>RicusPolice!F56</f>
        <v>0</v>
      </c>
      <c r="E59" s="20">
        <f>RicusPolice!R56</f>
        <v>0</v>
      </c>
      <c r="F59" s="20">
        <f>RicusPolice!N56</f>
        <v>0</v>
      </c>
      <c r="G59" s="20">
        <f>IFERROR(VLOOKUP($B59,PerutYitrot!$D$6:$P$100,4,FALSE),0)</f>
        <v>0</v>
      </c>
      <c r="H59" s="20">
        <f t="shared" si="29"/>
        <v>0</v>
      </c>
      <c r="I59" s="20">
        <f>RicusPolice!L56</f>
        <v>0</v>
      </c>
      <c r="J59" s="179">
        <f>IFERROR(VLOOKUP(TRIM(K59),MyData!$J$44:$K$50,2,FALSE),0)</f>
        <v>0</v>
      </c>
      <c r="K59" s="20">
        <f>RicusPolice!M56</f>
        <v>0</v>
      </c>
      <c r="L59" s="20">
        <f>RicusPolice!AM56</f>
        <v>0</v>
      </c>
      <c r="M59" s="20" t="str">
        <f>IF(B59&gt;0,RicusPolice!Y56," ")</f>
        <v xml:space="preserve"> </v>
      </c>
      <c r="N59" s="20" t="str">
        <f t="shared" si="30"/>
        <v/>
      </c>
      <c r="O59" s="20">
        <f>RicusPolice!N56</f>
        <v>0</v>
      </c>
      <c r="P59" s="20">
        <f>IFERROR(VLOOKUP(B59,PerutMasluleiHashkaa!$D$6:$R$100,4,FALSE),0)</f>
        <v>0</v>
      </c>
      <c r="Q59" s="19"/>
      <c r="R59" s="1011" t="str">
        <f>IF(B59&gt;0,RicusPolice!P58," ")</f>
        <v xml:space="preserve"> </v>
      </c>
      <c r="S59" s="20">
        <f>IFERROR(VLOOKUP($B59,'נתונים ידניים'!$B$9:$G$51,6,FALSE),0)</f>
        <v>0</v>
      </c>
      <c r="T59" s="21">
        <f>'נתונים ידניים'!J60</f>
        <v>0</v>
      </c>
      <c r="U59" s="21">
        <f>'נתונים ידניים'!K60</f>
        <v>0</v>
      </c>
      <c r="V59" s="20">
        <f>IFERROR(VLOOKUP($B59,PerutHafrashotLePolisa!$D$6:$N$50,2,FALSE),0)</f>
        <v>0</v>
      </c>
      <c r="W59" s="20">
        <f>IFERROR(VLOOKUP($B59,PerutHafrashotLePolisa!$D$6:$N$50,4,FALSE),0)</f>
        <v>0</v>
      </c>
      <c r="X59" s="20">
        <f>IFERROR(VLOOKUP($B59,PerutHafrashotLePolisa!$D$6:$N$50,3,FALSE),0)</f>
        <v>0</v>
      </c>
      <c r="Y59">
        <f t="shared" si="31"/>
        <v>0</v>
      </c>
      <c r="Z59">
        <f>RicusPolice!AP56</f>
        <v>0</v>
      </c>
      <c r="AA59">
        <f>IFERROR(VLOOKUP(B59,PirteiHaasaka!$D$6:$R$100,5,FALSE),0)</f>
        <v>0</v>
      </c>
      <c r="AC59">
        <f>IFERROR(VLOOKUP(B59,HafkadotMetchilatShanaAverages!$D$6:$E$100,2,FALSE),0)</f>
        <v>0</v>
      </c>
      <c r="AF59">
        <f>'נתונים ידניים'!L60</f>
        <v>0</v>
      </c>
      <c r="AG59">
        <f>IFERROR(VLOOKUP(B59,CrossTabYitraLeTkufa_till_2000!$D$6:$AB$100,6,FALSE),0)+IFERROR(VLOOKUP(B59,CrossTabYitraLeTkufa_after_2000!$D$6:$AB$100,6,FALSE),0)</f>
        <v>0</v>
      </c>
      <c r="AH59">
        <f>IFERROR(VLOOKUP(B59,CrossTabYitraLeTkufa_till_2000!$D$6:$AB$100,16,FALSE),0)</f>
        <v>0</v>
      </c>
      <c r="AI59">
        <f>IFERROR(VLOOKUP(B59,CrossTabYitraLeTkufa_after_2000!$D$6:$AB$100,16,FALSE),0)</f>
        <v>0</v>
      </c>
      <c r="AJ59">
        <f>IFERROR(VLOOKUP(B59,CrossTabYitraLeTkufa_till_2000!$D$6:$AB$100,17,FALSE),0)</f>
        <v>0</v>
      </c>
      <c r="AK59">
        <f>IFERROR(VLOOKUP(B59,CrossTabYitraLeTkufa_after_2000!$D$6:$AB$100,17,FALSE),0)</f>
        <v>0</v>
      </c>
      <c r="AL59" s="5">
        <f t="shared" si="32"/>
        <v>0</v>
      </c>
      <c r="AO59">
        <f>IFERROR(VLOOKUP(B59,PirteiKisuiBeMutzar_procerur!$C$6:$AA$100,2,FALSE),0)</f>
        <v>0</v>
      </c>
      <c r="AQ59">
        <f>IFERROR(VLOOKUP($B59,PirteiKisuiBeMutzar_procerur!$C$6:$AA$100,5,FALSE),0)</f>
        <v>0</v>
      </c>
      <c r="AR59">
        <f>IFERROR(VLOOKUP($B59,PirteiKisuiBeMutzar_procerur!$C$6:$AA$100,3,FALSE),0)</f>
        <v>0</v>
      </c>
      <c r="AS59">
        <f>IFERROR(VLOOKUP($B59,PirteiKisuiBeMutzar_procerur!$C$6:$AA$100,6,FALSE),0)</f>
        <v>0</v>
      </c>
      <c r="AT59">
        <f>IFERROR(VLOOKUP($B59,PirteiKisuiBeMutzar_procerur!$C$6:$AA$100,7,FALSE),0)</f>
        <v>0</v>
      </c>
      <c r="AX59" s="997">
        <f t="shared" si="33"/>
        <v>0</v>
      </c>
      <c r="AY59" s="997">
        <f t="shared" si="34"/>
        <v>0</v>
      </c>
      <c r="AZ59" s="997">
        <f t="shared" si="35"/>
        <v>0</v>
      </c>
      <c r="BA59" s="997">
        <f>IFERROR(FV(S59/100/12,'נתוני יסוד'!$B$16*12,AX59,AG59)*(-1),0)</f>
        <v>0</v>
      </c>
      <c r="BB59" s="997">
        <f>IFERROR(FV(S59/100/12,'נתוני יסוד'!$B$16*12,0,AH59)*(-1),0)</f>
        <v>0</v>
      </c>
      <c r="BC59" s="997">
        <f>IFERROR(FV(S59/100/12,'נתוני יסוד'!$B$16*12,AY59,AI59)*(-1),0)</f>
        <v>0</v>
      </c>
      <c r="BD59" s="997">
        <f>IFERROR(FV(S59/100/12,'נתוני יסוד'!$B$16*12,0,AJ59)*(-1),0)</f>
        <v>0</v>
      </c>
      <c r="BE59" s="997">
        <f>IFERROR(FV(S59/100/12,'נתוני יסוד'!$B$16*12,AZ59,AK59)*(-1),0)</f>
        <v>0</v>
      </c>
      <c r="BF59" s="997">
        <f t="shared" si="36"/>
        <v>0</v>
      </c>
      <c r="BG59" s="997">
        <f>IFERROR(FV(S59/100/12,'נתוני יסוד'!$B$16*12,AF59,AL59)*(-1),0)</f>
        <v>0</v>
      </c>
      <c r="BH59" s="997">
        <f t="shared" si="37"/>
        <v>0</v>
      </c>
      <c r="BI59" s="997">
        <f t="shared" si="38"/>
        <v>0</v>
      </c>
      <c r="BJ59" s="997">
        <f t="shared" si="39"/>
        <v>0</v>
      </c>
      <c r="BK59" s="997">
        <f t="shared" si="40"/>
        <v>0</v>
      </c>
      <c r="BL59" s="997">
        <f t="shared" si="47"/>
        <v>0</v>
      </c>
      <c r="BM59" s="997">
        <f t="shared" si="48"/>
        <v>0</v>
      </c>
      <c r="BN59" s="997">
        <f t="shared" si="49"/>
        <v>0</v>
      </c>
      <c r="BO59" s="997">
        <f t="shared" si="41"/>
        <v>0</v>
      </c>
      <c r="BP59" s="997">
        <f t="shared" si="50"/>
        <v>0</v>
      </c>
      <c r="BS59">
        <f t="shared" si="51"/>
        <v>0</v>
      </c>
      <c r="BT59">
        <f t="shared" si="52"/>
        <v>0</v>
      </c>
      <c r="BU59">
        <f t="shared" si="53"/>
        <v>0</v>
      </c>
      <c r="BV59">
        <f t="shared" si="42"/>
        <v>0</v>
      </c>
      <c r="BW59">
        <f t="shared" si="54"/>
        <v>0</v>
      </c>
      <c r="BY59" s="997">
        <f t="shared" si="55"/>
        <v>0</v>
      </c>
      <c r="BZ59" s="997">
        <f t="shared" si="56"/>
        <v>0</v>
      </c>
      <c r="CA59" s="997">
        <f t="shared" si="57"/>
        <v>0</v>
      </c>
      <c r="CB59" s="997">
        <f t="shared" si="43"/>
        <v>0</v>
      </c>
      <c r="CC59" s="997">
        <f t="shared" si="58"/>
        <v>0</v>
      </c>
      <c r="CD59" s="997">
        <f t="shared" si="13"/>
        <v>0</v>
      </c>
      <c r="CE59" s="997">
        <f t="shared" si="14"/>
        <v>0</v>
      </c>
      <c r="CF59" s="997">
        <f t="shared" si="15"/>
        <v>0</v>
      </c>
      <c r="CG59" s="997">
        <f t="shared" si="16"/>
        <v>0</v>
      </c>
      <c r="CH59" s="997">
        <f t="shared" si="17"/>
        <v>0</v>
      </c>
      <c r="CI59" s="997">
        <f t="shared" si="18"/>
        <v>0</v>
      </c>
      <c r="CJ59" s="997">
        <f t="shared" si="19"/>
        <v>0</v>
      </c>
      <c r="CK59" s="997"/>
      <c r="CL59" s="997"/>
      <c r="CM59" s="997">
        <f t="shared" si="59"/>
        <v>0</v>
      </c>
      <c r="CN59" s="997">
        <f t="shared" si="60"/>
        <v>0</v>
      </c>
      <c r="CO59" s="997">
        <f t="shared" si="61"/>
        <v>0</v>
      </c>
      <c r="CP59" s="997">
        <f t="shared" si="44"/>
        <v>0</v>
      </c>
      <c r="CQ59" s="997">
        <f t="shared" si="62"/>
        <v>0</v>
      </c>
      <c r="CR59" s="997">
        <f>IFERROR(VLOOKUP($B59,SchumeiBituahYesodi!$C$6:$AA$100,8,FALSE),0)</f>
        <v>0</v>
      </c>
      <c r="CS59" s="997">
        <f>IFERROR(VLOOKUP($B59,PirteiKisuiBeMutzar_procerur!$C$6:$AA$100,2,FALSE),0)</f>
        <v>0</v>
      </c>
      <c r="CT59" s="997">
        <f>IFERROR(VLOOKUP($B59,PirteiKisuiBeMutzar_procerur!$C$6:$AA$100,3,FALSE),0)</f>
        <v>0</v>
      </c>
      <c r="CU59" s="997">
        <f>IFERROR(VLOOKUP($B59,PirteiKisuiBeMutzar_procerur!$C$6:$AA$100,4,FALSE),0)</f>
        <v>0</v>
      </c>
      <c r="CV59" s="997">
        <f>IFERROR(VLOOKUP($B59,PirteiKisuiBeMutzar_procerur!$C$6:$AA$100,5,FALSE),0)</f>
        <v>0</v>
      </c>
      <c r="CW59" s="997">
        <f>IFERROR(VLOOKUP($B59,PirteiKisuiBeMutzar_procerur!$C$6:$AA$100,6,FALSE),0)</f>
        <v>0</v>
      </c>
      <c r="CX59" s="997">
        <f>IFERROR(VLOOKUP($B59,PirteiKisuiBeMutzar_procerur!$C$6:$AA$100,7,FALSE),0)</f>
        <v>0</v>
      </c>
      <c r="CY59" s="997">
        <f>IFERROR(VLOOKUP($B59,PirteiKisuiBeMutzar_procerur!$C$6:$AA$100,8,FALSE),0)</f>
        <v>0</v>
      </c>
      <c r="CZ59" s="997">
        <f>IFERROR(VLOOKUP($B59,PirteiKisuiBeMutzar_procerur!$C$6:$AA$100,9,FALSE),0)</f>
        <v>0</v>
      </c>
      <c r="DA59" s="997">
        <f>IFERROR(VLOOKUP($B59,PirteiKisuiBeMutzar_procerur!$C$6:$AA$100,10,FALSE),0)</f>
        <v>0</v>
      </c>
      <c r="DB59" s="997">
        <f>IFERROR(VLOOKUP($B59,PirteiKisuiBeMutzar_procerur!$C$6:$AA$100,11,FALSE),0)</f>
        <v>0</v>
      </c>
      <c r="DC59" s="997">
        <f>IFERROR(VLOOKUP($B59,PirteiKisuiBeMutzarPrmia!$C$6:$Z$100,2,FALSE),0)</f>
        <v>0</v>
      </c>
      <c r="DD59" s="997">
        <f>IFERROR(VLOOKUP($B59,PirteiKisuiBeMutzarPrmia!$C$6:$Z$100,3,FALSE),0)</f>
        <v>0</v>
      </c>
      <c r="DE59" s="997">
        <f>IFERROR(VLOOKUP($B59,PirteiKisuiBeMutzarPrmia!$C$6:$Z$100,4,FALSE),0)</f>
        <v>0</v>
      </c>
      <c r="DF59" s="997">
        <f>IFERROR(VLOOKUP($B59,PirteiKisuiBeMutzarPrmia!$C$6:$Z$100,5,FALSE),0)</f>
        <v>0</v>
      </c>
      <c r="DG59" s="997">
        <f>IFERROR(VLOOKUP($B59,PirteiKisuiBeMutzarPrmia!$C$6:$Z$100,6,FALSE),0)</f>
        <v>0</v>
      </c>
      <c r="DH59" s="997">
        <f>IFERROR(VLOOKUP($B59,PirteiKisuiBeMutzarPrmia!$C$6:$Z$100,7,FALSE),0)</f>
        <v>0</v>
      </c>
      <c r="DI59" s="997">
        <f>IFERROR(VLOOKUP($B59,PirteiKisuiBeMutzarPrmia!$C$6:$Z$100,8,FALSE),0)</f>
        <v>0</v>
      </c>
      <c r="DJ59" s="997">
        <f>IFERROR(VLOOKUP($B59,PirteiKisuiBeMutzarPrmia!$C$6:$Z$100,9,FALSE),0)</f>
        <v>0</v>
      </c>
      <c r="DK59" s="997">
        <f>IFERROR(VLOOKUP($B59,PirteiKisuiBeMutzarPrmia!$C$6:$Z$100,10,FALSE),0)</f>
        <v>0</v>
      </c>
      <c r="DL59" s="997">
        <f>IFERROR(VLOOKUP($B59,PirteiKisuiBeMutzarPrmia!$C$6:$Z$100,11,FALSE),0)</f>
        <v>0</v>
      </c>
      <c r="DM59" s="997">
        <f t="shared" si="66"/>
        <v>0</v>
      </c>
      <c r="DN59" s="997">
        <f t="shared" si="63"/>
        <v>0</v>
      </c>
      <c r="DO59" s="997">
        <f t="shared" si="64"/>
        <v>0</v>
      </c>
      <c r="DP59" s="997">
        <f t="shared" si="67"/>
        <v>0</v>
      </c>
      <c r="DQ59" s="997">
        <f t="shared" si="65"/>
        <v>0</v>
      </c>
      <c r="DR59" s="997">
        <f>IF(OR(L59=1,L59=3),IFERROR(VLOOKUP($B59,PerutHafkadotMetchilatShanaAvgM!$C$6:$G$100,3,FALSE),0),0)</f>
        <v>0</v>
      </c>
      <c r="DS59" s="997">
        <f>IF(OR(L59=2,L59=4),IFERROR(VLOOKUP($B59,PerutHafkadotMetchilatShanaAvgM!$C$6:$G$100,3,FALSE),0),0)</f>
        <v>0</v>
      </c>
      <c r="DT59" s="997">
        <f>IFERROR(VLOOKUP($B59,PerutHafkadotMetchilatShanaAvgM!$C$6:$G$100,4,FALSE),0)</f>
        <v>0</v>
      </c>
      <c r="DU59" s="997">
        <f>IFERROR(VLOOKUP($B59,Kupa!$D$6:$AA$100,5,FALSE),0)</f>
        <v>0</v>
      </c>
      <c r="DV59" s="997">
        <f>IFERROR(VLOOKUP($B59,Kupa!$D$6:$AA$100,6,FALSE),0)</f>
        <v>0</v>
      </c>
      <c r="DW59" s="997">
        <f>IFERROR(VLOOKUP($B59,KisuiBKerenPensiaDBWithParams!$D$6:$AP$100,9,FALSE),0)</f>
        <v>0</v>
      </c>
      <c r="DX59" s="997">
        <f>IFERROR(VLOOKUP($B59,KisuiBKerenPensiaDBWithParams!$D$6:$AP$100,12,FALSE),0)</f>
        <v>0</v>
      </c>
      <c r="DY59" s="997">
        <f>IFERROR(VLOOKUP($B59,KisuiBKerenPensiaDBWithParams!$D$6:$AP$100,13,FALSE),0)</f>
        <v>0</v>
      </c>
      <c r="DZ59" s="997">
        <f>IFERROR(VLOOKUP($B59,KisuiBKerenPensiaDBWithParams!$D$6:$AP$100,7,FALSE),0)</f>
        <v>0</v>
      </c>
      <c r="EA59" s="997">
        <f>IFERROR(VLOOKUP($B59,KisuiBKerenPensiaDBWithParams!$D$6:$AP$100,17,FALSE),0)</f>
        <v>0</v>
      </c>
      <c r="EB59" s="997">
        <f>IFERROR(VLOOKUP($B59,KisuiBKerenPensiaDBWithParams!$D$6:$AP$100,20,FALSE),0)</f>
        <v>0</v>
      </c>
      <c r="EC59" s="997">
        <f>IFERROR(VLOOKUP($B59,KisuiBKerenPensiaDBWithParams!$D$6:$AP$100,21,FALSE),0)</f>
        <v>0</v>
      </c>
      <c r="ED59" s="997">
        <f t="shared" si="45"/>
        <v>0</v>
      </c>
      <c r="EE59" s="997"/>
      <c r="EF59" s="1020">
        <f>IFERROR(VLOOKUP($B59,KisuiBKerenPensiaDBWithParams!$D$6:$AP$100,21,FALSE),0)</f>
        <v>0</v>
      </c>
      <c r="EG59" s="1020">
        <f>IFERROR(VLOOKUP($B59,KisuiBKerenPensiaDBWithParams!$D$6:$AP$100,21,FALSE),0)</f>
        <v>0</v>
      </c>
      <c r="EH59">
        <f>IF(OR(G59=MyData!$J$51,G59=MyData!$J$52,G59=MyData!$J$53),1,IF(G59=MyData!$J$50,2,0))</f>
        <v>0</v>
      </c>
      <c r="EI59">
        <f>IFERROR(VLOOKUP($B59,CrosstabPerutYitrotDB!$C$6:$N$50,3,FALSE),0)</f>
        <v>0</v>
      </c>
      <c r="EJ59">
        <f>IFERROR(VLOOKUP($B59,CrosstabPerutYitrotDB!$C$6:$N$50,4,FALSE),0)</f>
        <v>0</v>
      </c>
      <c r="EK59">
        <f>IFERROR(VLOOKUP($B59,CrosstabPerutYitrotDB!$C$6:$N$50,5,FALSE),0)</f>
        <v>0</v>
      </c>
      <c r="EL59">
        <f>IFERROR(VLOOKUP($B59,CrosstabPerutYitrotDB!$C$6:$N$50,6,FALSE),0)</f>
        <v>0</v>
      </c>
      <c r="EM59">
        <f>IFERROR(VLOOKUP($B59,CrosstabPerutYitrotDB!$C$6:$N$50,7,FALSE),0)</f>
        <v>0</v>
      </c>
      <c r="EN59">
        <f>IFERROR(VLOOKUP($B59,CrosstabPerutYitrotDB!$C$6:$N$50,8,FALSE),0)</f>
        <v>0</v>
      </c>
      <c r="EO59">
        <f>IFERROR(VLOOKUP($B59,CrosstabPerutYitrotDB!$C$6:$N$50,9,FALSE),0)</f>
        <v>0</v>
      </c>
      <c r="EP59">
        <f>IFERROR(VLOOKUP($B59,CrosstabPerutYitrotDB!$C$6:$N$50,10,FALSE),0)</f>
        <v>0</v>
      </c>
      <c r="EQ59">
        <f>IFERROR(VLOOKUP($B59,CrosstabPerutYitrotDB!$C$6:$N$50,11,FALSE),0)</f>
        <v>0</v>
      </c>
    </row>
    <row r="60" spans="1:147" x14ac:dyDescent="0.2">
      <c r="A60">
        <f t="shared" si="46"/>
        <v>0</v>
      </c>
      <c r="B60" s="20">
        <f>RicusPolice!E57</f>
        <v>0</v>
      </c>
      <c r="C60" s="20">
        <f>RicusPolice!AL57</f>
        <v>0</v>
      </c>
      <c r="D60" s="20">
        <f>RicusPolice!F57</f>
        <v>0</v>
      </c>
      <c r="E60" s="20">
        <f>RicusPolice!R57</f>
        <v>0</v>
      </c>
      <c r="F60" s="20">
        <f>RicusPolice!N57</f>
        <v>0</v>
      </c>
      <c r="G60" s="20">
        <f>IFERROR(VLOOKUP($B60,PerutYitrot!$D$6:$P$100,4,FALSE),0)</f>
        <v>0</v>
      </c>
      <c r="H60" s="20">
        <f t="shared" si="29"/>
        <v>0</v>
      </c>
      <c r="I60" s="20">
        <f>RicusPolice!L57</f>
        <v>0</v>
      </c>
      <c r="J60" s="179">
        <f>IFERROR(VLOOKUP(TRIM(K60),MyData!$J$44:$K$50,2,FALSE),0)</f>
        <v>0</v>
      </c>
      <c r="K60" s="20">
        <f>RicusPolice!M57</f>
        <v>0</v>
      </c>
      <c r="L60" s="20">
        <f>RicusPolice!AM57</f>
        <v>0</v>
      </c>
      <c r="M60" s="20" t="str">
        <f>IF(B60&gt;0,RicusPolice!Y57," ")</f>
        <v xml:space="preserve"> </v>
      </c>
      <c r="N60" s="20" t="str">
        <f t="shared" si="30"/>
        <v/>
      </c>
      <c r="O60" s="20">
        <f>RicusPolice!N57</f>
        <v>0</v>
      </c>
      <c r="P60" s="20">
        <f>IFERROR(VLOOKUP(B60,PerutMasluleiHashkaa!$D$6:$R$100,4,FALSE),0)</f>
        <v>0</v>
      </c>
      <c r="Q60" s="19"/>
      <c r="R60" s="1011" t="str">
        <f>IF(B60&gt;0,RicusPolice!P59," ")</f>
        <v xml:space="preserve"> </v>
      </c>
      <c r="S60" s="20">
        <f>IFERROR(VLOOKUP($B60,'נתונים ידניים'!$B$9:$G$51,6,FALSE),0)</f>
        <v>0</v>
      </c>
      <c r="T60" s="21">
        <f>'נתונים ידניים'!J61</f>
        <v>0</v>
      </c>
      <c r="U60" s="21">
        <f>'נתונים ידניים'!K61</f>
        <v>0</v>
      </c>
      <c r="V60" s="20">
        <f>IFERROR(VLOOKUP($B60,PerutHafrashotLePolisa!$D$6:$N$50,2,FALSE),0)</f>
        <v>0</v>
      </c>
      <c r="W60" s="20">
        <f>IFERROR(VLOOKUP($B60,PerutHafrashotLePolisa!$D$6:$N$50,4,FALSE),0)</f>
        <v>0</v>
      </c>
      <c r="X60" s="20">
        <f>IFERROR(VLOOKUP($B60,PerutHafrashotLePolisa!$D$6:$N$50,3,FALSE),0)</f>
        <v>0</v>
      </c>
      <c r="Y60">
        <f t="shared" si="31"/>
        <v>0</v>
      </c>
      <c r="Z60">
        <f>RicusPolice!AP57</f>
        <v>0</v>
      </c>
      <c r="AA60">
        <f>IFERROR(VLOOKUP(B60,PirteiHaasaka!$D$6:$R$100,5,FALSE),0)</f>
        <v>0</v>
      </c>
      <c r="AC60">
        <f>IFERROR(VLOOKUP(B60,HafkadotMetchilatShanaAverages!$D$6:$E$100,2,FALSE),0)</f>
        <v>0</v>
      </c>
      <c r="AF60">
        <f>'נתונים ידניים'!L61</f>
        <v>0</v>
      </c>
      <c r="AG60">
        <f>IFERROR(VLOOKUP(B60,CrossTabYitraLeTkufa_till_2000!$D$6:$AB$100,6,FALSE),0)+IFERROR(VLOOKUP(B60,CrossTabYitraLeTkufa_after_2000!$D$6:$AB$100,6,FALSE),0)</f>
        <v>0</v>
      </c>
      <c r="AH60">
        <f>IFERROR(VLOOKUP(B60,CrossTabYitraLeTkufa_till_2000!$D$6:$AB$100,16,FALSE),0)</f>
        <v>0</v>
      </c>
      <c r="AI60">
        <f>IFERROR(VLOOKUP(B60,CrossTabYitraLeTkufa_after_2000!$D$6:$AB$100,16,FALSE),0)</f>
        <v>0</v>
      </c>
      <c r="AJ60">
        <f>IFERROR(VLOOKUP(B60,CrossTabYitraLeTkufa_till_2000!$D$6:$AB$100,17,FALSE),0)</f>
        <v>0</v>
      </c>
      <c r="AK60">
        <f>IFERROR(VLOOKUP(B60,CrossTabYitraLeTkufa_after_2000!$D$6:$AB$100,17,FALSE),0)</f>
        <v>0</v>
      </c>
      <c r="AL60" s="5">
        <f t="shared" si="32"/>
        <v>0</v>
      </c>
      <c r="AO60">
        <f>IFERROR(VLOOKUP(B60,PirteiKisuiBeMutzar_procerur!$C$6:$AA$100,2,FALSE),0)</f>
        <v>0</v>
      </c>
      <c r="AQ60">
        <f>IFERROR(VLOOKUP($B60,PirteiKisuiBeMutzar_procerur!$C$6:$AA$100,5,FALSE),0)</f>
        <v>0</v>
      </c>
      <c r="AR60">
        <f>IFERROR(VLOOKUP($B60,PirteiKisuiBeMutzar_procerur!$C$6:$AA$100,3,FALSE),0)</f>
        <v>0</v>
      </c>
      <c r="AS60">
        <f>IFERROR(VLOOKUP($B60,PirteiKisuiBeMutzar_procerur!$C$6:$AA$100,6,FALSE),0)</f>
        <v>0</v>
      </c>
      <c r="AT60">
        <f>IFERROR(VLOOKUP($B60,PirteiKisuiBeMutzar_procerur!$C$6:$AA$100,7,FALSE),0)</f>
        <v>0</v>
      </c>
      <c r="AX60" s="997">
        <f t="shared" si="33"/>
        <v>0</v>
      </c>
      <c r="AY60" s="997">
        <f t="shared" si="34"/>
        <v>0</v>
      </c>
      <c r="AZ60" s="997">
        <f t="shared" si="35"/>
        <v>0</v>
      </c>
      <c r="BA60" s="997">
        <f>IFERROR(FV(S60/100/12,'נתוני יסוד'!$B$16*12,AX60,AG60)*(-1),0)</f>
        <v>0</v>
      </c>
      <c r="BB60" s="997">
        <f>IFERROR(FV(S60/100/12,'נתוני יסוד'!$B$16*12,0,AH60)*(-1),0)</f>
        <v>0</v>
      </c>
      <c r="BC60" s="997">
        <f>IFERROR(FV(S60/100/12,'נתוני יסוד'!$B$16*12,AY60,AI60)*(-1),0)</f>
        <v>0</v>
      </c>
      <c r="BD60" s="997">
        <f>IFERROR(FV(S60/100/12,'נתוני יסוד'!$B$16*12,0,AJ60)*(-1),0)</f>
        <v>0</v>
      </c>
      <c r="BE60" s="997">
        <f>IFERROR(FV(S60/100/12,'נתוני יסוד'!$B$16*12,AZ60,AK60)*(-1),0)</f>
        <v>0</v>
      </c>
      <c r="BF60" s="997">
        <f t="shared" si="36"/>
        <v>0</v>
      </c>
      <c r="BG60" s="997">
        <f>IFERROR(FV(S60/100/12,'נתוני יסוד'!$B$16*12,AF60,AL60)*(-1),0)</f>
        <v>0</v>
      </c>
      <c r="BH60" s="997">
        <f t="shared" si="37"/>
        <v>0</v>
      </c>
      <c r="BI60" s="997">
        <f t="shared" si="38"/>
        <v>0</v>
      </c>
      <c r="BJ60" s="997">
        <f t="shared" si="39"/>
        <v>0</v>
      </c>
      <c r="BK60" s="997">
        <f t="shared" si="40"/>
        <v>0</v>
      </c>
      <c r="BL60" s="997">
        <f t="shared" si="47"/>
        <v>0</v>
      </c>
      <c r="BM60" s="997">
        <f t="shared" si="48"/>
        <v>0</v>
      </c>
      <c r="BN60" s="997">
        <f t="shared" si="49"/>
        <v>0</v>
      </c>
      <c r="BO60" s="997">
        <f t="shared" si="41"/>
        <v>0</v>
      </c>
      <c r="BP60" s="997">
        <f t="shared" si="50"/>
        <v>0</v>
      </c>
      <c r="BS60">
        <f t="shared" si="51"/>
        <v>0</v>
      </c>
      <c r="BT60">
        <f t="shared" si="52"/>
        <v>0</v>
      </c>
      <c r="BU60">
        <f t="shared" si="53"/>
        <v>0</v>
      </c>
      <c r="BV60">
        <f t="shared" si="42"/>
        <v>0</v>
      </c>
      <c r="BW60">
        <f t="shared" si="54"/>
        <v>0</v>
      </c>
      <c r="BY60" s="997">
        <f t="shared" si="55"/>
        <v>0</v>
      </c>
      <c r="BZ60" s="997">
        <f t="shared" si="56"/>
        <v>0</v>
      </c>
      <c r="CA60" s="997">
        <f t="shared" si="57"/>
        <v>0</v>
      </c>
      <c r="CB60" s="997">
        <f t="shared" si="43"/>
        <v>0</v>
      </c>
      <c r="CC60" s="997">
        <f t="shared" si="58"/>
        <v>0</v>
      </c>
      <c r="CD60" s="997">
        <f t="shared" si="13"/>
        <v>0</v>
      </c>
      <c r="CE60" s="997">
        <f t="shared" si="14"/>
        <v>0</v>
      </c>
      <c r="CF60" s="997">
        <f t="shared" si="15"/>
        <v>0</v>
      </c>
      <c r="CG60" s="997">
        <f t="shared" si="16"/>
        <v>0</v>
      </c>
      <c r="CH60" s="997">
        <f t="shared" si="17"/>
        <v>0</v>
      </c>
      <c r="CI60" s="997">
        <f t="shared" si="18"/>
        <v>0</v>
      </c>
      <c r="CJ60" s="997">
        <f t="shared" si="19"/>
        <v>0</v>
      </c>
      <c r="CK60" s="997"/>
      <c r="CL60" s="997"/>
      <c r="CM60" s="997">
        <f t="shared" si="59"/>
        <v>0</v>
      </c>
      <c r="CN60" s="997">
        <f t="shared" si="60"/>
        <v>0</v>
      </c>
      <c r="CO60" s="997">
        <f t="shared" si="61"/>
        <v>0</v>
      </c>
      <c r="CP60" s="997">
        <f t="shared" si="44"/>
        <v>0</v>
      </c>
      <c r="CQ60" s="997">
        <f t="shared" si="62"/>
        <v>0</v>
      </c>
      <c r="CR60" s="997">
        <f>IFERROR(VLOOKUP($B60,SchumeiBituahYesodi!$C$6:$AA$100,8,FALSE),0)</f>
        <v>0</v>
      </c>
      <c r="CS60" s="997">
        <f>IFERROR(VLOOKUP($B60,PirteiKisuiBeMutzar_procerur!$C$6:$AA$100,2,FALSE),0)</f>
        <v>0</v>
      </c>
      <c r="CT60" s="997">
        <f>IFERROR(VLOOKUP($B60,PirteiKisuiBeMutzar_procerur!$C$6:$AA$100,3,FALSE),0)</f>
        <v>0</v>
      </c>
      <c r="CU60" s="997">
        <f>IFERROR(VLOOKUP($B60,PirteiKisuiBeMutzar_procerur!$C$6:$AA$100,4,FALSE),0)</f>
        <v>0</v>
      </c>
      <c r="CV60" s="997">
        <f>IFERROR(VLOOKUP($B60,PirteiKisuiBeMutzar_procerur!$C$6:$AA$100,5,FALSE),0)</f>
        <v>0</v>
      </c>
      <c r="CW60" s="997">
        <f>IFERROR(VLOOKUP($B60,PirteiKisuiBeMutzar_procerur!$C$6:$AA$100,6,FALSE),0)</f>
        <v>0</v>
      </c>
      <c r="CX60" s="997">
        <f>IFERROR(VLOOKUP($B60,PirteiKisuiBeMutzar_procerur!$C$6:$AA$100,7,FALSE),0)</f>
        <v>0</v>
      </c>
      <c r="CY60" s="997">
        <f>IFERROR(VLOOKUP($B60,PirteiKisuiBeMutzar_procerur!$C$6:$AA$100,8,FALSE),0)</f>
        <v>0</v>
      </c>
      <c r="CZ60" s="997">
        <f>IFERROR(VLOOKUP($B60,PirteiKisuiBeMutzar_procerur!$C$6:$AA$100,9,FALSE),0)</f>
        <v>0</v>
      </c>
      <c r="DA60" s="997">
        <f>IFERROR(VLOOKUP($B60,PirteiKisuiBeMutzar_procerur!$C$6:$AA$100,10,FALSE),0)</f>
        <v>0</v>
      </c>
      <c r="DB60" s="997">
        <f>IFERROR(VLOOKUP($B60,PirteiKisuiBeMutzar_procerur!$C$6:$AA$100,11,FALSE),0)</f>
        <v>0</v>
      </c>
      <c r="DC60" s="997">
        <f>IFERROR(VLOOKUP($B60,PirteiKisuiBeMutzarPrmia!$C$6:$Z$100,2,FALSE),0)</f>
        <v>0</v>
      </c>
      <c r="DD60" s="997">
        <f>IFERROR(VLOOKUP($B60,PirteiKisuiBeMutzarPrmia!$C$6:$Z$100,3,FALSE),0)</f>
        <v>0</v>
      </c>
      <c r="DE60" s="997">
        <f>IFERROR(VLOOKUP($B60,PirteiKisuiBeMutzarPrmia!$C$6:$Z$100,4,FALSE),0)</f>
        <v>0</v>
      </c>
      <c r="DF60" s="997">
        <f>IFERROR(VLOOKUP($B60,PirteiKisuiBeMutzarPrmia!$C$6:$Z$100,5,FALSE),0)</f>
        <v>0</v>
      </c>
      <c r="DG60" s="997">
        <f>IFERROR(VLOOKUP($B60,PirteiKisuiBeMutzarPrmia!$C$6:$Z$100,6,FALSE),0)</f>
        <v>0</v>
      </c>
      <c r="DH60" s="997">
        <f>IFERROR(VLOOKUP($B60,PirteiKisuiBeMutzarPrmia!$C$6:$Z$100,7,FALSE),0)</f>
        <v>0</v>
      </c>
      <c r="DI60" s="997">
        <f>IFERROR(VLOOKUP($B60,PirteiKisuiBeMutzarPrmia!$C$6:$Z$100,8,FALSE),0)</f>
        <v>0</v>
      </c>
      <c r="DJ60" s="997">
        <f>IFERROR(VLOOKUP($B60,PirteiKisuiBeMutzarPrmia!$C$6:$Z$100,9,FALSE),0)</f>
        <v>0</v>
      </c>
      <c r="DK60" s="997">
        <f>IFERROR(VLOOKUP($B60,PirteiKisuiBeMutzarPrmia!$C$6:$Z$100,10,FALSE),0)</f>
        <v>0</v>
      </c>
      <c r="DL60" s="997">
        <f>IFERROR(VLOOKUP($B60,PirteiKisuiBeMutzarPrmia!$C$6:$Z$100,11,FALSE),0)</f>
        <v>0</v>
      </c>
      <c r="DM60" s="997">
        <f t="shared" si="66"/>
        <v>0</v>
      </c>
      <c r="DN60" s="997">
        <f t="shared" si="63"/>
        <v>0</v>
      </c>
      <c r="DO60" s="997">
        <f t="shared" si="64"/>
        <v>0</v>
      </c>
      <c r="DP60" s="997">
        <f t="shared" si="67"/>
        <v>0</v>
      </c>
      <c r="DQ60" s="997">
        <f t="shared" si="65"/>
        <v>0</v>
      </c>
      <c r="DR60" s="997">
        <f>IF(OR(L60=1,L60=3),IFERROR(VLOOKUP($B60,PerutHafkadotMetchilatShanaAvgM!$C$6:$G$100,3,FALSE),0),0)</f>
        <v>0</v>
      </c>
      <c r="DS60" s="997">
        <f>IF(OR(L60=2,L60=4),IFERROR(VLOOKUP($B60,PerutHafkadotMetchilatShanaAvgM!$C$6:$G$100,3,FALSE),0),0)</f>
        <v>0</v>
      </c>
      <c r="DT60" s="997">
        <f>IFERROR(VLOOKUP($B60,PerutHafkadotMetchilatShanaAvgM!$C$6:$G$100,4,FALSE),0)</f>
        <v>0</v>
      </c>
      <c r="DU60" s="997">
        <f>IFERROR(VLOOKUP($B60,Kupa!$D$6:$AA$100,5,FALSE),0)</f>
        <v>0</v>
      </c>
      <c r="DV60" s="997">
        <f>IFERROR(VLOOKUP($B60,Kupa!$D$6:$AA$100,6,FALSE),0)</f>
        <v>0</v>
      </c>
      <c r="DW60" s="997">
        <f>IFERROR(VLOOKUP($B60,KisuiBKerenPensiaDBWithParams!$D$6:$AP$100,9,FALSE),0)</f>
        <v>0</v>
      </c>
      <c r="DX60" s="997">
        <f>IFERROR(VLOOKUP($B60,KisuiBKerenPensiaDBWithParams!$D$6:$AP$100,12,FALSE),0)</f>
        <v>0</v>
      </c>
      <c r="DY60" s="997">
        <f>IFERROR(VLOOKUP($B60,KisuiBKerenPensiaDBWithParams!$D$6:$AP$100,13,FALSE),0)</f>
        <v>0</v>
      </c>
      <c r="DZ60" s="997">
        <f>IFERROR(VLOOKUP($B60,KisuiBKerenPensiaDBWithParams!$D$6:$AP$100,7,FALSE),0)</f>
        <v>0</v>
      </c>
      <c r="EA60" s="997">
        <f>IFERROR(VLOOKUP($B60,KisuiBKerenPensiaDBWithParams!$D$6:$AP$100,17,FALSE),0)</f>
        <v>0</v>
      </c>
      <c r="EB60" s="997">
        <f>IFERROR(VLOOKUP($B60,KisuiBKerenPensiaDBWithParams!$D$6:$AP$100,20,FALSE),0)</f>
        <v>0</v>
      </c>
      <c r="EC60" s="997">
        <f>IFERROR(VLOOKUP($B60,KisuiBKerenPensiaDBWithParams!$D$6:$AP$100,21,FALSE),0)</f>
        <v>0</v>
      </c>
      <c r="ED60" s="997">
        <f t="shared" si="45"/>
        <v>0</v>
      </c>
      <c r="EE60" s="997"/>
      <c r="EF60" s="1020">
        <f>IFERROR(VLOOKUP($B60,KisuiBKerenPensiaDBWithParams!$D$6:$AP$100,21,FALSE),0)</f>
        <v>0</v>
      </c>
      <c r="EG60" s="1020">
        <f>IFERROR(VLOOKUP($B60,KisuiBKerenPensiaDBWithParams!$D$6:$AP$100,21,FALSE),0)</f>
        <v>0</v>
      </c>
      <c r="EH60">
        <f>IF(OR(G60=MyData!$J$51,G60=MyData!$J$52,G60=MyData!$J$53),1,IF(G60=MyData!$J$50,2,0))</f>
        <v>0</v>
      </c>
      <c r="EI60">
        <f>IFERROR(VLOOKUP($B60,CrosstabPerutYitrotDB!$C$6:$N$50,3,FALSE),0)</f>
        <v>0</v>
      </c>
      <c r="EJ60">
        <f>IFERROR(VLOOKUP($B60,CrosstabPerutYitrotDB!$C$6:$N$50,4,FALSE),0)</f>
        <v>0</v>
      </c>
      <c r="EK60">
        <f>IFERROR(VLOOKUP($B60,CrosstabPerutYitrotDB!$C$6:$N$50,5,FALSE),0)</f>
        <v>0</v>
      </c>
      <c r="EL60">
        <f>IFERROR(VLOOKUP($B60,CrosstabPerutYitrotDB!$C$6:$N$50,6,FALSE),0)</f>
        <v>0</v>
      </c>
      <c r="EM60">
        <f>IFERROR(VLOOKUP($B60,CrosstabPerutYitrotDB!$C$6:$N$50,7,FALSE),0)</f>
        <v>0</v>
      </c>
      <c r="EN60">
        <f>IFERROR(VLOOKUP($B60,CrosstabPerutYitrotDB!$C$6:$N$50,8,FALSE),0)</f>
        <v>0</v>
      </c>
      <c r="EO60">
        <f>IFERROR(VLOOKUP($B60,CrosstabPerutYitrotDB!$C$6:$N$50,9,FALSE),0)</f>
        <v>0</v>
      </c>
      <c r="EP60">
        <f>IFERROR(VLOOKUP($B60,CrosstabPerutYitrotDB!$C$6:$N$50,10,FALSE),0)</f>
        <v>0</v>
      </c>
      <c r="EQ60">
        <f>IFERROR(VLOOKUP($B60,CrosstabPerutYitrotDB!$C$6:$N$50,11,FALSE),0)</f>
        <v>0</v>
      </c>
    </row>
    <row r="61" spans="1:147" x14ac:dyDescent="0.2">
      <c r="A61">
        <f t="shared" si="46"/>
        <v>0</v>
      </c>
      <c r="B61" s="20">
        <f>RicusPolice!E58</f>
        <v>0</v>
      </c>
      <c r="C61" s="20">
        <f>RicusPolice!AL58</f>
        <v>0</v>
      </c>
      <c r="D61" s="20">
        <f>RicusPolice!F58</f>
        <v>0</v>
      </c>
      <c r="E61" s="20">
        <f>RicusPolice!R58</f>
        <v>0</v>
      </c>
      <c r="F61" s="20">
        <f>RicusPolice!N58</f>
        <v>0</v>
      </c>
      <c r="G61" s="20">
        <f>IFERROR(VLOOKUP($B61,PerutYitrot!$D$6:$P$100,4,FALSE),0)</f>
        <v>0</v>
      </c>
      <c r="H61" s="20">
        <f t="shared" si="29"/>
        <v>0</v>
      </c>
      <c r="I61" s="20">
        <f>RicusPolice!L58</f>
        <v>0</v>
      </c>
      <c r="J61" s="179">
        <f>IFERROR(VLOOKUP(TRIM(K61),MyData!$J$44:$K$50,2,FALSE),0)</f>
        <v>0</v>
      </c>
      <c r="K61" s="20">
        <f>RicusPolice!M58</f>
        <v>0</v>
      </c>
      <c r="L61" s="20">
        <f>RicusPolice!AM58</f>
        <v>0</v>
      </c>
      <c r="M61" s="20" t="str">
        <f>IF(B61&gt;0,RicusPolice!Y58," ")</f>
        <v xml:space="preserve"> </v>
      </c>
      <c r="N61" s="20" t="str">
        <f t="shared" si="30"/>
        <v/>
      </c>
      <c r="O61" s="20">
        <f>RicusPolice!N58</f>
        <v>0</v>
      </c>
      <c r="P61" s="20">
        <f>IFERROR(VLOOKUP(B61,PerutMasluleiHashkaa!$D$6:$R$100,4,FALSE),0)</f>
        <v>0</v>
      </c>
      <c r="Q61" s="19"/>
      <c r="R61" s="1011" t="str">
        <f>IF(B61&gt;0,RicusPolice!P60," ")</f>
        <v xml:space="preserve"> </v>
      </c>
      <c r="S61" s="20">
        <f>IFERROR(VLOOKUP($B61,'נתונים ידניים'!$B$9:$G$51,6,FALSE),0)</f>
        <v>0</v>
      </c>
      <c r="T61" s="21">
        <f>'נתונים ידניים'!J62</f>
        <v>0</v>
      </c>
      <c r="U61" s="21">
        <f>'נתונים ידניים'!K62</f>
        <v>0</v>
      </c>
      <c r="V61" s="20">
        <f>IFERROR(VLOOKUP($B61,PerutHafrashotLePolisa!$D$6:$N$50,2,FALSE),0)</f>
        <v>0</v>
      </c>
      <c r="W61" s="20">
        <f>IFERROR(VLOOKUP($B61,PerutHafrashotLePolisa!$D$6:$N$50,4,FALSE),0)</f>
        <v>0</v>
      </c>
      <c r="X61" s="20">
        <f>IFERROR(VLOOKUP($B61,PerutHafrashotLePolisa!$D$6:$N$50,3,FALSE),0)</f>
        <v>0</v>
      </c>
      <c r="Y61">
        <f t="shared" si="31"/>
        <v>0</v>
      </c>
      <c r="Z61">
        <f>RicusPolice!AP58</f>
        <v>0</v>
      </c>
      <c r="AA61">
        <f>IFERROR(VLOOKUP(B61,PirteiHaasaka!$D$6:$R$100,5,FALSE),0)</f>
        <v>0</v>
      </c>
      <c r="AC61">
        <f>IFERROR(VLOOKUP(B61,HafkadotMetchilatShanaAverages!$D$6:$E$100,2,FALSE),0)</f>
        <v>0</v>
      </c>
      <c r="AF61">
        <f>'נתונים ידניים'!L62</f>
        <v>0</v>
      </c>
      <c r="AG61">
        <f>IFERROR(VLOOKUP(B61,CrossTabYitraLeTkufa_till_2000!$D$6:$AB$100,6,FALSE),0)+IFERROR(VLOOKUP(B61,CrossTabYitraLeTkufa_after_2000!$D$6:$AB$100,6,FALSE),0)</f>
        <v>0</v>
      </c>
      <c r="AH61">
        <f>IFERROR(VLOOKUP(B61,CrossTabYitraLeTkufa_till_2000!$D$6:$AB$100,16,FALSE),0)</f>
        <v>0</v>
      </c>
      <c r="AI61">
        <f>IFERROR(VLOOKUP(B61,CrossTabYitraLeTkufa_after_2000!$D$6:$AB$100,16,FALSE),0)</f>
        <v>0</v>
      </c>
      <c r="AJ61">
        <f>IFERROR(VLOOKUP(B61,CrossTabYitraLeTkufa_till_2000!$D$6:$AB$100,17,FALSE),0)</f>
        <v>0</v>
      </c>
      <c r="AK61">
        <f>IFERROR(VLOOKUP(B61,CrossTabYitraLeTkufa_after_2000!$D$6:$AB$100,17,FALSE),0)</f>
        <v>0</v>
      </c>
      <c r="AL61" s="5">
        <f t="shared" si="32"/>
        <v>0</v>
      </c>
      <c r="AO61">
        <f>IFERROR(VLOOKUP(B61,PirteiKisuiBeMutzar_procerur!$C$6:$AA$100,2,FALSE),0)</f>
        <v>0</v>
      </c>
      <c r="AQ61">
        <f>IFERROR(VLOOKUP($B61,PirteiKisuiBeMutzar_procerur!$C$6:$AA$100,5,FALSE),0)</f>
        <v>0</v>
      </c>
      <c r="AR61">
        <f>IFERROR(VLOOKUP($B61,PirteiKisuiBeMutzar_procerur!$C$6:$AA$100,3,FALSE),0)</f>
        <v>0</v>
      </c>
      <c r="AS61">
        <f>IFERROR(VLOOKUP($B61,PirteiKisuiBeMutzar_procerur!$C$6:$AA$100,6,FALSE),0)</f>
        <v>0</v>
      </c>
      <c r="AT61">
        <f>IFERROR(VLOOKUP($B61,PirteiKisuiBeMutzar_procerur!$C$6:$AA$100,7,FALSE),0)</f>
        <v>0</v>
      </c>
      <c r="AX61" s="997">
        <f t="shared" si="33"/>
        <v>0</v>
      </c>
      <c r="AY61" s="997">
        <f t="shared" si="34"/>
        <v>0</v>
      </c>
      <c r="AZ61" s="997">
        <f t="shared" si="35"/>
        <v>0</v>
      </c>
      <c r="BA61" s="997">
        <f>IFERROR(FV(S61/100/12,'נתוני יסוד'!$B$16*12,AX61,AG61)*(-1),0)</f>
        <v>0</v>
      </c>
      <c r="BB61" s="997">
        <f>IFERROR(FV(S61/100/12,'נתוני יסוד'!$B$16*12,0,AH61)*(-1),0)</f>
        <v>0</v>
      </c>
      <c r="BC61" s="997">
        <f>IFERROR(FV(S61/100/12,'נתוני יסוד'!$B$16*12,AY61,AI61)*(-1),0)</f>
        <v>0</v>
      </c>
      <c r="BD61" s="997">
        <f>IFERROR(FV(S61/100/12,'נתוני יסוד'!$B$16*12,0,AJ61)*(-1),0)</f>
        <v>0</v>
      </c>
      <c r="BE61" s="997">
        <f>IFERROR(FV(S61/100/12,'נתוני יסוד'!$B$16*12,AZ61,AK61)*(-1),0)</f>
        <v>0</v>
      </c>
      <c r="BF61" s="997">
        <f t="shared" si="36"/>
        <v>0</v>
      </c>
      <c r="BG61" s="997">
        <f>IFERROR(FV(S61/100/12,'נתוני יסוד'!$B$16*12,AF61,AL61)*(-1),0)</f>
        <v>0</v>
      </c>
      <c r="BH61" s="997">
        <f t="shared" si="37"/>
        <v>0</v>
      </c>
      <c r="BI61" s="997">
        <f t="shared" si="38"/>
        <v>0</v>
      </c>
      <c r="BJ61" s="997">
        <f t="shared" si="39"/>
        <v>0</v>
      </c>
      <c r="BK61" s="997">
        <f t="shared" si="40"/>
        <v>0</v>
      </c>
      <c r="BL61" s="997">
        <f t="shared" si="47"/>
        <v>0</v>
      </c>
      <c r="BM61" s="997">
        <f t="shared" si="48"/>
        <v>0</v>
      </c>
      <c r="BN61" s="997">
        <f t="shared" si="49"/>
        <v>0</v>
      </c>
      <c r="BO61" s="997">
        <f t="shared" si="41"/>
        <v>0</v>
      </c>
      <c r="BP61" s="997">
        <f t="shared" si="50"/>
        <v>0</v>
      </c>
      <c r="BS61">
        <f t="shared" si="51"/>
        <v>0</v>
      </c>
      <c r="BT61">
        <f t="shared" si="52"/>
        <v>0</v>
      </c>
      <c r="BU61">
        <f t="shared" si="53"/>
        <v>0</v>
      </c>
      <c r="BV61">
        <f t="shared" si="42"/>
        <v>0</v>
      </c>
      <c r="BW61">
        <f t="shared" si="54"/>
        <v>0</v>
      </c>
      <c r="BY61" s="997">
        <f t="shared" si="55"/>
        <v>0</v>
      </c>
      <c r="BZ61" s="997">
        <f t="shared" si="56"/>
        <v>0</v>
      </c>
      <c r="CA61" s="997">
        <f t="shared" si="57"/>
        <v>0</v>
      </c>
      <c r="CB61" s="997">
        <f t="shared" si="43"/>
        <v>0</v>
      </c>
      <c r="CC61" s="997">
        <f t="shared" si="58"/>
        <v>0</v>
      </c>
      <c r="CD61" s="997">
        <f t="shared" si="13"/>
        <v>0</v>
      </c>
      <c r="CE61" s="997">
        <f t="shared" si="14"/>
        <v>0</v>
      </c>
      <c r="CF61" s="997">
        <f t="shared" si="15"/>
        <v>0</v>
      </c>
      <c r="CG61" s="997">
        <f t="shared" si="16"/>
        <v>0</v>
      </c>
      <c r="CH61" s="997">
        <f t="shared" si="17"/>
        <v>0</v>
      </c>
      <c r="CI61" s="997">
        <f t="shared" si="18"/>
        <v>0</v>
      </c>
      <c r="CJ61" s="997">
        <f t="shared" si="19"/>
        <v>0</v>
      </c>
      <c r="CK61" s="997"/>
      <c r="CL61" s="997"/>
      <c r="CM61" s="997">
        <f t="shared" si="59"/>
        <v>0</v>
      </c>
      <c r="CN61" s="997">
        <f t="shared" si="60"/>
        <v>0</v>
      </c>
      <c r="CO61" s="997">
        <f t="shared" si="61"/>
        <v>0</v>
      </c>
      <c r="CP61" s="997">
        <f t="shared" si="44"/>
        <v>0</v>
      </c>
      <c r="CQ61" s="997">
        <f t="shared" si="62"/>
        <v>0</v>
      </c>
      <c r="CR61" s="997">
        <f>IFERROR(VLOOKUP($B61,SchumeiBituahYesodi!$C$6:$AA$100,8,FALSE),0)</f>
        <v>0</v>
      </c>
      <c r="CS61" s="997">
        <f>IFERROR(VLOOKUP($B61,PirteiKisuiBeMutzar_procerur!$C$6:$AA$100,2,FALSE),0)</f>
        <v>0</v>
      </c>
      <c r="CT61" s="997">
        <f>IFERROR(VLOOKUP($B61,PirteiKisuiBeMutzar_procerur!$C$6:$AA$100,3,FALSE),0)</f>
        <v>0</v>
      </c>
      <c r="CU61" s="997">
        <f>IFERROR(VLOOKUP($B61,PirteiKisuiBeMutzar_procerur!$C$6:$AA$100,4,FALSE),0)</f>
        <v>0</v>
      </c>
      <c r="CV61" s="997">
        <f>IFERROR(VLOOKUP($B61,PirteiKisuiBeMutzar_procerur!$C$6:$AA$100,5,FALSE),0)</f>
        <v>0</v>
      </c>
      <c r="CW61" s="997">
        <f>IFERROR(VLOOKUP($B61,PirteiKisuiBeMutzar_procerur!$C$6:$AA$100,6,FALSE),0)</f>
        <v>0</v>
      </c>
      <c r="CX61" s="997">
        <f>IFERROR(VLOOKUP($B61,PirteiKisuiBeMutzar_procerur!$C$6:$AA$100,7,FALSE),0)</f>
        <v>0</v>
      </c>
      <c r="CY61" s="997">
        <f>IFERROR(VLOOKUP($B61,PirteiKisuiBeMutzar_procerur!$C$6:$AA$100,8,FALSE),0)</f>
        <v>0</v>
      </c>
      <c r="CZ61" s="997">
        <f>IFERROR(VLOOKUP($B61,PirteiKisuiBeMutzar_procerur!$C$6:$AA$100,9,FALSE),0)</f>
        <v>0</v>
      </c>
      <c r="DA61" s="997">
        <f>IFERROR(VLOOKUP($B61,PirteiKisuiBeMutzar_procerur!$C$6:$AA$100,10,FALSE),0)</f>
        <v>0</v>
      </c>
      <c r="DB61" s="997">
        <f>IFERROR(VLOOKUP($B61,PirteiKisuiBeMutzar_procerur!$C$6:$AA$100,11,FALSE),0)</f>
        <v>0</v>
      </c>
      <c r="DC61" s="997">
        <f>IFERROR(VLOOKUP($B61,PirteiKisuiBeMutzarPrmia!$C$6:$Z$100,2,FALSE),0)</f>
        <v>0</v>
      </c>
      <c r="DD61" s="997">
        <f>IFERROR(VLOOKUP($B61,PirteiKisuiBeMutzarPrmia!$C$6:$Z$100,3,FALSE),0)</f>
        <v>0</v>
      </c>
      <c r="DE61" s="997">
        <f>IFERROR(VLOOKUP($B61,PirteiKisuiBeMutzarPrmia!$C$6:$Z$100,4,FALSE),0)</f>
        <v>0</v>
      </c>
      <c r="DF61" s="997">
        <f>IFERROR(VLOOKUP($B61,PirteiKisuiBeMutzarPrmia!$C$6:$Z$100,5,FALSE),0)</f>
        <v>0</v>
      </c>
      <c r="DG61" s="997">
        <f>IFERROR(VLOOKUP($B61,PirteiKisuiBeMutzarPrmia!$C$6:$Z$100,6,FALSE),0)</f>
        <v>0</v>
      </c>
      <c r="DH61" s="997">
        <f>IFERROR(VLOOKUP($B61,PirteiKisuiBeMutzarPrmia!$C$6:$Z$100,7,FALSE),0)</f>
        <v>0</v>
      </c>
      <c r="DI61" s="997">
        <f>IFERROR(VLOOKUP($B61,PirteiKisuiBeMutzarPrmia!$C$6:$Z$100,8,FALSE),0)</f>
        <v>0</v>
      </c>
      <c r="DJ61" s="997">
        <f>IFERROR(VLOOKUP($B61,PirteiKisuiBeMutzarPrmia!$C$6:$Z$100,9,FALSE),0)</f>
        <v>0</v>
      </c>
      <c r="DK61" s="997">
        <f>IFERROR(VLOOKUP($B61,PirteiKisuiBeMutzarPrmia!$C$6:$Z$100,10,FALSE),0)</f>
        <v>0</v>
      </c>
      <c r="DL61" s="997">
        <f>IFERROR(VLOOKUP($B61,PirteiKisuiBeMutzarPrmia!$C$6:$Z$100,11,FALSE),0)</f>
        <v>0</v>
      </c>
      <c r="DM61" s="997">
        <f t="shared" si="66"/>
        <v>0</v>
      </c>
      <c r="DN61" s="997">
        <f t="shared" si="63"/>
        <v>0</v>
      </c>
      <c r="DO61" s="997">
        <f t="shared" si="64"/>
        <v>0</v>
      </c>
      <c r="DP61" s="997">
        <f t="shared" si="67"/>
        <v>0</v>
      </c>
      <c r="DQ61" s="997">
        <f t="shared" si="65"/>
        <v>0</v>
      </c>
      <c r="DR61" s="997">
        <f>IF(OR(L61=1,L61=3),IFERROR(VLOOKUP($B61,PerutHafkadotMetchilatShanaAvgM!$C$6:$G$100,3,FALSE),0),0)</f>
        <v>0</v>
      </c>
      <c r="DS61" s="997">
        <f>IF(OR(L61=2,L61=4),IFERROR(VLOOKUP($B61,PerutHafkadotMetchilatShanaAvgM!$C$6:$G$100,3,FALSE),0),0)</f>
        <v>0</v>
      </c>
      <c r="DT61" s="997">
        <f>IFERROR(VLOOKUP($B61,PerutHafkadotMetchilatShanaAvgM!$C$6:$G$100,4,FALSE),0)</f>
        <v>0</v>
      </c>
      <c r="DU61" s="997">
        <f>IFERROR(VLOOKUP($B61,Kupa!$D$6:$AA$100,5,FALSE),0)</f>
        <v>0</v>
      </c>
      <c r="DV61" s="997">
        <f>IFERROR(VLOOKUP($B61,Kupa!$D$6:$AA$100,6,FALSE),0)</f>
        <v>0</v>
      </c>
      <c r="DW61" s="997">
        <f>IFERROR(VLOOKUP($B61,KisuiBKerenPensiaDBWithParams!$D$6:$AP$100,9,FALSE),0)</f>
        <v>0</v>
      </c>
      <c r="DX61" s="997">
        <f>IFERROR(VLOOKUP($B61,KisuiBKerenPensiaDBWithParams!$D$6:$AP$100,12,FALSE),0)</f>
        <v>0</v>
      </c>
      <c r="DY61" s="997">
        <f>IFERROR(VLOOKUP($B61,KisuiBKerenPensiaDBWithParams!$D$6:$AP$100,13,FALSE),0)</f>
        <v>0</v>
      </c>
      <c r="DZ61" s="997">
        <f>IFERROR(VLOOKUP($B61,KisuiBKerenPensiaDBWithParams!$D$6:$AP$100,7,FALSE),0)</f>
        <v>0</v>
      </c>
      <c r="EA61" s="997">
        <f>IFERROR(VLOOKUP($B61,KisuiBKerenPensiaDBWithParams!$D$6:$AP$100,17,FALSE),0)</f>
        <v>0</v>
      </c>
      <c r="EB61" s="997">
        <f>IFERROR(VLOOKUP($B61,KisuiBKerenPensiaDBWithParams!$D$6:$AP$100,20,FALSE),0)</f>
        <v>0</v>
      </c>
      <c r="EC61" s="997">
        <f>IFERROR(VLOOKUP($B61,KisuiBKerenPensiaDBWithParams!$D$6:$AP$100,21,FALSE),0)</f>
        <v>0</v>
      </c>
      <c r="ED61" s="997">
        <f t="shared" si="45"/>
        <v>0</v>
      </c>
      <c r="EE61" s="997"/>
      <c r="EF61" s="1020">
        <f>IFERROR(VLOOKUP($B61,KisuiBKerenPensiaDBWithParams!$D$6:$AP$100,21,FALSE),0)</f>
        <v>0</v>
      </c>
      <c r="EG61" s="1020">
        <f>IFERROR(VLOOKUP($B61,KisuiBKerenPensiaDBWithParams!$D$6:$AP$100,21,FALSE),0)</f>
        <v>0</v>
      </c>
      <c r="EH61">
        <f>IF(OR(G61=MyData!$J$51,G61=MyData!$J$52,G61=MyData!$J$53),1,IF(G61=MyData!$J$50,2,0))</f>
        <v>0</v>
      </c>
      <c r="EI61">
        <f>IFERROR(VLOOKUP($B61,CrosstabPerutYitrotDB!$C$6:$N$50,3,FALSE),0)</f>
        <v>0</v>
      </c>
      <c r="EJ61">
        <f>IFERROR(VLOOKUP($B61,CrosstabPerutYitrotDB!$C$6:$N$50,4,FALSE),0)</f>
        <v>0</v>
      </c>
      <c r="EK61">
        <f>IFERROR(VLOOKUP($B61,CrosstabPerutYitrotDB!$C$6:$N$50,5,FALSE),0)</f>
        <v>0</v>
      </c>
      <c r="EL61">
        <f>IFERROR(VLOOKUP($B61,CrosstabPerutYitrotDB!$C$6:$N$50,6,FALSE),0)</f>
        <v>0</v>
      </c>
      <c r="EM61">
        <f>IFERROR(VLOOKUP($B61,CrosstabPerutYitrotDB!$C$6:$N$50,7,FALSE),0)</f>
        <v>0</v>
      </c>
      <c r="EN61">
        <f>IFERROR(VLOOKUP($B61,CrosstabPerutYitrotDB!$C$6:$N$50,8,FALSE),0)</f>
        <v>0</v>
      </c>
      <c r="EO61">
        <f>IFERROR(VLOOKUP($B61,CrosstabPerutYitrotDB!$C$6:$N$50,9,FALSE),0)</f>
        <v>0</v>
      </c>
      <c r="EP61">
        <f>IFERROR(VLOOKUP($B61,CrosstabPerutYitrotDB!$C$6:$N$50,10,FALSE),0)</f>
        <v>0</v>
      </c>
      <c r="EQ61">
        <f>IFERROR(VLOOKUP($B61,CrosstabPerutYitrotDB!$C$6:$N$50,11,FALSE),0)</f>
        <v>0</v>
      </c>
    </row>
    <row r="62" spans="1:147" x14ac:dyDescent="0.2">
      <c r="A62">
        <f t="shared" si="46"/>
        <v>0</v>
      </c>
      <c r="B62" s="20">
        <f>RicusPolice!E59</f>
        <v>0</v>
      </c>
      <c r="C62" s="20">
        <f>RicusPolice!AL59</f>
        <v>0</v>
      </c>
      <c r="D62" s="20">
        <f>RicusPolice!F59</f>
        <v>0</v>
      </c>
      <c r="E62" s="20">
        <f>RicusPolice!R59</f>
        <v>0</v>
      </c>
      <c r="F62" s="20">
        <f>RicusPolice!N59</f>
        <v>0</v>
      </c>
      <c r="G62" s="20">
        <f>IFERROR(VLOOKUP($B62,PerutYitrot!$D$6:$P$100,4,FALSE),0)</f>
        <v>0</v>
      </c>
      <c r="H62" s="20">
        <f t="shared" si="29"/>
        <v>0</v>
      </c>
      <c r="I62" s="20">
        <f>RicusPolice!L59</f>
        <v>0</v>
      </c>
      <c r="J62" s="179">
        <f>IFERROR(VLOOKUP(TRIM(K62),MyData!$J$44:$K$50,2,FALSE),0)</f>
        <v>0</v>
      </c>
      <c r="K62" s="20">
        <f>RicusPolice!M59</f>
        <v>0</v>
      </c>
      <c r="L62" s="20">
        <f>RicusPolice!AM59</f>
        <v>0</v>
      </c>
      <c r="M62" s="20" t="str">
        <f>IF(B62&gt;0,RicusPolice!Y59," ")</f>
        <v xml:space="preserve"> </v>
      </c>
      <c r="N62" s="20" t="str">
        <f t="shared" si="30"/>
        <v/>
      </c>
      <c r="O62" s="20">
        <f>RicusPolice!N59</f>
        <v>0</v>
      </c>
      <c r="P62" s="20">
        <f>IFERROR(VLOOKUP(B62,PerutMasluleiHashkaa!$D$6:$R$100,4,FALSE),0)</f>
        <v>0</v>
      </c>
      <c r="Q62" s="19"/>
      <c r="R62" s="1011" t="str">
        <f>IF(B62&gt;0,RicusPolice!P61," ")</f>
        <v xml:space="preserve"> </v>
      </c>
      <c r="S62" s="20">
        <f>IFERROR(VLOOKUP($B62,'נתונים ידניים'!$B$9:$G$51,6,FALSE),0)</f>
        <v>0</v>
      </c>
      <c r="T62" s="21">
        <f>'נתונים ידניים'!J63</f>
        <v>0</v>
      </c>
      <c r="U62" s="21">
        <f>'נתונים ידניים'!K63</f>
        <v>0</v>
      </c>
      <c r="V62" s="20">
        <f>IFERROR(VLOOKUP($B62,PerutHafrashotLePolisa!$D$6:$N$50,2,FALSE),0)</f>
        <v>0</v>
      </c>
      <c r="W62" s="20">
        <f>IFERROR(VLOOKUP($B62,PerutHafrashotLePolisa!$D$6:$N$50,4,FALSE),0)</f>
        <v>0</v>
      </c>
      <c r="X62" s="20">
        <f>IFERROR(VLOOKUP($B62,PerutHafrashotLePolisa!$D$6:$N$50,3,FALSE),0)</f>
        <v>0</v>
      </c>
      <c r="Y62">
        <f t="shared" si="31"/>
        <v>0</v>
      </c>
      <c r="Z62">
        <f>RicusPolice!AP59</f>
        <v>0</v>
      </c>
      <c r="AA62">
        <f>IFERROR(VLOOKUP(B62,PirteiHaasaka!$D$6:$R$100,5,FALSE),0)</f>
        <v>0</v>
      </c>
      <c r="AC62">
        <f>IFERROR(VLOOKUP(B62,HafkadotMetchilatShanaAverages!$D$6:$E$100,2,FALSE),0)</f>
        <v>0</v>
      </c>
      <c r="AF62">
        <f>'נתונים ידניים'!L63</f>
        <v>0</v>
      </c>
      <c r="AG62">
        <f>IFERROR(VLOOKUP(B62,CrossTabYitraLeTkufa_till_2000!$D$6:$AB$100,6,FALSE),0)+IFERROR(VLOOKUP(B62,CrossTabYitraLeTkufa_after_2000!$D$6:$AB$100,6,FALSE),0)</f>
        <v>0</v>
      </c>
      <c r="AH62">
        <f>IFERROR(VLOOKUP(B62,CrossTabYitraLeTkufa_till_2000!$D$6:$AB$100,16,FALSE),0)</f>
        <v>0</v>
      </c>
      <c r="AI62">
        <f>IFERROR(VLOOKUP(B62,CrossTabYitraLeTkufa_after_2000!$D$6:$AB$100,16,FALSE),0)</f>
        <v>0</v>
      </c>
      <c r="AJ62">
        <f>IFERROR(VLOOKUP(B62,CrossTabYitraLeTkufa_till_2000!$D$6:$AB$100,17,FALSE),0)</f>
        <v>0</v>
      </c>
      <c r="AK62">
        <f>IFERROR(VLOOKUP(B62,CrossTabYitraLeTkufa_after_2000!$D$6:$AB$100,17,FALSE),0)</f>
        <v>0</v>
      </c>
      <c r="AL62" s="5">
        <f t="shared" si="32"/>
        <v>0</v>
      </c>
      <c r="AO62">
        <f>IFERROR(VLOOKUP(B62,PirteiKisuiBeMutzar_procerur!$C$6:$AA$100,2,FALSE),0)</f>
        <v>0</v>
      </c>
      <c r="AQ62">
        <f>IFERROR(VLOOKUP($B62,PirteiKisuiBeMutzar_procerur!$C$6:$AA$100,5,FALSE),0)</f>
        <v>0</v>
      </c>
      <c r="AR62">
        <f>IFERROR(VLOOKUP($B62,PirteiKisuiBeMutzar_procerur!$C$6:$AA$100,3,FALSE),0)</f>
        <v>0</v>
      </c>
      <c r="AS62">
        <f>IFERROR(VLOOKUP($B62,PirteiKisuiBeMutzar_procerur!$C$6:$AA$100,6,FALSE),0)</f>
        <v>0</v>
      </c>
      <c r="AT62">
        <f>IFERROR(VLOOKUP($B62,PirteiKisuiBeMutzar_procerur!$C$6:$AA$100,7,FALSE),0)</f>
        <v>0</v>
      </c>
      <c r="AX62" s="997">
        <f t="shared" si="33"/>
        <v>0</v>
      </c>
      <c r="AY62" s="997">
        <f t="shared" si="34"/>
        <v>0</v>
      </c>
      <c r="AZ62" s="997">
        <f t="shared" si="35"/>
        <v>0</v>
      </c>
      <c r="BA62" s="997">
        <f>IFERROR(FV(S62/100/12,'נתוני יסוד'!$B$16*12,AX62,AG62)*(-1),0)</f>
        <v>0</v>
      </c>
      <c r="BB62" s="997">
        <f>IFERROR(FV(S62/100/12,'נתוני יסוד'!$B$16*12,0,AH62)*(-1),0)</f>
        <v>0</v>
      </c>
      <c r="BC62" s="997">
        <f>IFERROR(FV(S62/100/12,'נתוני יסוד'!$B$16*12,AY62,AI62)*(-1),0)</f>
        <v>0</v>
      </c>
      <c r="BD62" s="997">
        <f>IFERROR(FV(S62/100/12,'נתוני יסוד'!$B$16*12,0,AJ62)*(-1),0)</f>
        <v>0</v>
      </c>
      <c r="BE62" s="997">
        <f>IFERROR(FV(S62/100/12,'נתוני יסוד'!$B$16*12,AZ62,AK62)*(-1),0)</f>
        <v>0</v>
      </c>
      <c r="BF62" s="997">
        <f t="shared" si="36"/>
        <v>0</v>
      </c>
      <c r="BG62" s="997">
        <f>IFERROR(FV(S62/100/12,'נתוני יסוד'!$B$16*12,AF62,AL62)*(-1),0)</f>
        <v>0</v>
      </c>
      <c r="BH62" s="997">
        <f t="shared" si="37"/>
        <v>0</v>
      </c>
      <c r="BI62" s="997">
        <f t="shared" si="38"/>
        <v>0</v>
      </c>
      <c r="BJ62" s="997">
        <f t="shared" si="39"/>
        <v>0</v>
      </c>
      <c r="BK62" s="997">
        <f t="shared" si="40"/>
        <v>0</v>
      </c>
      <c r="BL62" s="997">
        <f t="shared" si="47"/>
        <v>0</v>
      </c>
      <c r="BM62" s="997">
        <f t="shared" si="48"/>
        <v>0</v>
      </c>
      <c r="BN62" s="997">
        <f t="shared" si="49"/>
        <v>0</v>
      </c>
      <c r="BO62" s="997">
        <f t="shared" si="41"/>
        <v>0</v>
      </c>
      <c r="BP62" s="997">
        <f t="shared" si="50"/>
        <v>0</v>
      </c>
      <c r="BS62">
        <f t="shared" si="51"/>
        <v>0</v>
      </c>
      <c r="BT62">
        <f t="shared" si="52"/>
        <v>0</v>
      </c>
      <c r="BU62">
        <f t="shared" si="53"/>
        <v>0</v>
      </c>
      <c r="BV62">
        <f t="shared" si="42"/>
        <v>0</v>
      </c>
      <c r="BW62">
        <f t="shared" si="54"/>
        <v>0</v>
      </c>
      <c r="BY62" s="997">
        <f t="shared" si="55"/>
        <v>0</v>
      </c>
      <c r="BZ62" s="997">
        <f t="shared" si="56"/>
        <v>0</v>
      </c>
      <c r="CA62" s="997">
        <f t="shared" si="57"/>
        <v>0</v>
      </c>
      <c r="CB62" s="997">
        <f t="shared" si="43"/>
        <v>0</v>
      </c>
      <c r="CC62" s="997">
        <f t="shared" si="58"/>
        <v>0</v>
      </c>
      <c r="CD62" s="997">
        <f t="shared" si="13"/>
        <v>0</v>
      </c>
      <c r="CE62" s="997">
        <f t="shared" si="14"/>
        <v>0</v>
      </c>
      <c r="CF62" s="997">
        <f t="shared" si="15"/>
        <v>0</v>
      </c>
      <c r="CG62" s="997">
        <f t="shared" si="16"/>
        <v>0</v>
      </c>
      <c r="CH62" s="997">
        <f t="shared" si="17"/>
        <v>0</v>
      </c>
      <c r="CI62" s="997">
        <f t="shared" si="18"/>
        <v>0</v>
      </c>
      <c r="CJ62" s="997">
        <f t="shared" si="19"/>
        <v>0</v>
      </c>
      <c r="CK62" s="997"/>
      <c r="CL62" s="997"/>
      <c r="CM62" s="997">
        <f t="shared" si="59"/>
        <v>0</v>
      </c>
      <c r="CN62" s="997">
        <f t="shared" si="60"/>
        <v>0</v>
      </c>
      <c r="CO62" s="997">
        <f t="shared" si="61"/>
        <v>0</v>
      </c>
      <c r="CP62" s="997">
        <f t="shared" si="44"/>
        <v>0</v>
      </c>
      <c r="CQ62" s="997">
        <f t="shared" si="62"/>
        <v>0</v>
      </c>
      <c r="CR62" s="997">
        <f>IFERROR(VLOOKUP($B62,SchumeiBituahYesodi!$C$6:$AA$100,8,FALSE),0)</f>
        <v>0</v>
      </c>
      <c r="CS62" s="997">
        <f>IFERROR(VLOOKUP($B62,PirteiKisuiBeMutzar_procerur!$C$6:$AA$100,2,FALSE),0)</f>
        <v>0</v>
      </c>
      <c r="CT62" s="997">
        <f>IFERROR(VLOOKUP($B62,PirteiKisuiBeMutzar_procerur!$C$6:$AA$100,3,FALSE),0)</f>
        <v>0</v>
      </c>
      <c r="CU62" s="997">
        <f>IFERROR(VLOOKUP($B62,PirteiKisuiBeMutzar_procerur!$C$6:$AA$100,4,FALSE),0)</f>
        <v>0</v>
      </c>
      <c r="CV62" s="997">
        <f>IFERROR(VLOOKUP($B62,PirteiKisuiBeMutzar_procerur!$C$6:$AA$100,5,FALSE),0)</f>
        <v>0</v>
      </c>
      <c r="CW62" s="997">
        <f>IFERROR(VLOOKUP($B62,PirteiKisuiBeMutzar_procerur!$C$6:$AA$100,6,FALSE),0)</f>
        <v>0</v>
      </c>
      <c r="CX62" s="997">
        <f>IFERROR(VLOOKUP($B62,PirteiKisuiBeMutzar_procerur!$C$6:$AA$100,7,FALSE),0)</f>
        <v>0</v>
      </c>
      <c r="CY62" s="997">
        <f>IFERROR(VLOOKUP($B62,PirteiKisuiBeMutzar_procerur!$C$6:$AA$100,8,FALSE),0)</f>
        <v>0</v>
      </c>
      <c r="CZ62" s="997">
        <f>IFERROR(VLOOKUP($B62,PirteiKisuiBeMutzar_procerur!$C$6:$AA$100,9,FALSE),0)</f>
        <v>0</v>
      </c>
      <c r="DA62" s="997">
        <f>IFERROR(VLOOKUP($B62,PirteiKisuiBeMutzar_procerur!$C$6:$AA$100,10,FALSE),0)</f>
        <v>0</v>
      </c>
      <c r="DB62" s="997">
        <f>IFERROR(VLOOKUP($B62,PirteiKisuiBeMutzar_procerur!$C$6:$AA$100,11,FALSE),0)</f>
        <v>0</v>
      </c>
      <c r="DC62" s="997">
        <f>IFERROR(VLOOKUP($B62,PirteiKisuiBeMutzarPrmia!$C$6:$Z$100,2,FALSE),0)</f>
        <v>0</v>
      </c>
      <c r="DD62" s="997">
        <f>IFERROR(VLOOKUP($B62,PirteiKisuiBeMutzarPrmia!$C$6:$Z$100,3,FALSE),0)</f>
        <v>0</v>
      </c>
      <c r="DE62" s="997">
        <f>IFERROR(VLOOKUP($B62,PirteiKisuiBeMutzarPrmia!$C$6:$Z$100,4,FALSE),0)</f>
        <v>0</v>
      </c>
      <c r="DF62" s="997">
        <f>IFERROR(VLOOKUP($B62,PirteiKisuiBeMutzarPrmia!$C$6:$Z$100,5,FALSE),0)</f>
        <v>0</v>
      </c>
      <c r="DG62" s="997">
        <f>IFERROR(VLOOKUP($B62,PirteiKisuiBeMutzarPrmia!$C$6:$Z$100,6,FALSE),0)</f>
        <v>0</v>
      </c>
      <c r="DH62" s="997">
        <f>IFERROR(VLOOKUP($B62,PirteiKisuiBeMutzarPrmia!$C$6:$Z$100,7,FALSE),0)</f>
        <v>0</v>
      </c>
      <c r="DI62" s="997">
        <f>IFERROR(VLOOKUP($B62,PirteiKisuiBeMutzarPrmia!$C$6:$Z$100,8,FALSE),0)</f>
        <v>0</v>
      </c>
      <c r="DJ62" s="997">
        <f>IFERROR(VLOOKUP($B62,PirteiKisuiBeMutzarPrmia!$C$6:$Z$100,9,FALSE),0)</f>
        <v>0</v>
      </c>
      <c r="DK62" s="997">
        <f>IFERROR(VLOOKUP($B62,PirteiKisuiBeMutzarPrmia!$C$6:$Z$100,10,FALSE),0)</f>
        <v>0</v>
      </c>
      <c r="DL62" s="997">
        <f>IFERROR(VLOOKUP($B62,PirteiKisuiBeMutzarPrmia!$C$6:$Z$100,11,FALSE),0)</f>
        <v>0</v>
      </c>
      <c r="DM62" s="997">
        <f t="shared" si="66"/>
        <v>0</v>
      </c>
      <c r="DN62" s="997">
        <f t="shared" si="63"/>
        <v>0</v>
      </c>
      <c r="DO62" s="997">
        <f t="shared" si="64"/>
        <v>0</v>
      </c>
      <c r="DP62" s="997">
        <f t="shared" si="67"/>
        <v>0</v>
      </c>
      <c r="DQ62" s="997">
        <f t="shared" si="65"/>
        <v>0</v>
      </c>
      <c r="DR62" s="997">
        <f>IF(OR(L62=1,L62=3),IFERROR(VLOOKUP($B62,PerutHafkadotMetchilatShanaAvgM!$C$6:$G$100,3,FALSE),0),0)</f>
        <v>0</v>
      </c>
      <c r="DS62" s="997">
        <f>IF(OR(L62=2,L62=4),IFERROR(VLOOKUP($B62,PerutHafkadotMetchilatShanaAvgM!$C$6:$G$100,3,FALSE),0),0)</f>
        <v>0</v>
      </c>
      <c r="DT62" s="997">
        <f>IFERROR(VLOOKUP($B62,PerutHafkadotMetchilatShanaAvgM!$C$6:$G$100,4,FALSE),0)</f>
        <v>0</v>
      </c>
      <c r="DU62" s="997">
        <f>IFERROR(VLOOKUP($B62,Kupa!$D$6:$AA$100,5,FALSE),0)</f>
        <v>0</v>
      </c>
      <c r="DV62" s="997">
        <f>IFERROR(VLOOKUP($B62,Kupa!$D$6:$AA$100,6,FALSE),0)</f>
        <v>0</v>
      </c>
      <c r="DW62" s="997">
        <f>IFERROR(VLOOKUP($B62,KisuiBKerenPensiaDBWithParams!$D$6:$AP$100,9,FALSE),0)</f>
        <v>0</v>
      </c>
      <c r="DX62" s="997">
        <f>IFERROR(VLOOKUP($B62,KisuiBKerenPensiaDBWithParams!$D$6:$AP$100,12,FALSE),0)</f>
        <v>0</v>
      </c>
      <c r="DY62" s="997">
        <f>IFERROR(VLOOKUP($B62,KisuiBKerenPensiaDBWithParams!$D$6:$AP$100,13,FALSE),0)</f>
        <v>0</v>
      </c>
      <c r="DZ62" s="997">
        <f>IFERROR(VLOOKUP($B62,KisuiBKerenPensiaDBWithParams!$D$6:$AP$100,7,FALSE),0)</f>
        <v>0</v>
      </c>
      <c r="EA62" s="997">
        <f>IFERROR(VLOOKUP($B62,KisuiBKerenPensiaDBWithParams!$D$6:$AP$100,17,FALSE),0)</f>
        <v>0</v>
      </c>
      <c r="EB62" s="997">
        <f>IFERROR(VLOOKUP($B62,KisuiBKerenPensiaDBWithParams!$D$6:$AP$100,20,FALSE),0)</f>
        <v>0</v>
      </c>
      <c r="EC62" s="997">
        <f>IFERROR(VLOOKUP($B62,KisuiBKerenPensiaDBWithParams!$D$6:$AP$100,21,FALSE),0)</f>
        <v>0</v>
      </c>
      <c r="ED62" s="997">
        <f t="shared" si="45"/>
        <v>0</v>
      </c>
      <c r="EE62" s="997"/>
      <c r="EF62" s="1020">
        <f>IFERROR(VLOOKUP($B62,KisuiBKerenPensiaDBWithParams!$D$6:$AP$100,21,FALSE),0)</f>
        <v>0</v>
      </c>
      <c r="EG62" s="1020">
        <f>IFERROR(VLOOKUP($B62,KisuiBKerenPensiaDBWithParams!$D$6:$AP$100,21,FALSE),0)</f>
        <v>0</v>
      </c>
      <c r="EH62">
        <f>IF(OR(G62=MyData!$J$51,G62=MyData!$J$52,G62=MyData!$J$53),1,IF(G62=MyData!$J$50,2,0))</f>
        <v>0</v>
      </c>
      <c r="EI62">
        <f>IFERROR(VLOOKUP($B62,CrosstabPerutYitrotDB!$C$6:$N$50,3,FALSE),0)</f>
        <v>0</v>
      </c>
      <c r="EJ62">
        <f>IFERROR(VLOOKUP($B62,CrosstabPerutYitrotDB!$C$6:$N$50,4,FALSE),0)</f>
        <v>0</v>
      </c>
      <c r="EK62">
        <f>IFERROR(VLOOKUP($B62,CrosstabPerutYitrotDB!$C$6:$N$50,5,FALSE),0)</f>
        <v>0</v>
      </c>
      <c r="EL62">
        <f>IFERROR(VLOOKUP($B62,CrosstabPerutYitrotDB!$C$6:$N$50,6,FALSE),0)</f>
        <v>0</v>
      </c>
      <c r="EM62">
        <f>IFERROR(VLOOKUP($B62,CrosstabPerutYitrotDB!$C$6:$N$50,7,FALSE),0)</f>
        <v>0</v>
      </c>
      <c r="EN62">
        <f>IFERROR(VLOOKUP($B62,CrosstabPerutYitrotDB!$C$6:$N$50,8,FALSE),0)</f>
        <v>0</v>
      </c>
      <c r="EO62">
        <f>IFERROR(VLOOKUP($B62,CrosstabPerutYitrotDB!$C$6:$N$50,9,FALSE),0)</f>
        <v>0</v>
      </c>
      <c r="EP62">
        <f>IFERROR(VLOOKUP($B62,CrosstabPerutYitrotDB!$C$6:$N$50,10,FALSE),0)</f>
        <v>0</v>
      </c>
      <c r="EQ62">
        <f>IFERROR(VLOOKUP($B62,CrosstabPerutYitrotDB!$C$6:$N$50,11,FALSE),0)</f>
        <v>0</v>
      </c>
    </row>
    <row r="63" spans="1:147" x14ac:dyDescent="0.2">
      <c r="A63">
        <f t="shared" si="46"/>
        <v>0</v>
      </c>
      <c r="B63" s="20">
        <f>RicusPolice!E60</f>
        <v>0</v>
      </c>
      <c r="C63" s="20">
        <f>RicusPolice!AL60</f>
        <v>0</v>
      </c>
      <c r="D63" s="20">
        <f>RicusPolice!F60</f>
        <v>0</v>
      </c>
      <c r="E63" s="20">
        <f>RicusPolice!R60</f>
        <v>0</v>
      </c>
      <c r="F63" s="20">
        <f>RicusPolice!N60</f>
        <v>0</v>
      </c>
      <c r="G63" s="20">
        <f>IFERROR(VLOOKUP($B63,PerutYitrot!$D$6:$P$100,4,FALSE),0)</f>
        <v>0</v>
      </c>
      <c r="H63" s="20">
        <f t="shared" si="29"/>
        <v>0</v>
      </c>
      <c r="I63" s="20">
        <f>RicusPolice!L60</f>
        <v>0</v>
      </c>
      <c r="J63" s="179">
        <f>IFERROR(VLOOKUP(TRIM(K63),MyData!$J$44:$K$50,2,FALSE),0)</f>
        <v>0</v>
      </c>
      <c r="K63" s="20">
        <f>RicusPolice!M60</f>
        <v>0</v>
      </c>
      <c r="L63" s="20">
        <f>RicusPolice!AM60</f>
        <v>0</v>
      </c>
      <c r="M63" s="20" t="str">
        <f>IF(B63&gt;0,RicusPolice!Y60," ")</f>
        <v xml:space="preserve"> </v>
      </c>
      <c r="N63" s="20" t="str">
        <f t="shared" si="30"/>
        <v/>
      </c>
      <c r="O63" s="20">
        <f>RicusPolice!N60</f>
        <v>0</v>
      </c>
      <c r="P63" s="20">
        <f>IFERROR(VLOOKUP(B63,PerutMasluleiHashkaa!$D$6:$R$100,4,FALSE),0)</f>
        <v>0</v>
      </c>
      <c r="Q63" s="19"/>
      <c r="R63" s="1011" t="str">
        <f>IF(B63&gt;0,RicusPolice!P62," ")</f>
        <v xml:space="preserve"> </v>
      </c>
      <c r="S63" s="20">
        <f>IFERROR(VLOOKUP($B63,'נתונים ידניים'!$B$9:$G$51,6,FALSE),0)</f>
        <v>0</v>
      </c>
      <c r="T63" s="21">
        <f>'נתונים ידניים'!J64</f>
        <v>0</v>
      </c>
      <c r="U63" s="21">
        <f>'נתונים ידניים'!K64</f>
        <v>0</v>
      </c>
      <c r="V63" s="20">
        <f>IFERROR(VLOOKUP($B63,PerutHafrashotLePolisa!$D$6:$N$50,2,FALSE),0)</f>
        <v>0</v>
      </c>
      <c r="W63" s="20">
        <f>IFERROR(VLOOKUP($B63,PerutHafrashotLePolisa!$D$6:$N$50,4,FALSE),0)</f>
        <v>0</v>
      </c>
      <c r="X63" s="20">
        <f>IFERROR(VLOOKUP($B63,PerutHafrashotLePolisa!$D$6:$N$50,3,FALSE),0)</f>
        <v>0</v>
      </c>
      <c r="Y63">
        <f t="shared" si="31"/>
        <v>0</v>
      </c>
      <c r="Z63">
        <f>RicusPolice!AP60</f>
        <v>0</v>
      </c>
      <c r="AA63">
        <f>IFERROR(VLOOKUP(B63,PirteiHaasaka!$D$6:$R$100,5,FALSE),0)</f>
        <v>0</v>
      </c>
      <c r="AC63">
        <f>IFERROR(VLOOKUP(B63,HafkadotMetchilatShanaAverages!$D$6:$E$100,2,FALSE),0)</f>
        <v>0</v>
      </c>
      <c r="AF63">
        <f>'נתונים ידניים'!L64</f>
        <v>0</v>
      </c>
      <c r="AG63">
        <f>IFERROR(VLOOKUP(B63,CrossTabYitraLeTkufa_till_2000!$D$6:$AB$100,6,FALSE),0)+IFERROR(VLOOKUP(B63,CrossTabYitraLeTkufa_after_2000!$D$6:$AB$100,6,FALSE),0)</f>
        <v>0</v>
      </c>
      <c r="AH63">
        <f>IFERROR(VLOOKUP(B63,CrossTabYitraLeTkufa_till_2000!$D$6:$AB$100,16,FALSE),0)</f>
        <v>0</v>
      </c>
      <c r="AI63">
        <f>IFERROR(VLOOKUP(B63,CrossTabYitraLeTkufa_after_2000!$D$6:$AB$100,16,FALSE),0)</f>
        <v>0</v>
      </c>
      <c r="AJ63">
        <f>IFERROR(VLOOKUP(B63,CrossTabYitraLeTkufa_till_2000!$D$6:$AB$100,17,FALSE),0)</f>
        <v>0</v>
      </c>
      <c r="AK63">
        <f>IFERROR(VLOOKUP(B63,CrossTabYitraLeTkufa_after_2000!$D$6:$AB$100,17,FALSE),0)</f>
        <v>0</v>
      </c>
      <c r="AL63" s="5">
        <f t="shared" si="32"/>
        <v>0</v>
      </c>
      <c r="AO63">
        <f>IFERROR(VLOOKUP(B63,PirteiKisuiBeMutzar_procerur!$C$6:$AA$100,2,FALSE),0)</f>
        <v>0</v>
      </c>
      <c r="AQ63">
        <f>IFERROR(VLOOKUP($B63,PirteiKisuiBeMutzar_procerur!$C$6:$AA$100,5,FALSE),0)</f>
        <v>0</v>
      </c>
      <c r="AR63">
        <f>IFERROR(VLOOKUP($B63,PirteiKisuiBeMutzar_procerur!$C$6:$AA$100,3,FALSE),0)</f>
        <v>0</v>
      </c>
      <c r="AS63">
        <f>IFERROR(VLOOKUP($B63,PirteiKisuiBeMutzar_procerur!$C$6:$AA$100,6,FALSE),0)</f>
        <v>0</v>
      </c>
      <c r="AT63">
        <f>IFERROR(VLOOKUP($B63,PirteiKisuiBeMutzar_procerur!$C$6:$AA$100,7,FALSE),0)</f>
        <v>0</v>
      </c>
      <c r="AX63" s="997">
        <f t="shared" si="33"/>
        <v>0</v>
      </c>
      <c r="AY63" s="997">
        <f t="shared" si="34"/>
        <v>0</v>
      </c>
      <c r="AZ63" s="997">
        <f t="shared" si="35"/>
        <v>0</v>
      </c>
      <c r="BA63" s="997">
        <f>IFERROR(FV(S63/100/12,'נתוני יסוד'!$B$16*12,AX63,AG63)*(-1),0)</f>
        <v>0</v>
      </c>
      <c r="BB63" s="997">
        <f>IFERROR(FV(S63/100/12,'נתוני יסוד'!$B$16*12,0,AH63)*(-1),0)</f>
        <v>0</v>
      </c>
      <c r="BC63" s="997">
        <f>IFERROR(FV(S63/100/12,'נתוני יסוד'!$B$16*12,AY63,AI63)*(-1),0)</f>
        <v>0</v>
      </c>
      <c r="BD63" s="997">
        <f>IFERROR(FV(S63/100/12,'נתוני יסוד'!$B$16*12,0,AJ63)*(-1),0)</f>
        <v>0</v>
      </c>
      <c r="BE63" s="997">
        <f>IFERROR(FV(S63/100/12,'נתוני יסוד'!$B$16*12,AZ63,AK63)*(-1),0)</f>
        <v>0</v>
      </c>
      <c r="BF63" s="997">
        <f t="shared" si="36"/>
        <v>0</v>
      </c>
      <c r="BG63" s="997">
        <f>IFERROR(FV(S63/100/12,'נתוני יסוד'!$B$16*12,AF63,AL63)*(-1),0)</f>
        <v>0</v>
      </c>
      <c r="BH63" s="997">
        <f t="shared" si="37"/>
        <v>0</v>
      </c>
      <c r="BI63" s="997">
        <f t="shared" si="38"/>
        <v>0</v>
      </c>
      <c r="BJ63" s="997">
        <f t="shared" si="39"/>
        <v>0</v>
      </c>
      <c r="BK63" s="997">
        <f t="shared" si="40"/>
        <v>0</v>
      </c>
      <c r="BL63" s="997">
        <f t="shared" si="47"/>
        <v>0</v>
      </c>
      <c r="BM63" s="997">
        <f t="shared" si="48"/>
        <v>0</v>
      </c>
      <c r="BN63" s="997">
        <f t="shared" si="49"/>
        <v>0</v>
      </c>
      <c r="BO63" s="997">
        <f t="shared" si="41"/>
        <v>0</v>
      </c>
      <c r="BP63" s="997">
        <f t="shared" si="50"/>
        <v>0</v>
      </c>
      <c r="BS63">
        <f t="shared" si="51"/>
        <v>0</v>
      </c>
      <c r="BT63">
        <f t="shared" si="52"/>
        <v>0</v>
      </c>
      <c r="BU63">
        <f t="shared" si="53"/>
        <v>0</v>
      </c>
      <c r="BV63">
        <f t="shared" si="42"/>
        <v>0</v>
      </c>
      <c r="BW63">
        <f t="shared" si="54"/>
        <v>0</v>
      </c>
      <c r="BY63" s="997">
        <f t="shared" si="55"/>
        <v>0</v>
      </c>
      <c r="BZ63" s="997">
        <f t="shared" si="56"/>
        <v>0</v>
      </c>
      <c r="CA63" s="997">
        <f t="shared" si="57"/>
        <v>0</v>
      </c>
      <c r="CB63" s="997">
        <f t="shared" si="43"/>
        <v>0</v>
      </c>
      <c r="CC63" s="997">
        <f t="shared" si="58"/>
        <v>0</v>
      </c>
      <c r="CD63" s="997">
        <f t="shared" si="13"/>
        <v>0</v>
      </c>
      <c r="CE63" s="997">
        <f t="shared" si="14"/>
        <v>0</v>
      </c>
      <c r="CF63" s="997">
        <f t="shared" si="15"/>
        <v>0</v>
      </c>
      <c r="CG63" s="997">
        <f t="shared" si="16"/>
        <v>0</v>
      </c>
      <c r="CH63" s="997">
        <f t="shared" si="17"/>
        <v>0</v>
      </c>
      <c r="CI63" s="997">
        <f t="shared" si="18"/>
        <v>0</v>
      </c>
      <c r="CJ63" s="997">
        <f t="shared" si="19"/>
        <v>0</v>
      </c>
      <c r="CK63" s="997"/>
      <c r="CL63" s="997"/>
      <c r="CM63" s="997">
        <f t="shared" si="59"/>
        <v>0</v>
      </c>
      <c r="CN63" s="997">
        <f t="shared" si="60"/>
        <v>0</v>
      </c>
      <c r="CO63" s="997">
        <f t="shared" si="61"/>
        <v>0</v>
      </c>
      <c r="CP63" s="997">
        <f t="shared" si="44"/>
        <v>0</v>
      </c>
      <c r="CQ63" s="997">
        <f t="shared" si="62"/>
        <v>0</v>
      </c>
      <c r="CR63" s="997">
        <f>IFERROR(VLOOKUP($B63,SchumeiBituahYesodi!$C$6:$AA$100,8,FALSE),0)</f>
        <v>0</v>
      </c>
      <c r="CS63" s="997">
        <f>IFERROR(VLOOKUP($B63,PirteiKisuiBeMutzar_procerur!$C$6:$AA$100,2,FALSE),0)</f>
        <v>0</v>
      </c>
      <c r="CT63" s="997">
        <f>IFERROR(VLOOKUP($B63,PirteiKisuiBeMutzar_procerur!$C$6:$AA$100,3,FALSE),0)</f>
        <v>0</v>
      </c>
      <c r="CU63" s="997">
        <f>IFERROR(VLOOKUP($B63,PirteiKisuiBeMutzar_procerur!$C$6:$AA$100,4,FALSE),0)</f>
        <v>0</v>
      </c>
      <c r="CV63" s="997">
        <f>IFERROR(VLOOKUP($B63,PirteiKisuiBeMutzar_procerur!$C$6:$AA$100,5,FALSE),0)</f>
        <v>0</v>
      </c>
      <c r="CW63" s="997">
        <f>IFERROR(VLOOKUP($B63,PirteiKisuiBeMutzar_procerur!$C$6:$AA$100,6,FALSE),0)</f>
        <v>0</v>
      </c>
      <c r="CX63" s="997">
        <f>IFERROR(VLOOKUP($B63,PirteiKisuiBeMutzar_procerur!$C$6:$AA$100,7,FALSE),0)</f>
        <v>0</v>
      </c>
      <c r="CY63" s="997">
        <f>IFERROR(VLOOKUP($B63,PirteiKisuiBeMutzar_procerur!$C$6:$AA$100,8,FALSE),0)</f>
        <v>0</v>
      </c>
      <c r="CZ63" s="997">
        <f>IFERROR(VLOOKUP($B63,PirteiKisuiBeMutzar_procerur!$C$6:$AA$100,9,FALSE),0)</f>
        <v>0</v>
      </c>
      <c r="DA63" s="997">
        <f>IFERROR(VLOOKUP($B63,PirteiKisuiBeMutzar_procerur!$C$6:$AA$100,10,FALSE),0)</f>
        <v>0</v>
      </c>
      <c r="DB63" s="997">
        <f>IFERROR(VLOOKUP($B63,PirteiKisuiBeMutzar_procerur!$C$6:$AA$100,11,FALSE),0)</f>
        <v>0</v>
      </c>
      <c r="DC63" s="997">
        <f>IFERROR(VLOOKUP($B63,PirteiKisuiBeMutzarPrmia!$C$6:$Z$100,2,FALSE),0)</f>
        <v>0</v>
      </c>
      <c r="DD63" s="997">
        <f>IFERROR(VLOOKUP($B63,PirteiKisuiBeMutzarPrmia!$C$6:$Z$100,3,FALSE),0)</f>
        <v>0</v>
      </c>
      <c r="DE63" s="997">
        <f>IFERROR(VLOOKUP($B63,PirteiKisuiBeMutzarPrmia!$C$6:$Z$100,4,FALSE),0)</f>
        <v>0</v>
      </c>
      <c r="DF63" s="997">
        <f>IFERROR(VLOOKUP($B63,PirteiKisuiBeMutzarPrmia!$C$6:$Z$100,5,FALSE),0)</f>
        <v>0</v>
      </c>
      <c r="DG63" s="997">
        <f>IFERROR(VLOOKUP($B63,PirteiKisuiBeMutzarPrmia!$C$6:$Z$100,6,FALSE),0)</f>
        <v>0</v>
      </c>
      <c r="DH63" s="997">
        <f>IFERROR(VLOOKUP($B63,PirteiKisuiBeMutzarPrmia!$C$6:$Z$100,7,FALSE),0)</f>
        <v>0</v>
      </c>
      <c r="DI63" s="997">
        <f>IFERROR(VLOOKUP($B63,PirteiKisuiBeMutzarPrmia!$C$6:$Z$100,8,FALSE),0)</f>
        <v>0</v>
      </c>
      <c r="DJ63" s="997">
        <f>IFERROR(VLOOKUP($B63,PirteiKisuiBeMutzarPrmia!$C$6:$Z$100,9,FALSE),0)</f>
        <v>0</v>
      </c>
      <c r="DK63" s="997">
        <f>IFERROR(VLOOKUP($B63,PirteiKisuiBeMutzarPrmia!$C$6:$Z$100,10,FALSE),0)</f>
        <v>0</v>
      </c>
      <c r="DL63" s="997">
        <f>IFERROR(VLOOKUP($B63,PirteiKisuiBeMutzarPrmia!$C$6:$Z$100,11,FALSE),0)</f>
        <v>0</v>
      </c>
      <c r="DM63" s="997">
        <f t="shared" si="66"/>
        <v>0</v>
      </c>
      <c r="DN63" s="997">
        <f t="shared" si="63"/>
        <v>0</v>
      </c>
      <c r="DO63" s="997">
        <f t="shared" si="64"/>
        <v>0</v>
      </c>
      <c r="DP63" s="997">
        <f t="shared" si="67"/>
        <v>0</v>
      </c>
      <c r="DQ63" s="997">
        <f t="shared" si="65"/>
        <v>0</v>
      </c>
      <c r="DR63" s="997">
        <f>IF(OR(L63=1,L63=3),IFERROR(VLOOKUP($B63,PerutHafkadotMetchilatShanaAvgM!$C$6:$G$100,3,FALSE),0),0)</f>
        <v>0</v>
      </c>
      <c r="DS63" s="997">
        <f>IF(OR(L63=2,L63=4),IFERROR(VLOOKUP($B63,PerutHafkadotMetchilatShanaAvgM!$C$6:$G$100,3,FALSE),0),0)</f>
        <v>0</v>
      </c>
      <c r="DT63" s="997">
        <f>IFERROR(VLOOKUP($B63,PerutHafkadotMetchilatShanaAvgM!$C$6:$G$100,4,FALSE),0)</f>
        <v>0</v>
      </c>
      <c r="DU63" s="997">
        <f>IFERROR(VLOOKUP($B63,Kupa!$D$6:$AA$100,5,FALSE),0)</f>
        <v>0</v>
      </c>
      <c r="DV63" s="997">
        <f>IFERROR(VLOOKUP($B63,Kupa!$D$6:$AA$100,6,FALSE),0)</f>
        <v>0</v>
      </c>
      <c r="DW63" s="997">
        <f>IFERROR(VLOOKUP($B63,KisuiBKerenPensiaDBWithParams!$D$6:$AP$100,9,FALSE),0)</f>
        <v>0</v>
      </c>
      <c r="DX63" s="997">
        <f>IFERROR(VLOOKUP($B63,KisuiBKerenPensiaDBWithParams!$D$6:$AP$100,12,FALSE),0)</f>
        <v>0</v>
      </c>
      <c r="DY63" s="997">
        <f>IFERROR(VLOOKUP($B63,KisuiBKerenPensiaDBWithParams!$D$6:$AP$100,13,FALSE),0)</f>
        <v>0</v>
      </c>
      <c r="DZ63" s="997">
        <f>IFERROR(VLOOKUP($B63,KisuiBKerenPensiaDBWithParams!$D$6:$AP$100,7,FALSE),0)</f>
        <v>0</v>
      </c>
      <c r="EA63" s="997">
        <f>IFERROR(VLOOKUP($B63,KisuiBKerenPensiaDBWithParams!$D$6:$AP$100,17,FALSE),0)</f>
        <v>0</v>
      </c>
      <c r="EB63" s="997">
        <f>IFERROR(VLOOKUP($B63,KisuiBKerenPensiaDBWithParams!$D$6:$AP$100,20,FALSE),0)</f>
        <v>0</v>
      </c>
      <c r="EC63" s="997">
        <f>IFERROR(VLOOKUP($B63,KisuiBKerenPensiaDBWithParams!$D$6:$AP$100,21,FALSE),0)</f>
        <v>0</v>
      </c>
      <c r="ED63" s="997">
        <f t="shared" si="45"/>
        <v>0</v>
      </c>
      <c r="EE63" s="997"/>
      <c r="EF63" s="1020">
        <f>IFERROR(VLOOKUP($B63,KisuiBKerenPensiaDBWithParams!$D$6:$AP$100,21,FALSE),0)</f>
        <v>0</v>
      </c>
      <c r="EG63" s="1020">
        <f>IFERROR(VLOOKUP($B63,KisuiBKerenPensiaDBWithParams!$D$6:$AP$100,21,FALSE),0)</f>
        <v>0</v>
      </c>
      <c r="EH63">
        <f>IF(OR(G63=MyData!$J$51,G63=MyData!$J$52,G63=MyData!$J$53),1,IF(G63=MyData!$J$50,2,0))</f>
        <v>0</v>
      </c>
      <c r="EI63">
        <f>IFERROR(VLOOKUP($B63,CrosstabPerutYitrotDB!$C$6:$N$50,3,FALSE),0)</f>
        <v>0</v>
      </c>
      <c r="EJ63">
        <f>IFERROR(VLOOKUP($B63,CrosstabPerutYitrotDB!$C$6:$N$50,4,FALSE),0)</f>
        <v>0</v>
      </c>
      <c r="EK63">
        <f>IFERROR(VLOOKUP($B63,CrosstabPerutYitrotDB!$C$6:$N$50,5,FALSE),0)</f>
        <v>0</v>
      </c>
      <c r="EL63">
        <f>IFERROR(VLOOKUP($B63,CrosstabPerutYitrotDB!$C$6:$N$50,6,FALSE),0)</f>
        <v>0</v>
      </c>
      <c r="EM63">
        <f>IFERROR(VLOOKUP($B63,CrosstabPerutYitrotDB!$C$6:$N$50,7,FALSE),0)</f>
        <v>0</v>
      </c>
      <c r="EN63">
        <f>IFERROR(VLOOKUP($B63,CrosstabPerutYitrotDB!$C$6:$N$50,8,FALSE),0)</f>
        <v>0</v>
      </c>
      <c r="EO63">
        <f>IFERROR(VLOOKUP($B63,CrosstabPerutYitrotDB!$C$6:$N$50,9,FALSE),0)</f>
        <v>0</v>
      </c>
      <c r="EP63">
        <f>IFERROR(VLOOKUP($B63,CrosstabPerutYitrotDB!$C$6:$N$50,10,FALSE),0)</f>
        <v>0</v>
      </c>
      <c r="EQ63">
        <f>IFERROR(VLOOKUP($B63,CrosstabPerutYitrotDB!$C$6:$N$50,11,FALSE),0)</f>
        <v>0</v>
      </c>
    </row>
    <row r="64" spans="1:147" x14ac:dyDescent="0.2">
      <c r="A64">
        <f t="shared" si="46"/>
        <v>0</v>
      </c>
      <c r="B64" s="20">
        <f>RicusPolice!E61</f>
        <v>0</v>
      </c>
      <c r="C64" s="20">
        <f>RicusPolice!AL61</f>
        <v>0</v>
      </c>
      <c r="D64" s="20">
        <f>RicusPolice!F61</f>
        <v>0</v>
      </c>
      <c r="E64" s="20">
        <f>RicusPolice!R61</f>
        <v>0</v>
      </c>
      <c r="F64" s="20">
        <f>RicusPolice!N61</f>
        <v>0</v>
      </c>
      <c r="G64" s="20">
        <f>IFERROR(VLOOKUP($B64,PerutYitrot!$D$6:$P$100,4,FALSE),0)</f>
        <v>0</v>
      </c>
      <c r="H64" s="20">
        <f t="shared" si="29"/>
        <v>0</v>
      </c>
      <c r="I64" s="20">
        <f>RicusPolice!L61</f>
        <v>0</v>
      </c>
      <c r="J64" s="179">
        <f>IFERROR(VLOOKUP(TRIM(K64),MyData!$J$44:$K$50,2,FALSE),0)</f>
        <v>0</v>
      </c>
      <c r="K64" s="20">
        <f>RicusPolice!M61</f>
        <v>0</v>
      </c>
      <c r="L64" s="20">
        <f>RicusPolice!AM61</f>
        <v>0</v>
      </c>
      <c r="M64" s="20" t="str">
        <f>IF(B64&gt;0,RicusPolice!Y61," ")</f>
        <v xml:space="preserve"> </v>
      </c>
      <c r="N64" s="20" t="str">
        <f t="shared" si="30"/>
        <v/>
      </c>
      <c r="O64" s="20">
        <f>RicusPolice!N61</f>
        <v>0</v>
      </c>
      <c r="P64" s="20">
        <f>IFERROR(VLOOKUP(B64,PerutMasluleiHashkaa!$D$6:$R$100,4,FALSE),0)</f>
        <v>0</v>
      </c>
      <c r="Q64" s="19"/>
      <c r="R64" s="1011" t="str">
        <f>IF(B64&gt;0,RicusPolice!P63," ")</f>
        <v xml:space="preserve"> </v>
      </c>
      <c r="S64" s="20">
        <f>IFERROR(VLOOKUP($B64,'נתונים ידניים'!$B$9:$G$51,6,FALSE),0)</f>
        <v>0</v>
      </c>
      <c r="T64" s="21">
        <f>'נתונים ידניים'!J65</f>
        <v>0</v>
      </c>
      <c r="U64" s="21">
        <f>'נתונים ידניים'!K65</f>
        <v>0</v>
      </c>
      <c r="V64" s="20">
        <f>IFERROR(VLOOKUP($B64,PerutHafrashotLePolisa!$D$6:$N$50,2,FALSE),0)</f>
        <v>0</v>
      </c>
      <c r="W64" s="20">
        <f>IFERROR(VLOOKUP($B64,PerutHafrashotLePolisa!$D$6:$N$50,4,FALSE),0)</f>
        <v>0</v>
      </c>
      <c r="X64" s="20">
        <f>IFERROR(VLOOKUP($B64,PerutHafrashotLePolisa!$D$6:$N$50,3,FALSE),0)</f>
        <v>0</v>
      </c>
      <c r="Y64">
        <f t="shared" si="31"/>
        <v>0</v>
      </c>
      <c r="Z64">
        <f>RicusPolice!AP61</f>
        <v>0</v>
      </c>
      <c r="AA64">
        <f>IFERROR(VLOOKUP(B64,PirteiHaasaka!$D$6:$R$100,5,FALSE),0)</f>
        <v>0</v>
      </c>
      <c r="AC64">
        <f>IFERROR(VLOOKUP(B64,HafkadotMetchilatShanaAverages!$D$6:$E$100,2,FALSE),0)</f>
        <v>0</v>
      </c>
      <c r="AF64">
        <f>'נתונים ידניים'!L65</f>
        <v>0</v>
      </c>
      <c r="AG64">
        <f>IFERROR(VLOOKUP(B64,CrossTabYitraLeTkufa_till_2000!$D$6:$AB$100,6,FALSE),0)+IFERROR(VLOOKUP(B64,CrossTabYitraLeTkufa_after_2000!$D$6:$AB$100,6,FALSE),0)</f>
        <v>0</v>
      </c>
      <c r="AH64">
        <f>IFERROR(VLOOKUP(B64,CrossTabYitraLeTkufa_till_2000!$D$6:$AB$100,16,FALSE),0)</f>
        <v>0</v>
      </c>
      <c r="AI64">
        <f>IFERROR(VLOOKUP(B64,CrossTabYitraLeTkufa_after_2000!$D$6:$AB$100,16,FALSE),0)</f>
        <v>0</v>
      </c>
      <c r="AJ64">
        <f>IFERROR(VLOOKUP(B64,CrossTabYitraLeTkufa_till_2000!$D$6:$AB$100,17,FALSE),0)</f>
        <v>0</v>
      </c>
      <c r="AK64">
        <f>IFERROR(VLOOKUP(B64,CrossTabYitraLeTkufa_after_2000!$D$6:$AB$100,17,FALSE),0)</f>
        <v>0</v>
      </c>
      <c r="AL64" s="5">
        <f t="shared" si="32"/>
        <v>0</v>
      </c>
      <c r="AO64">
        <f>IFERROR(VLOOKUP(B64,PirteiKisuiBeMutzar_procerur!$C$6:$AA$100,2,FALSE),0)</f>
        <v>0</v>
      </c>
      <c r="AQ64">
        <f>IFERROR(VLOOKUP($B64,PirteiKisuiBeMutzar_procerur!$C$6:$AA$100,5,FALSE),0)</f>
        <v>0</v>
      </c>
      <c r="AR64">
        <f>IFERROR(VLOOKUP($B64,PirteiKisuiBeMutzar_procerur!$C$6:$AA$100,3,FALSE),0)</f>
        <v>0</v>
      </c>
      <c r="AS64">
        <f>IFERROR(VLOOKUP($B64,PirteiKisuiBeMutzar_procerur!$C$6:$AA$100,6,FALSE),0)</f>
        <v>0</v>
      </c>
      <c r="AT64">
        <f>IFERROR(VLOOKUP($B64,PirteiKisuiBeMutzar_procerur!$C$6:$AA$100,7,FALSE),0)</f>
        <v>0</v>
      </c>
      <c r="AX64" s="997">
        <f t="shared" si="33"/>
        <v>0</v>
      </c>
      <c r="AY64" s="997">
        <f t="shared" si="34"/>
        <v>0</v>
      </c>
      <c r="AZ64" s="997">
        <f t="shared" si="35"/>
        <v>0</v>
      </c>
      <c r="BA64" s="997">
        <f>IFERROR(FV(S64/100/12,'נתוני יסוד'!$B$16*12,AX64,AG64)*(-1),0)</f>
        <v>0</v>
      </c>
      <c r="BB64" s="997">
        <f>IFERROR(FV(S64/100/12,'נתוני יסוד'!$B$16*12,0,AH64)*(-1),0)</f>
        <v>0</v>
      </c>
      <c r="BC64" s="997">
        <f>IFERROR(FV(S64/100/12,'נתוני יסוד'!$B$16*12,AY64,AI64)*(-1),0)</f>
        <v>0</v>
      </c>
      <c r="BD64" s="997">
        <f>IFERROR(FV(S64/100/12,'נתוני יסוד'!$B$16*12,0,AJ64)*(-1),0)</f>
        <v>0</v>
      </c>
      <c r="BE64" s="997">
        <f>IFERROR(FV(S64/100/12,'נתוני יסוד'!$B$16*12,AZ64,AK64)*(-1),0)</f>
        <v>0</v>
      </c>
      <c r="BF64" s="997">
        <f t="shared" si="36"/>
        <v>0</v>
      </c>
      <c r="BG64" s="997">
        <f>IFERROR(FV(S64/100/12,'נתוני יסוד'!$B$16*12,AF64,AL64)*(-1),0)</f>
        <v>0</v>
      </c>
      <c r="BH64" s="997">
        <f t="shared" si="37"/>
        <v>0</v>
      </c>
      <c r="BI64" s="997">
        <f t="shared" si="38"/>
        <v>0</v>
      </c>
      <c r="BJ64" s="997">
        <f t="shared" si="39"/>
        <v>0</v>
      </c>
      <c r="BK64" s="997">
        <f t="shared" si="40"/>
        <v>0</v>
      </c>
      <c r="BL64" s="997">
        <f t="shared" si="47"/>
        <v>0</v>
      </c>
      <c r="BM64" s="997">
        <f t="shared" si="48"/>
        <v>0</v>
      </c>
      <c r="BN64" s="997">
        <f t="shared" si="49"/>
        <v>0</v>
      </c>
      <c r="BO64" s="997">
        <f t="shared" si="41"/>
        <v>0</v>
      </c>
      <c r="BP64" s="997">
        <f t="shared" si="50"/>
        <v>0</v>
      </c>
      <c r="BS64">
        <f t="shared" si="51"/>
        <v>0</v>
      </c>
      <c r="BT64">
        <f t="shared" si="52"/>
        <v>0</v>
      </c>
      <c r="BU64">
        <f t="shared" si="53"/>
        <v>0</v>
      </c>
      <c r="BV64">
        <f t="shared" si="42"/>
        <v>0</v>
      </c>
      <c r="BW64">
        <f t="shared" si="54"/>
        <v>0</v>
      </c>
      <c r="BY64" s="997">
        <f t="shared" si="55"/>
        <v>0</v>
      </c>
      <c r="BZ64" s="997">
        <f t="shared" si="56"/>
        <v>0</v>
      </c>
      <c r="CA64" s="997">
        <f t="shared" si="57"/>
        <v>0</v>
      </c>
      <c r="CB64" s="997">
        <f t="shared" si="43"/>
        <v>0</v>
      </c>
      <c r="CC64" s="997">
        <f t="shared" si="58"/>
        <v>0</v>
      </c>
      <c r="CD64" s="997">
        <f t="shared" si="13"/>
        <v>0</v>
      </c>
      <c r="CE64" s="997">
        <f t="shared" si="14"/>
        <v>0</v>
      </c>
      <c r="CF64" s="997">
        <f t="shared" si="15"/>
        <v>0</v>
      </c>
      <c r="CG64" s="997">
        <f t="shared" si="16"/>
        <v>0</v>
      </c>
      <c r="CH64" s="997">
        <f t="shared" si="17"/>
        <v>0</v>
      </c>
      <c r="CI64" s="997">
        <f t="shared" si="18"/>
        <v>0</v>
      </c>
      <c r="CJ64" s="997">
        <f t="shared" si="19"/>
        <v>0</v>
      </c>
      <c r="CK64" s="997"/>
      <c r="CL64" s="997"/>
      <c r="CM64" s="997">
        <f t="shared" si="59"/>
        <v>0</v>
      </c>
      <c r="CN64" s="997">
        <f t="shared" si="60"/>
        <v>0</v>
      </c>
      <c r="CO64" s="997">
        <f t="shared" si="61"/>
        <v>0</v>
      </c>
      <c r="CP64" s="997">
        <f t="shared" si="44"/>
        <v>0</v>
      </c>
      <c r="CQ64" s="997">
        <f t="shared" si="62"/>
        <v>0</v>
      </c>
      <c r="CR64" s="997">
        <f>IFERROR(VLOOKUP($B64,SchumeiBituahYesodi!$C$6:$AA$100,8,FALSE),0)</f>
        <v>0</v>
      </c>
      <c r="CS64" s="997">
        <f>IFERROR(VLOOKUP($B64,PirteiKisuiBeMutzar_procerur!$C$6:$AA$100,2,FALSE),0)</f>
        <v>0</v>
      </c>
      <c r="CT64" s="997">
        <f>IFERROR(VLOOKUP($B64,PirteiKisuiBeMutzar_procerur!$C$6:$AA$100,3,FALSE),0)</f>
        <v>0</v>
      </c>
      <c r="CU64" s="997">
        <f>IFERROR(VLOOKUP($B64,PirteiKisuiBeMutzar_procerur!$C$6:$AA$100,4,FALSE),0)</f>
        <v>0</v>
      </c>
      <c r="CV64" s="997">
        <f>IFERROR(VLOOKUP($B64,PirteiKisuiBeMutzar_procerur!$C$6:$AA$100,5,FALSE),0)</f>
        <v>0</v>
      </c>
      <c r="CW64" s="997">
        <f>IFERROR(VLOOKUP($B64,PirteiKisuiBeMutzar_procerur!$C$6:$AA$100,6,FALSE),0)</f>
        <v>0</v>
      </c>
      <c r="CX64" s="997">
        <f>IFERROR(VLOOKUP($B64,PirteiKisuiBeMutzar_procerur!$C$6:$AA$100,7,FALSE),0)</f>
        <v>0</v>
      </c>
      <c r="CY64" s="997">
        <f>IFERROR(VLOOKUP($B64,PirteiKisuiBeMutzar_procerur!$C$6:$AA$100,8,FALSE),0)</f>
        <v>0</v>
      </c>
      <c r="CZ64" s="997">
        <f>IFERROR(VLOOKUP($B64,PirteiKisuiBeMutzar_procerur!$C$6:$AA$100,9,FALSE),0)</f>
        <v>0</v>
      </c>
      <c r="DA64" s="997">
        <f>IFERROR(VLOOKUP($B64,PirteiKisuiBeMutzar_procerur!$C$6:$AA$100,10,FALSE),0)</f>
        <v>0</v>
      </c>
      <c r="DB64" s="997">
        <f>IFERROR(VLOOKUP($B64,PirteiKisuiBeMutzar_procerur!$C$6:$AA$100,11,FALSE),0)</f>
        <v>0</v>
      </c>
      <c r="DC64" s="997">
        <f>IFERROR(VLOOKUP($B64,PirteiKisuiBeMutzarPrmia!$C$6:$Z$100,2,FALSE),0)</f>
        <v>0</v>
      </c>
      <c r="DD64" s="997">
        <f>IFERROR(VLOOKUP($B64,PirteiKisuiBeMutzarPrmia!$C$6:$Z$100,3,FALSE),0)</f>
        <v>0</v>
      </c>
      <c r="DE64" s="997">
        <f>IFERROR(VLOOKUP($B64,PirteiKisuiBeMutzarPrmia!$C$6:$Z$100,4,FALSE),0)</f>
        <v>0</v>
      </c>
      <c r="DF64" s="997">
        <f>IFERROR(VLOOKUP($B64,PirteiKisuiBeMutzarPrmia!$C$6:$Z$100,5,FALSE),0)</f>
        <v>0</v>
      </c>
      <c r="DG64" s="997">
        <f>IFERROR(VLOOKUP($B64,PirteiKisuiBeMutzarPrmia!$C$6:$Z$100,6,FALSE),0)</f>
        <v>0</v>
      </c>
      <c r="DH64" s="997">
        <f>IFERROR(VLOOKUP($B64,PirteiKisuiBeMutzarPrmia!$C$6:$Z$100,7,FALSE),0)</f>
        <v>0</v>
      </c>
      <c r="DI64" s="997">
        <f>IFERROR(VLOOKUP($B64,PirteiKisuiBeMutzarPrmia!$C$6:$Z$100,8,FALSE),0)</f>
        <v>0</v>
      </c>
      <c r="DJ64" s="997">
        <f>IFERROR(VLOOKUP($B64,PirteiKisuiBeMutzarPrmia!$C$6:$Z$100,9,FALSE),0)</f>
        <v>0</v>
      </c>
      <c r="DK64" s="997">
        <f>IFERROR(VLOOKUP($B64,PirteiKisuiBeMutzarPrmia!$C$6:$Z$100,10,FALSE),0)</f>
        <v>0</v>
      </c>
      <c r="DL64" s="997">
        <f>IFERROR(VLOOKUP($B64,PirteiKisuiBeMutzarPrmia!$C$6:$Z$100,11,FALSE),0)</f>
        <v>0</v>
      </c>
      <c r="DM64" s="997">
        <f t="shared" si="66"/>
        <v>0</v>
      </c>
      <c r="DN64" s="997">
        <f t="shared" si="63"/>
        <v>0</v>
      </c>
      <c r="DO64" s="997">
        <f t="shared" si="64"/>
        <v>0</v>
      </c>
      <c r="DP64" s="997">
        <f t="shared" si="67"/>
        <v>0</v>
      </c>
      <c r="DQ64" s="997">
        <f t="shared" si="65"/>
        <v>0</v>
      </c>
      <c r="DR64" s="997">
        <f>IF(OR(L64=1,L64=3),IFERROR(VLOOKUP($B64,PerutHafkadotMetchilatShanaAvgM!$C$6:$G$100,3,FALSE),0),0)</f>
        <v>0</v>
      </c>
      <c r="DS64" s="997">
        <f>IF(OR(L64=2,L64=4),IFERROR(VLOOKUP($B64,PerutHafkadotMetchilatShanaAvgM!$C$6:$G$100,3,FALSE),0),0)</f>
        <v>0</v>
      </c>
      <c r="DT64" s="997">
        <f>IFERROR(VLOOKUP($B64,PerutHafkadotMetchilatShanaAvgM!$C$6:$G$100,4,FALSE),0)</f>
        <v>0</v>
      </c>
      <c r="DU64" s="997">
        <f>IFERROR(VLOOKUP($B64,Kupa!$D$6:$AA$100,5,FALSE),0)</f>
        <v>0</v>
      </c>
      <c r="DV64" s="997">
        <f>IFERROR(VLOOKUP($B64,Kupa!$D$6:$AA$100,6,FALSE),0)</f>
        <v>0</v>
      </c>
      <c r="DW64" s="997">
        <f>IFERROR(VLOOKUP($B64,KisuiBKerenPensiaDBWithParams!$D$6:$AP$100,9,FALSE),0)</f>
        <v>0</v>
      </c>
      <c r="DX64" s="997">
        <f>IFERROR(VLOOKUP($B64,KisuiBKerenPensiaDBWithParams!$D$6:$AP$100,12,FALSE),0)</f>
        <v>0</v>
      </c>
      <c r="DY64" s="997">
        <f>IFERROR(VLOOKUP($B64,KisuiBKerenPensiaDBWithParams!$D$6:$AP$100,13,FALSE),0)</f>
        <v>0</v>
      </c>
      <c r="DZ64" s="997">
        <f>IFERROR(VLOOKUP($B64,KisuiBKerenPensiaDBWithParams!$D$6:$AP$100,7,FALSE),0)</f>
        <v>0</v>
      </c>
      <c r="EA64" s="997">
        <f>IFERROR(VLOOKUP($B64,KisuiBKerenPensiaDBWithParams!$D$6:$AP$100,17,FALSE),0)</f>
        <v>0</v>
      </c>
      <c r="EB64" s="997">
        <f>IFERROR(VLOOKUP($B64,KisuiBKerenPensiaDBWithParams!$D$6:$AP$100,20,FALSE),0)</f>
        <v>0</v>
      </c>
      <c r="EC64" s="997">
        <f>IFERROR(VLOOKUP($B64,KisuiBKerenPensiaDBWithParams!$D$6:$AP$100,21,FALSE),0)</f>
        <v>0</v>
      </c>
      <c r="ED64" s="997">
        <f t="shared" si="45"/>
        <v>0</v>
      </c>
      <c r="EE64" s="997"/>
      <c r="EF64" s="1020">
        <f>IFERROR(VLOOKUP($B64,KisuiBKerenPensiaDBWithParams!$D$6:$AP$100,21,FALSE),0)</f>
        <v>0</v>
      </c>
      <c r="EG64" s="1020">
        <f>IFERROR(VLOOKUP($B64,KisuiBKerenPensiaDBWithParams!$D$6:$AP$100,21,FALSE),0)</f>
        <v>0</v>
      </c>
      <c r="EH64">
        <f>IF(OR(G64=MyData!$J$51,G64=MyData!$J$52,G64=MyData!$J$53),1,IF(G64=MyData!$J$50,2,0))</f>
        <v>0</v>
      </c>
      <c r="EI64">
        <f>IFERROR(VLOOKUP($B64,CrosstabPerutYitrotDB!$C$6:$N$50,3,FALSE),0)</f>
        <v>0</v>
      </c>
      <c r="EJ64">
        <f>IFERROR(VLOOKUP($B64,CrosstabPerutYitrotDB!$C$6:$N$50,4,FALSE),0)</f>
        <v>0</v>
      </c>
      <c r="EK64">
        <f>IFERROR(VLOOKUP($B64,CrosstabPerutYitrotDB!$C$6:$N$50,5,FALSE),0)</f>
        <v>0</v>
      </c>
      <c r="EL64">
        <f>IFERROR(VLOOKUP($B64,CrosstabPerutYitrotDB!$C$6:$N$50,6,FALSE),0)</f>
        <v>0</v>
      </c>
      <c r="EM64">
        <f>IFERROR(VLOOKUP($B64,CrosstabPerutYitrotDB!$C$6:$N$50,7,FALSE),0)</f>
        <v>0</v>
      </c>
      <c r="EN64">
        <f>IFERROR(VLOOKUP($B64,CrosstabPerutYitrotDB!$C$6:$N$50,8,FALSE),0)</f>
        <v>0</v>
      </c>
      <c r="EO64">
        <f>IFERROR(VLOOKUP($B64,CrosstabPerutYitrotDB!$C$6:$N$50,9,FALSE),0)</f>
        <v>0</v>
      </c>
      <c r="EP64">
        <f>IFERROR(VLOOKUP($B64,CrosstabPerutYitrotDB!$C$6:$N$50,10,FALSE),0)</f>
        <v>0</v>
      </c>
      <c r="EQ64">
        <f>IFERROR(VLOOKUP($B64,CrosstabPerutYitrotDB!$C$6:$N$50,11,FALSE),0)</f>
        <v>0</v>
      </c>
    </row>
    <row r="65" spans="1:147" x14ac:dyDescent="0.2">
      <c r="A65">
        <f t="shared" si="46"/>
        <v>0</v>
      </c>
      <c r="B65" s="20">
        <f>RicusPolice!E62</f>
        <v>0</v>
      </c>
      <c r="C65" s="20">
        <f>RicusPolice!AL62</f>
        <v>0</v>
      </c>
      <c r="D65" s="20">
        <f>RicusPolice!F62</f>
        <v>0</v>
      </c>
      <c r="E65" s="20">
        <f>RicusPolice!R62</f>
        <v>0</v>
      </c>
      <c r="F65" s="20">
        <f>RicusPolice!N62</f>
        <v>0</v>
      </c>
      <c r="G65" s="20">
        <f>IFERROR(VLOOKUP($B65,PerutYitrot!$D$6:$P$100,4,FALSE),0)</f>
        <v>0</v>
      </c>
      <c r="H65" s="20">
        <f t="shared" si="29"/>
        <v>0</v>
      </c>
      <c r="I65" s="20">
        <f>RicusPolice!L62</f>
        <v>0</v>
      </c>
      <c r="J65" s="179">
        <f>IFERROR(VLOOKUP(TRIM(K65),MyData!$J$44:$K$50,2,FALSE),0)</f>
        <v>0</v>
      </c>
      <c r="K65" s="20">
        <f>RicusPolice!M62</f>
        <v>0</v>
      </c>
      <c r="L65" s="20">
        <f>RicusPolice!AM62</f>
        <v>0</v>
      </c>
      <c r="M65" s="20" t="str">
        <f>IF(B65&gt;0,RicusPolice!Y62," ")</f>
        <v xml:space="preserve"> </v>
      </c>
      <c r="N65" s="20" t="str">
        <f t="shared" si="30"/>
        <v/>
      </c>
      <c r="O65" s="20">
        <f>RicusPolice!N62</f>
        <v>0</v>
      </c>
      <c r="P65" s="20">
        <f>IFERROR(VLOOKUP(B65,PerutMasluleiHashkaa!$D$6:$R$100,4,FALSE),0)</f>
        <v>0</v>
      </c>
      <c r="Q65" s="19"/>
      <c r="R65" s="1011" t="str">
        <f>IF(B65&gt;0,RicusPolice!P64," ")</f>
        <v xml:space="preserve"> </v>
      </c>
      <c r="S65" s="20">
        <f>IFERROR(VLOOKUP($B65,'נתונים ידניים'!$B$9:$G$51,6,FALSE),0)</f>
        <v>0</v>
      </c>
      <c r="T65" s="21">
        <f>'נתונים ידניים'!J66</f>
        <v>0</v>
      </c>
      <c r="U65" s="21">
        <f>'נתונים ידניים'!K66</f>
        <v>0</v>
      </c>
      <c r="V65" s="20">
        <f>IFERROR(VLOOKUP($B65,PerutHafrashotLePolisa!$D$6:$N$50,2,FALSE),0)</f>
        <v>0</v>
      </c>
      <c r="W65" s="20">
        <f>IFERROR(VLOOKUP($B65,PerutHafrashotLePolisa!$D$6:$N$50,4,FALSE),0)</f>
        <v>0</v>
      </c>
      <c r="X65" s="20">
        <f>IFERROR(VLOOKUP($B65,PerutHafrashotLePolisa!$D$6:$N$50,3,FALSE),0)</f>
        <v>0</v>
      </c>
      <c r="Y65">
        <f t="shared" si="31"/>
        <v>0</v>
      </c>
      <c r="Z65">
        <f>RicusPolice!AP62</f>
        <v>0</v>
      </c>
      <c r="AA65">
        <f>IFERROR(VLOOKUP(B65,PirteiHaasaka!$D$6:$R$100,5,FALSE),0)</f>
        <v>0</v>
      </c>
      <c r="AC65">
        <f>IFERROR(VLOOKUP(B65,HafkadotMetchilatShanaAverages!$D$6:$E$100,2,FALSE),0)</f>
        <v>0</v>
      </c>
      <c r="AF65">
        <f>'נתונים ידניים'!L66</f>
        <v>0</v>
      </c>
      <c r="AG65">
        <f>IFERROR(VLOOKUP(B65,CrossTabYitraLeTkufa_till_2000!$D$6:$AB$100,6,FALSE),0)+IFERROR(VLOOKUP(B65,CrossTabYitraLeTkufa_after_2000!$D$6:$AB$100,6,FALSE),0)</f>
        <v>0</v>
      </c>
      <c r="AH65">
        <f>IFERROR(VLOOKUP(B65,CrossTabYitraLeTkufa_till_2000!$D$6:$AB$100,16,FALSE),0)</f>
        <v>0</v>
      </c>
      <c r="AI65">
        <f>IFERROR(VLOOKUP(B65,CrossTabYitraLeTkufa_after_2000!$D$6:$AB$100,16,FALSE),0)</f>
        <v>0</v>
      </c>
      <c r="AJ65">
        <f>IFERROR(VLOOKUP(B65,CrossTabYitraLeTkufa_till_2000!$D$6:$AB$100,17,FALSE),0)</f>
        <v>0</v>
      </c>
      <c r="AK65">
        <f>IFERROR(VLOOKUP(B65,CrossTabYitraLeTkufa_after_2000!$D$6:$AB$100,17,FALSE),0)</f>
        <v>0</v>
      </c>
      <c r="AL65" s="5">
        <f t="shared" si="32"/>
        <v>0</v>
      </c>
      <c r="AO65">
        <f>IFERROR(VLOOKUP(B65,PirteiKisuiBeMutzar_procerur!$C$6:$AA$100,2,FALSE),0)</f>
        <v>0</v>
      </c>
      <c r="AQ65">
        <f>IFERROR(VLOOKUP($B65,PirteiKisuiBeMutzar_procerur!$C$6:$AA$100,5,FALSE),0)</f>
        <v>0</v>
      </c>
      <c r="AR65">
        <f>IFERROR(VLOOKUP($B65,PirteiKisuiBeMutzar_procerur!$C$6:$AA$100,3,FALSE),0)</f>
        <v>0</v>
      </c>
      <c r="AS65">
        <f>IFERROR(VLOOKUP($B65,PirteiKisuiBeMutzar_procerur!$C$6:$AA$100,6,FALSE),0)</f>
        <v>0</v>
      </c>
      <c r="AT65">
        <f>IFERROR(VLOOKUP($B65,PirteiKisuiBeMutzar_procerur!$C$6:$AA$100,7,FALSE),0)</f>
        <v>0</v>
      </c>
      <c r="AX65" s="997">
        <f t="shared" si="33"/>
        <v>0</v>
      </c>
      <c r="AY65" s="997">
        <f t="shared" si="34"/>
        <v>0</v>
      </c>
      <c r="AZ65" s="997">
        <f t="shared" si="35"/>
        <v>0</v>
      </c>
      <c r="BA65" s="997">
        <f>IFERROR(FV(S65/100/12,'נתוני יסוד'!$B$16*12,AX65,AG65)*(-1),0)</f>
        <v>0</v>
      </c>
      <c r="BB65" s="997">
        <f>IFERROR(FV(S65/100/12,'נתוני יסוד'!$B$16*12,0,AH65)*(-1),0)</f>
        <v>0</v>
      </c>
      <c r="BC65" s="997">
        <f>IFERROR(FV(S65/100/12,'נתוני יסוד'!$B$16*12,AY65,AI65)*(-1),0)</f>
        <v>0</v>
      </c>
      <c r="BD65" s="997">
        <f>IFERROR(FV(S65/100/12,'נתוני יסוד'!$B$16*12,0,AJ65)*(-1),0)</f>
        <v>0</v>
      </c>
      <c r="BE65" s="997">
        <f>IFERROR(FV(S65/100/12,'נתוני יסוד'!$B$16*12,AZ65,AK65)*(-1),0)</f>
        <v>0</v>
      </c>
      <c r="BF65" s="997">
        <f t="shared" si="36"/>
        <v>0</v>
      </c>
      <c r="BG65" s="997">
        <f>IFERROR(FV(S65/100/12,'נתוני יסוד'!$B$16*12,AF65,AL65)*(-1),0)</f>
        <v>0</v>
      </c>
      <c r="BH65" s="997">
        <f t="shared" si="37"/>
        <v>0</v>
      </c>
      <c r="BI65" s="997">
        <f t="shared" si="38"/>
        <v>0</v>
      </c>
      <c r="BJ65" s="997">
        <f t="shared" si="39"/>
        <v>0</v>
      </c>
      <c r="BK65" s="997">
        <f t="shared" si="40"/>
        <v>0</v>
      </c>
      <c r="BL65" s="997">
        <f t="shared" si="47"/>
        <v>0</v>
      </c>
      <c r="BM65" s="997">
        <f t="shared" si="48"/>
        <v>0</v>
      </c>
      <c r="BN65" s="997">
        <f t="shared" si="49"/>
        <v>0</v>
      </c>
      <c r="BO65" s="997">
        <f t="shared" si="41"/>
        <v>0</v>
      </c>
      <c r="BP65" s="997">
        <f t="shared" si="50"/>
        <v>0</v>
      </c>
      <c r="BS65">
        <f t="shared" si="51"/>
        <v>0</v>
      </c>
      <c r="BT65">
        <f t="shared" si="52"/>
        <v>0</v>
      </c>
      <c r="BU65">
        <f t="shared" si="53"/>
        <v>0</v>
      </c>
      <c r="BV65">
        <f t="shared" si="42"/>
        <v>0</v>
      </c>
      <c r="BW65">
        <f t="shared" si="54"/>
        <v>0</v>
      </c>
      <c r="BY65" s="997">
        <f t="shared" si="55"/>
        <v>0</v>
      </c>
      <c r="BZ65" s="997">
        <f t="shared" si="56"/>
        <v>0</v>
      </c>
      <c r="CA65" s="997">
        <f t="shared" si="57"/>
        <v>0</v>
      </c>
      <c r="CB65" s="997">
        <f t="shared" si="43"/>
        <v>0</v>
      </c>
      <c r="CC65" s="997">
        <f t="shared" si="58"/>
        <v>0</v>
      </c>
      <c r="CD65" s="997">
        <f t="shared" si="13"/>
        <v>0</v>
      </c>
      <c r="CE65" s="997">
        <f t="shared" si="14"/>
        <v>0</v>
      </c>
      <c r="CF65" s="997">
        <f t="shared" si="15"/>
        <v>0</v>
      </c>
      <c r="CG65" s="997">
        <f t="shared" si="16"/>
        <v>0</v>
      </c>
      <c r="CH65" s="997">
        <f t="shared" si="17"/>
        <v>0</v>
      </c>
      <c r="CI65" s="997">
        <f t="shared" si="18"/>
        <v>0</v>
      </c>
      <c r="CJ65" s="997">
        <f t="shared" si="19"/>
        <v>0</v>
      </c>
      <c r="CK65" s="997"/>
      <c r="CL65" s="997"/>
      <c r="CM65" s="997">
        <f t="shared" si="59"/>
        <v>0</v>
      </c>
      <c r="CN65" s="997">
        <f t="shared" si="60"/>
        <v>0</v>
      </c>
      <c r="CO65" s="997">
        <f t="shared" si="61"/>
        <v>0</v>
      </c>
      <c r="CP65" s="997">
        <f t="shared" si="44"/>
        <v>0</v>
      </c>
      <c r="CQ65" s="997">
        <f t="shared" si="62"/>
        <v>0</v>
      </c>
      <c r="CR65" s="997">
        <f>IFERROR(VLOOKUP($B65,SchumeiBituahYesodi!$C$6:$AA$100,8,FALSE),0)</f>
        <v>0</v>
      </c>
      <c r="CS65" s="997">
        <f>IFERROR(VLOOKUP($B65,PirteiKisuiBeMutzar_procerur!$C$6:$AA$100,2,FALSE),0)</f>
        <v>0</v>
      </c>
      <c r="CT65" s="997">
        <f>IFERROR(VLOOKUP($B65,PirteiKisuiBeMutzar_procerur!$C$6:$AA$100,3,FALSE),0)</f>
        <v>0</v>
      </c>
      <c r="CU65" s="997">
        <f>IFERROR(VLOOKUP($B65,PirteiKisuiBeMutzar_procerur!$C$6:$AA$100,4,FALSE),0)</f>
        <v>0</v>
      </c>
      <c r="CV65" s="997">
        <f>IFERROR(VLOOKUP($B65,PirteiKisuiBeMutzar_procerur!$C$6:$AA$100,5,FALSE),0)</f>
        <v>0</v>
      </c>
      <c r="CW65" s="997">
        <f>IFERROR(VLOOKUP($B65,PirteiKisuiBeMutzar_procerur!$C$6:$AA$100,6,FALSE),0)</f>
        <v>0</v>
      </c>
      <c r="CX65" s="997">
        <f>IFERROR(VLOOKUP($B65,PirteiKisuiBeMutzar_procerur!$C$6:$AA$100,7,FALSE),0)</f>
        <v>0</v>
      </c>
      <c r="CY65" s="997">
        <f>IFERROR(VLOOKUP($B65,PirteiKisuiBeMutzar_procerur!$C$6:$AA$100,8,FALSE),0)</f>
        <v>0</v>
      </c>
      <c r="CZ65" s="997">
        <f>IFERROR(VLOOKUP($B65,PirteiKisuiBeMutzar_procerur!$C$6:$AA$100,9,FALSE),0)</f>
        <v>0</v>
      </c>
      <c r="DA65" s="997">
        <f>IFERROR(VLOOKUP($B65,PirteiKisuiBeMutzar_procerur!$C$6:$AA$100,10,FALSE),0)</f>
        <v>0</v>
      </c>
      <c r="DB65" s="997">
        <f>IFERROR(VLOOKUP($B65,PirteiKisuiBeMutzar_procerur!$C$6:$AA$100,11,FALSE),0)</f>
        <v>0</v>
      </c>
      <c r="DC65" s="997">
        <f>IFERROR(VLOOKUP($B65,PirteiKisuiBeMutzarPrmia!$C$6:$Z$100,2,FALSE),0)</f>
        <v>0</v>
      </c>
      <c r="DD65" s="997">
        <f>IFERROR(VLOOKUP($B65,PirteiKisuiBeMutzarPrmia!$C$6:$Z$100,3,FALSE),0)</f>
        <v>0</v>
      </c>
      <c r="DE65" s="997">
        <f>IFERROR(VLOOKUP($B65,PirteiKisuiBeMutzarPrmia!$C$6:$Z$100,4,FALSE),0)</f>
        <v>0</v>
      </c>
      <c r="DF65" s="997">
        <f>IFERROR(VLOOKUP($B65,PirteiKisuiBeMutzarPrmia!$C$6:$Z$100,5,FALSE),0)</f>
        <v>0</v>
      </c>
      <c r="DG65" s="997">
        <f>IFERROR(VLOOKUP($B65,PirteiKisuiBeMutzarPrmia!$C$6:$Z$100,6,FALSE),0)</f>
        <v>0</v>
      </c>
      <c r="DH65" s="997">
        <f>IFERROR(VLOOKUP($B65,PirteiKisuiBeMutzarPrmia!$C$6:$Z$100,7,FALSE),0)</f>
        <v>0</v>
      </c>
      <c r="DI65" s="997">
        <f>IFERROR(VLOOKUP($B65,PirteiKisuiBeMutzarPrmia!$C$6:$Z$100,8,FALSE),0)</f>
        <v>0</v>
      </c>
      <c r="DJ65" s="997">
        <f>IFERROR(VLOOKUP($B65,PirteiKisuiBeMutzarPrmia!$C$6:$Z$100,9,FALSE),0)</f>
        <v>0</v>
      </c>
      <c r="DK65" s="997">
        <f>IFERROR(VLOOKUP($B65,PirteiKisuiBeMutzarPrmia!$C$6:$Z$100,10,FALSE),0)</f>
        <v>0</v>
      </c>
      <c r="DL65" s="997">
        <f>IFERROR(VLOOKUP($B65,PirteiKisuiBeMutzarPrmia!$C$6:$Z$100,11,FALSE),0)</f>
        <v>0</v>
      </c>
      <c r="DM65" s="997">
        <f t="shared" si="66"/>
        <v>0</v>
      </c>
      <c r="DN65" s="997">
        <f t="shared" si="63"/>
        <v>0</v>
      </c>
      <c r="DO65" s="997">
        <f t="shared" si="64"/>
        <v>0</v>
      </c>
      <c r="DP65" s="997">
        <f t="shared" si="67"/>
        <v>0</v>
      </c>
      <c r="DQ65" s="997">
        <f t="shared" si="65"/>
        <v>0</v>
      </c>
      <c r="DR65" s="997">
        <f>IF(OR(L65=1,L65=3),IFERROR(VLOOKUP($B65,PerutHafkadotMetchilatShanaAvgM!$C$6:$G$100,3,FALSE),0),0)</f>
        <v>0</v>
      </c>
      <c r="DS65" s="997">
        <f>IF(OR(L65=2,L65=4),IFERROR(VLOOKUP($B65,PerutHafkadotMetchilatShanaAvgM!$C$6:$G$100,3,FALSE),0),0)</f>
        <v>0</v>
      </c>
      <c r="DT65" s="997">
        <f>IFERROR(VLOOKUP($B65,PerutHafkadotMetchilatShanaAvgM!$C$6:$G$100,4,FALSE),0)</f>
        <v>0</v>
      </c>
      <c r="DU65" s="997">
        <f>IFERROR(VLOOKUP($B65,Kupa!$D$6:$AA$100,5,FALSE),0)</f>
        <v>0</v>
      </c>
      <c r="DV65" s="997">
        <f>IFERROR(VLOOKUP($B65,Kupa!$D$6:$AA$100,6,FALSE),0)</f>
        <v>0</v>
      </c>
      <c r="DW65" s="997">
        <f>IFERROR(VLOOKUP($B65,KisuiBKerenPensiaDBWithParams!$D$6:$AP$100,9,FALSE),0)</f>
        <v>0</v>
      </c>
      <c r="DX65" s="997">
        <f>IFERROR(VLOOKUP($B65,KisuiBKerenPensiaDBWithParams!$D$6:$AP$100,12,FALSE),0)</f>
        <v>0</v>
      </c>
      <c r="DY65" s="997">
        <f>IFERROR(VLOOKUP($B65,KisuiBKerenPensiaDBWithParams!$D$6:$AP$100,13,FALSE),0)</f>
        <v>0</v>
      </c>
      <c r="DZ65" s="997">
        <f>IFERROR(VLOOKUP($B65,KisuiBKerenPensiaDBWithParams!$D$6:$AP$100,7,FALSE),0)</f>
        <v>0</v>
      </c>
      <c r="EA65" s="997">
        <f>IFERROR(VLOOKUP($B65,KisuiBKerenPensiaDBWithParams!$D$6:$AP$100,17,FALSE),0)</f>
        <v>0</v>
      </c>
      <c r="EB65" s="997">
        <f>IFERROR(VLOOKUP($B65,KisuiBKerenPensiaDBWithParams!$D$6:$AP$100,20,FALSE),0)</f>
        <v>0</v>
      </c>
      <c r="EC65" s="997">
        <f>IFERROR(VLOOKUP($B65,KisuiBKerenPensiaDBWithParams!$D$6:$AP$100,21,FALSE),0)</f>
        <v>0</v>
      </c>
      <c r="ED65" s="997">
        <f t="shared" si="45"/>
        <v>0</v>
      </c>
      <c r="EE65" s="997"/>
      <c r="EF65" s="1020">
        <f>IFERROR(VLOOKUP($B65,KisuiBKerenPensiaDBWithParams!$D$6:$AP$100,21,FALSE),0)</f>
        <v>0</v>
      </c>
      <c r="EG65" s="1020">
        <f>IFERROR(VLOOKUP($B65,KisuiBKerenPensiaDBWithParams!$D$6:$AP$100,21,FALSE),0)</f>
        <v>0</v>
      </c>
      <c r="EH65">
        <f>IF(OR(G65=MyData!$J$51,G65=MyData!$J$52,G65=MyData!$J$53),1,IF(G65=MyData!$J$50,2,0))</f>
        <v>0</v>
      </c>
      <c r="EI65">
        <f>IFERROR(VLOOKUP($B65,CrosstabPerutYitrotDB!$C$6:$N$50,3,FALSE),0)</f>
        <v>0</v>
      </c>
      <c r="EJ65">
        <f>IFERROR(VLOOKUP($B65,CrosstabPerutYitrotDB!$C$6:$N$50,4,FALSE),0)</f>
        <v>0</v>
      </c>
      <c r="EK65">
        <f>IFERROR(VLOOKUP($B65,CrosstabPerutYitrotDB!$C$6:$N$50,5,FALSE),0)</f>
        <v>0</v>
      </c>
      <c r="EL65">
        <f>IFERROR(VLOOKUP($B65,CrosstabPerutYitrotDB!$C$6:$N$50,6,FALSE),0)</f>
        <v>0</v>
      </c>
      <c r="EM65">
        <f>IFERROR(VLOOKUP($B65,CrosstabPerutYitrotDB!$C$6:$N$50,7,FALSE),0)</f>
        <v>0</v>
      </c>
      <c r="EN65">
        <f>IFERROR(VLOOKUP($B65,CrosstabPerutYitrotDB!$C$6:$N$50,8,FALSE),0)</f>
        <v>0</v>
      </c>
      <c r="EO65">
        <f>IFERROR(VLOOKUP($B65,CrosstabPerutYitrotDB!$C$6:$N$50,9,FALSE),0)</f>
        <v>0</v>
      </c>
      <c r="EP65">
        <f>IFERROR(VLOOKUP($B65,CrosstabPerutYitrotDB!$C$6:$N$50,10,FALSE),0)</f>
        <v>0</v>
      </c>
      <c r="EQ65">
        <f>IFERROR(VLOOKUP($B65,CrosstabPerutYitrotDB!$C$6:$N$50,11,FALSE),0)</f>
        <v>0</v>
      </c>
    </row>
    <row r="66" spans="1:147" x14ac:dyDescent="0.2">
      <c r="A66">
        <f t="shared" si="46"/>
        <v>0</v>
      </c>
      <c r="B66" s="20">
        <f>RicusPolice!E63</f>
        <v>0</v>
      </c>
      <c r="C66" s="20">
        <f>RicusPolice!AL63</f>
        <v>0</v>
      </c>
      <c r="D66" s="20">
        <f>RicusPolice!F63</f>
        <v>0</v>
      </c>
      <c r="E66" s="20">
        <f>RicusPolice!R63</f>
        <v>0</v>
      </c>
      <c r="F66" s="20">
        <f>RicusPolice!N63</f>
        <v>0</v>
      </c>
      <c r="G66" s="20">
        <f>IFERROR(VLOOKUP($B66,PerutYitrot!$D$6:$P$100,4,FALSE),0)</f>
        <v>0</v>
      </c>
      <c r="H66" s="20">
        <f t="shared" si="29"/>
        <v>0</v>
      </c>
      <c r="I66" s="20">
        <f>RicusPolice!L63</f>
        <v>0</v>
      </c>
      <c r="J66" s="179">
        <f>IFERROR(VLOOKUP(TRIM(K66),MyData!$J$44:$K$50,2,FALSE),0)</f>
        <v>0</v>
      </c>
      <c r="K66" s="20">
        <f>RicusPolice!M63</f>
        <v>0</v>
      </c>
      <c r="L66" s="20">
        <f>RicusPolice!AM63</f>
        <v>0</v>
      </c>
      <c r="M66" s="20" t="str">
        <f>IF(B66&gt;0,RicusPolice!Y63," ")</f>
        <v xml:space="preserve"> </v>
      </c>
      <c r="N66" s="20" t="str">
        <f t="shared" si="30"/>
        <v/>
      </c>
      <c r="O66" s="20">
        <f>RicusPolice!N63</f>
        <v>0</v>
      </c>
      <c r="P66" s="20">
        <f>IFERROR(VLOOKUP(B66,PerutMasluleiHashkaa!$D$6:$R$100,4,FALSE),0)</f>
        <v>0</v>
      </c>
      <c r="Q66" s="19"/>
      <c r="R66" s="1011" t="str">
        <f>IF(B66&gt;0,RicusPolice!P65," ")</f>
        <v xml:space="preserve"> </v>
      </c>
      <c r="S66" s="20">
        <f>IFERROR(VLOOKUP($B66,'נתונים ידניים'!$B$9:$G$51,6,FALSE),0)</f>
        <v>0</v>
      </c>
      <c r="T66" s="21">
        <f>'נתונים ידניים'!J67</f>
        <v>0</v>
      </c>
      <c r="U66" s="21">
        <f>'נתונים ידניים'!K67</f>
        <v>0</v>
      </c>
      <c r="V66" s="20">
        <f>IFERROR(VLOOKUP($B66,PerutHafrashotLePolisa!$D$6:$N$50,2,FALSE),0)</f>
        <v>0</v>
      </c>
      <c r="W66" s="20">
        <f>IFERROR(VLOOKUP($B66,PerutHafrashotLePolisa!$D$6:$N$50,4,FALSE),0)</f>
        <v>0</v>
      </c>
      <c r="X66" s="20">
        <f>IFERROR(VLOOKUP($B66,PerutHafrashotLePolisa!$D$6:$N$50,3,FALSE),0)</f>
        <v>0</v>
      </c>
      <c r="Y66">
        <f t="shared" si="31"/>
        <v>0</v>
      </c>
      <c r="Z66">
        <f>RicusPolice!AP63</f>
        <v>0</v>
      </c>
      <c r="AA66">
        <f>IFERROR(VLOOKUP(B66,PirteiHaasaka!$D$6:$R$100,5,FALSE),0)</f>
        <v>0</v>
      </c>
      <c r="AC66">
        <f>IFERROR(VLOOKUP(B66,HafkadotMetchilatShanaAverages!$D$6:$E$100,2,FALSE),0)</f>
        <v>0</v>
      </c>
      <c r="AF66">
        <f>'נתונים ידניים'!L67</f>
        <v>0</v>
      </c>
      <c r="AG66">
        <f>IFERROR(VLOOKUP(B66,CrossTabYitraLeTkufa_till_2000!$D$6:$AB$100,6,FALSE),0)+IFERROR(VLOOKUP(B66,CrossTabYitraLeTkufa_after_2000!$D$6:$AB$100,6,FALSE),0)</f>
        <v>0</v>
      </c>
      <c r="AH66">
        <f>IFERROR(VLOOKUP(B66,CrossTabYitraLeTkufa_till_2000!$D$6:$AB$100,16,FALSE),0)</f>
        <v>0</v>
      </c>
      <c r="AI66">
        <f>IFERROR(VLOOKUP(B66,CrossTabYitraLeTkufa_after_2000!$D$6:$AB$100,16,FALSE),0)</f>
        <v>0</v>
      </c>
      <c r="AJ66">
        <f>IFERROR(VLOOKUP(B66,CrossTabYitraLeTkufa_till_2000!$D$6:$AB$100,17,FALSE),0)</f>
        <v>0</v>
      </c>
      <c r="AK66">
        <f>IFERROR(VLOOKUP(B66,CrossTabYitraLeTkufa_after_2000!$D$6:$AB$100,17,FALSE),0)</f>
        <v>0</v>
      </c>
      <c r="AL66" s="5">
        <f t="shared" si="32"/>
        <v>0</v>
      </c>
      <c r="AO66">
        <f>IFERROR(VLOOKUP(B66,PirteiKisuiBeMutzar_procerur!$C$6:$AA$100,2,FALSE),0)</f>
        <v>0</v>
      </c>
      <c r="AQ66">
        <f>IFERROR(VLOOKUP($B66,PirteiKisuiBeMutzar_procerur!$C$6:$AA$100,5,FALSE),0)</f>
        <v>0</v>
      </c>
      <c r="AR66">
        <f>IFERROR(VLOOKUP($B66,PirteiKisuiBeMutzar_procerur!$C$6:$AA$100,3,FALSE),0)</f>
        <v>0</v>
      </c>
      <c r="AS66">
        <f>IFERROR(VLOOKUP($B66,PirteiKisuiBeMutzar_procerur!$C$6:$AA$100,6,FALSE),0)</f>
        <v>0</v>
      </c>
      <c r="AT66">
        <f>IFERROR(VLOOKUP($B66,PirteiKisuiBeMutzar_procerur!$C$6:$AA$100,7,FALSE),0)</f>
        <v>0</v>
      </c>
      <c r="AX66" s="997">
        <f t="shared" si="33"/>
        <v>0</v>
      </c>
      <c r="AY66" s="997">
        <f t="shared" si="34"/>
        <v>0</v>
      </c>
      <c r="AZ66" s="997">
        <f t="shared" si="35"/>
        <v>0</v>
      </c>
      <c r="BA66" s="997">
        <f>IFERROR(FV(S66/100/12,'נתוני יסוד'!$B$16*12,AX66,AG66)*(-1),0)</f>
        <v>0</v>
      </c>
      <c r="BB66" s="997">
        <f>IFERROR(FV(S66/100/12,'נתוני יסוד'!$B$16*12,0,AH66)*(-1),0)</f>
        <v>0</v>
      </c>
      <c r="BC66" s="997">
        <f>IFERROR(FV(S66/100/12,'נתוני יסוד'!$B$16*12,AY66,AI66)*(-1),0)</f>
        <v>0</v>
      </c>
      <c r="BD66" s="997">
        <f>IFERROR(FV(S66/100/12,'נתוני יסוד'!$B$16*12,0,AJ66)*(-1),0)</f>
        <v>0</v>
      </c>
      <c r="BE66" s="997">
        <f>IFERROR(FV(S66/100/12,'נתוני יסוד'!$B$16*12,AZ66,AK66)*(-1),0)</f>
        <v>0</v>
      </c>
      <c r="BF66" s="997">
        <f t="shared" si="36"/>
        <v>0</v>
      </c>
      <c r="BG66" s="997">
        <f>IFERROR(FV(S66/100/12,'נתוני יסוד'!$B$16*12,AF66,AL66)*(-1),0)</f>
        <v>0</v>
      </c>
      <c r="BH66" s="997">
        <f t="shared" si="37"/>
        <v>0</v>
      </c>
      <c r="BI66" s="997">
        <f t="shared" si="38"/>
        <v>0</v>
      </c>
      <c r="BJ66" s="997">
        <f t="shared" si="39"/>
        <v>0</v>
      </c>
      <c r="BK66" s="997">
        <f t="shared" si="40"/>
        <v>0</v>
      </c>
      <c r="BL66" s="997">
        <f t="shared" si="47"/>
        <v>0</v>
      </c>
      <c r="BM66" s="997">
        <f t="shared" si="48"/>
        <v>0</v>
      </c>
      <c r="BN66" s="997">
        <f t="shared" si="49"/>
        <v>0</v>
      </c>
      <c r="BO66" s="997">
        <f t="shared" si="41"/>
        <v>0</v>
      </c>
      <c r="BP66" s="997">
        <f t="shared" si="50"/>
        <v>0</v>
      </c>
      <c r="BS66">
        <f t="shared" si="51"/>
        <v>0</v>
      </c>
      <c r="BT66">
        <f t="shared" si="52"/>
        <v>0</v>
      </c>
      <c r="BU66">
        <f t="shared" si="53"/>
        <v>0</v>
      </c>
      <c r="BV66">
        <f t="shared" si="42"/>
        <v>0</v>
      </c>
      <c r="BW66">
        <f t="shared" si="54"/>
        <v>0</v>
      </c>
      <c r="BY66" s="997">
        <f t="shared" si="55"/>
        <v>0</v>
      </c>
      <c r="BZ66" s="997">
        <f t="shared" si="56"/>
        <v>0</v>
      </c>
      <c r="CA66" s="997">
        <f t="shared" si="57"/>
        <v>0</v>
      </c>
      <c r="CB66" s="997">
        <f t="shared" si="43"/>
        <v>0</v>
      </c>
      <c r="CC66" s="997">
        <f t="shared" si="58"/>
        <v>0</v>
      </c>
      <c r="CD66" s="997">
        <f t="shared" si="13"/>
        <v>0</v>
      </c>
      <c r="CE66" s="997">
        <f t="shared" si="14"/>
        <v>0</v>
      </c>
      <c r="CF66" s="997">
        <f t="shared" si="15"/>
        <v>0</v>
      </c>
      <c r="CG66" s="997">
        <f t="shared" si="16"/>
        <v>0</v>
      </c>
      <c r="CH66" s="997">
        <f t="shared" si="17"/>
        <v>0</v>
      </c>
      <c r="CI66" s="997">
        <f t="shared" si="18"/>
        <v>0</v>
      </c>
      <c r="CJ66" s="997">
        <f t="shared" si="19"/>
        <v>0</v>
      </c>
      <c r="CK66" s="997"/>
      <c r="CL66" s="997"/>
      <c r="CM66" s="997">
        <f t="shared" si="59"/>
        <v>0</v>
      </c>
      <c r="CN66" s="997">
        <f t="shared" si="60"/>
        <v>0</v>
      </c>
      <c r="CO66" s="997">
        <f t="shared" si="61"/>
        <v>0</v>
      </c>
      <c r="CP66" s="997">
        <f t="shared" si="44"/>
        <v>0</v>
      </c>
      <c r="CQ66" s="997">
        <f t="shared" si="62"/>
        <v>0</v>
      </c>
      <c r="CR66" s="997">
        <f>IFERROR(VLOOKUP($B66,SchumeiBituahYesodi!$C$6:$AA$100,8,FALSE),0)</f>
        <v>0</v>
      </c>
      <c r="CS66" s="997">
        <f>IFERROR(VLOOKUP($B66,PirteiKisuiBeMutzar_procerur!$C$6:$AA$100,2,FALSE),0)</f>
        <v>0</v>
      </c>
      <c r="CT66" s="997">
        <f>IFERROR(VLOOKUP($B66,PirteiKisuiBeMutzar_procerur!$C$6:$AA$100,3,FALSE),0)</f>
        <v>0</v>
      </c>
      <c r="CU66" s="997">
        <f>IFERROR(VLOOKUP($B66,PirteiKisuiBeMutzar_procerur!$C$6:$AA$100,4,FALSE),0)</f>
        <v>0</v>
      </c>
      <c r="CV66" s="997">
        <f>IFERROR(VLOOKUP($B66,PirteiKisuiBeMutzar_procerur!$C$6:$AA$100,5,FALSE),0)</f>
        <v>0</v>
      </c>
      <c r="CW66" s="997">
        <f>IFERROR(VLOOKUP($B66,PirteiKisuiBeMutzar_procerur!$C$6:$AA$100,6,FALSE),0)</f>
        <v>0</v>
      </c>
      <c r="CX66" s="997">
        <f>IFERROR(VLOOKUP($B66,PirteiKisuiBeMutzar_procerur!$C$6:$AA$100,7,FALSE),0)</f>
        <v>0</v>
      </c>
      <c r="CY66" s="997">
        <f>IFERROR(VLOOKUP($B66,PirteiKisuiBeMutzar_procerur!$C$6:$AA$100,8,FALSE),0)</f>
        <v>0</v>
      </c>
      <c r="CZ66" s="997">
        <f>IFERROR(VLOOKUP($B66,PirteiKisuiBeMutzar_procerur!$C$6:$AA$100,9,FALSE),0)</f>
        <v>0</v>
      </c>
      <c r="DA66" s="997">
        <f>IFERROR(VLOOKUP($B66,PirteiKisuiBeMutzar_procerur!$C$6:$AA$100,10,FALSE),0)</f>
        <v>0</v>
      </c>
      <c r="DB66" s="997">
        <f>IFERROR(VLOOKUP($B66,PirteiKisuiBeMutzar_procerur!$C$6:$AA$100,11,FALSE),0)</f>
        <v>0</v>
      </c>
      <c r="DC66" s="997">
        <f>IFERROR(VLOOKUP($B66,PirteiKisuiBeMutzarPrmia!$C$6:$Z$100,2,FALSE),0)</f>
        <v>0</v>
      </c>
      <c r="DD66" s="997">
        <f>IFERROR(VLOOKUP($B66,PirteiKisuiBeMutzarPrmia!$C$6:$Z$100,3,FALSE),0)</f>
        <v>0</v>
      </c>
      <c r="DE66" s="997">
        <f>IFERROR(VLOOKUP($B66,PirteiKisuiBeMutzarPrmia!$C$6:$Z$100,4,FALSE),0)</f>
        <v>0</v>
      </c>
      <c r="DF66" s="997">
        <f>IFERROR(VLOOKUP($B66,PirteiKisuiBeMutzarPrmia!$C$6:$Z$100,5,FALSE),0)</f>
        <v>0</v>
      </c>
      <c r="DG66" s="997">
        <f>IFERROR(VLOOKUP($B66,PirteiKisuiBeMutzarPrmia!$C$6:$Z$100,6,FALSE),0)</f>
        <v>0</v>
      </c>
      <c r="DH66" s="997">
        <f>IFERROR(VLOOKUP($B66,PirteiKisuiBeMutzarPrmia!$C$6:$Z$100,7,FALSE),0)</f>
        <v>0</v>
      </c>
      <c r="DI66" s="997">
        <f>IFERROR(VLOOKUP($B66,PirteiKisuiBeMutzarPrmia!$C$6:$Z$100,8,FALSE),0)</f>
        <v>0</v>
      </c>
      <c r="DJ66" s="997">
        <f>IFERROR(VLOOKUP($B66,PirteiKisuiBeMutzarPrmia!$C$6:$Z$100,9,FALSE),0)</f>
        <v>0</v>
      </c>
      <c r="DK66" s="997">
        <f>IFERROR(VLOOKUP($B66,PirteiKisuiBeMutzarPrmia!$C$6:$Z$100,10,FALSE),0)</f>
        <v>0</v>
      </c>
      <c r="DL66" s="997">
        <f>IFERROR(VLOOKUP($B66,PirteiKisuiBeMutzarPrmia!$C$6:$Z$100,11,FALSE),0)</f>
        <v>0</v>
      </c>
      <c r="DM66" s="997">
        <f t="shared" si="66"/>
        <v>0</v>
      </c>
      <c r="DN66" s="997">
        <f t="shared" si="63"/>
        <v>0</v>
      </c>
      <c r="DO66" s="997">
        <f t="shared" si="64"/>
        <v>0</v>
      </c>
      <c r="DP66" s="997">
        <f t="shared" si="67"/>
        <v>0</v>
      </c>
      <c r="DQ66" s="997">
        <f t="shared" si="65"/>
        <v>0</v>
      </c>
      <c r="DR66" s="997">
        <f>IF(OR(L66=1,L66=3),IFERROR(VLOOKUP($B66,PerutHafkadotMetchilatShanaAvgM!$C$6:$G$100,3,FALSE),0),0)</f>
        <v>0</v>
      </c>
      <c r="DS66" s="997">
        <f>IF(OR(L66=2,L66=4),IFERROR(VLOOKUP($B66,PerutHafkadotMetchilatShanaAvgM!$C$6:$G$100,3,FALSE),0),0)</f>
        <v>0</v>
      </c>
      <c r="DT66" s="997">
        <f>IFERROR(VLOOKUP($B66,PerutHafkadotMetchilatShanaAvgM!$C$6:$G$100,4,FALSE),0)</f>
        <v>0</v>
      </c>
      <c r="DU66" s="997">
        <f>IFERROR(VLOOKUP($B66,Kupa!$D$6:$AA$100,5,FALSE),0)</f>
        <v>0</v>
      </c>
      <c r="DV66" s="997">
        <f>IFERROR(VLOOKUP($B66,Kupa!$D$6:$AA$100,6,FALSE),0)</f>
        <v>0</v>
      </c>
      <c r="DW66" s="997">
        <f>IFERROR(VLOOKUP($B66,KisuiBKerenPensiaDBWithParams!$D$6:$AP$100,9,FALSE),0)</f>
        <v>0</v>
      </c>
      <c r="DX66" s="997">
        <f>IFERROR(VLOOKUP($B66,KisuiBKerenPensiaDBWithParams!$D$6:$AP$100,12,FALSE),0)</f>
        <v>0</v>
      </c>
      <c r="DY66" s="997">
        <f>IFERROR(VLOOKUP($B66,KisuiBKerenPensiaDBWithParams!$D$6:$AP$100,13,FALSE),0)</f>
        <v>0</v>
      </c>
      <c r="DZ66" s="997">
        <f>IFERROR(VLOOKUP($B66,KisuiBKerenPensiaDBWithParams!$D$6:$AP$100,7,FALSE),0)</f>
        <v>0</v>
      </c>
      <c r="EA66" s="997">
        <f>IFERROR(VLOOKUP($B66,KisuiBKerenPensiaDBWithParams!$D$6:$AP$100,17,FALSE),0)</f>
        <v>0</v>
      </c>
      <c r="EB66" s="997">
        <f>IFERROR(VLOOKUP($B66,KisuiBKerenPensiaDBWithParams!$D$6:$AP$100,20,FALSE),0)</f>
        <v>0</v>
      </c>
      <c r="EC66" s="997">
        <f>IFERROR(VLOOKUP($B66,KisuiBKerenPensiaDBWithParams!$D$6:$AP$100,21,FALSE),0)</f>
        <v>0</v>
      </c>
      <c r="ED66" s="997">
        <f t="shared" si="45"/>
        <v>0</v>
      </c>
      <c r="EE66" s="997"/>
      <c r="EF66" s="1020">
        <f>IFERROR(VLOOKUP($B66,KisuiBKerenPensiaDBWithParams!$D$6:$AP$100,21,FALSE),0)</f>
        <v>0</v>
      </c>
      <c r="EG66" s="1020">
        <f>IFERROR(VLOOKUP($B66,KisuiBKerenPensiaDBWithParams!$D$6:$AP$100,21,FALSE),0)</f>
        <v>0</v>
      </c>
      <c r="EH66">
        <f>IF(OR(G66=MyData!$J$51,G66=MyData!$J$52,G66=MyData!$J$53),1,IF(G66=MyData!$J$50,2,0))</f>
        <v>0</v>
      </c>
      <c r="EI66">
        <f>IFERROR(VLOOKUP($B66,CrosstabPerutYitrotDB!$C$6:$N$50,3,FALSE),0)</f>
        <v>0</v>
      </c>
      <c r="EJ66">
        <f>IFERROR(VLOOKUP($B66,CrosstabPerutYitrotDB!$C$6:$N$50,4,FALSE),0)</f>
        <v>0</v>
      </c>
      <c r="EK66">
        <f>IFERROR(VLOOKUP($B66,CrosstabPerutYitrotDB!$C$6:$N$50,5,FALSE),0)</f>
        <v>0</v>
      </c>
      <c r="EL66">
        <f>IFERROR(VLOOKUP($B66,CrosstabPerutYitrotDB!$C$6:$N$50,6,FALSE),0)</f>
        <v>0</v>
      </c>
      <c r="EM66">
        <f>IFERROR(VLOOKUP($B66,CrosstabPerutYitrotDB!$C$6:$N$50,7,FALSE),0)</f>
        <v>0</v>
      </c>
      <c r="EN66">
        <f>IFERROR(VLOOKUP($B66,CrosstabPerutYitrotDB!$C$6:$N$50,8,FALSE),0)</f>
        <v>0</v>
      </c>
      <c r="EO66">
        <f>IFERROR(VLOOKUP($B66,CrosstabPerutYitrotDB!$C$6:$N$50,9,FALSE),0)</f>
        <v>0</v>
      </c>
      <c r="EP66">
        <f>IFERROR(VLOOKUP($B66,CrosstabPerutYitrotDB!$C$6:$N$50,10,FALSE),0)</f>
        <v>0</v>
      </c>
      <c r="EQ66">
        <f>IFERROR(VLOOKUP($B66,CrosstabPerutYitrotDB!$C$6:$N$50,11,FALSE),0)</f>
        <v>0</v>
      </c>
    </row>
    <row r="67" spans="1:147" x14ac:dyDescent="0.2">
      <c r="A67">
        <f t="shared" si="46"/>
        <v>0</v>
      </c>
      <c r="B67" s="20">
        <f>RicusPolice!E64</f>
        <v>0</v>
      </c>
      <c r="C67" s="20">
        <f>RicusPolice!AL64</f>
        <v>0</v>
      </c>
      <c r="D67" s="20">
        <f>RicusPolice!F64</f>
        <v>0</v>
      </c>
      <c r="E67" s="20">
        <f>RicusPolice!R64</f>
        <v>0</v>
      </c>
      <c r="F67" s="20">
        <f>RicusPolice!N64</f>
        <v>0</v>
      </c>
      <c r="G67" s="20">
        <f>IFERROR(VLOOKUP($B67,PerutYitrot!$D$6:$P$100,4,FALSE),0)</f>
        <v>0</v>
      </c>
      <c r="H67" s="20">
        <f t="shared" si="29"/>
        <v>0</v>
      </c>
      <c r="I67" s="20">
        <f>RicusPolice!L64</f>
        <v>0</v>
      </c>
      <c r="J67" s="179">
        <f>IFERROR(VLOOKUP(TRIM(K67),MyData!$J$44:$K$50,2,FALSE),0)</f>
        <v>0</v>
      </c>
      <c r="K67" s="20">
        <f>RicusPolice!M64</f>
        <v>0</v>
      </c>
      <c r="L67" s="20">
        <f>RicusPolice!AM64</f>
        <v>0</v>
      </c>
      <c r="M67" s="20" t="str">
        <f>IF(B67&gt;0,RicusPolice!Y64," ")</f>
        <v xml:space="preserve"> </v>
      </c>
      <c r="N67" s="20" t="str">
        <f t="shared" si="30"/>
        <v/>
      </c>
      <c r="O67" s="20">
        <f>RicusPolice!N64</f>
        <v>0</v>
      </c>
      <c r="P67" s="20">
        <f>IFERROR(VLOOKUP(B67,PerutMasluleiHashkaa!$D$6:$R$100,4,FALSE),0)</f>
        <v>0</v>
      </c>
      <c r="Q67" s="19"/>
      <c r="R67" s="1011" t="str">
        <f>IF(B67&gt;0,RicusPolice!P66," ")</f>
        <v xml:space="preserve"> </v>
      </c>
      <c r="S67" s="20">
        <f>IFERROR(VLOOKUP($B67,'נתונים ידניים'!$B$9:$G$51,6,FALSE),0)</f>
        <v>0</v>
      </c>
      <c r="T67" s="21">
        <f>'נתונים ידניים'!J68</f>
        <v>0</v>
      </c>
      <c r="U67" s="21">
        <f>'נתונים ידניים'!K68</f>
        <v>0</v>
      </c>
      <c r="V67" s="20">
        <f>IFERROR(VLOOKUP($B67,PerutHafrashotLePolisa!$D$6:$N$50,2,FALSE),0)</f>
        <v>0</v>
      </c>
      <c r="W67" s="20">
        <f>IFERROR(VLOOKUP($B67,PerutHafrashotLePolisa!$D$6:$N$50,4,FALSE),0)</f>
        <v>0</v>
      </c>
      <c r="X67" s="20">
        <f>IFERROR(VLOOKUP($B67,PerutHafrashotLePolisa!$D$6:$N$50,3,FALSE),0)</f>
        <v>0</v>
      </c>
      <c r="Y67">
        <f t="shared" si="31"/>
        <v>0</v>
      </c>
      <c r="Z67">
        <f>RicusPolice!AP64</f>
        <v>0</v>
      </c>
      <c r="AA67">
        <f>IFERROR(VLOOKUP(B67,PirteiHaasaka!$D$6:$R$100,5,FALSE),0)</f>
        <v>0</v>
      </c>
      <c r="AC67">
        <f>IFERROR(VLOOKUP(B67,HafkadotMetchilatShanaAverages!$D$6:$E$100,2,FALSE),0)</f>
        <v>0</v>
      </c>
      <c r="AF67">
        <f>'נתונים ידניים'!L68</f>
        <v>0</v>
      </c>
      <c r="AG67">
        <f>IFERROR(VLOOKUP(B67,CrossTabYitraLeTkufa_till_2000!$D$6:$AB$100,6,FALSE),0)+IFERROR(VLOOKUP(B67,CrossTabYitraLeTkufa_after_2000!$D$6:$AB$100,6,FALSE),0)</f>
        <v>0</v>
      </c>
      <c r="AH67">
        <f>IFERROR(VLOOKUP(B67,CrossTabYitraLeTkufa_till_2000!$D$6:$AB$100,16,FALSE),0)</f>
        <v>0</v>
      </c>
      <c r="AI67">
        <f>IFERROR(VLOOKUP(B67,CrossTabYitraLeTkufa_after_2000!$D$6:$AB$100,16,FALSE),0)</f>
        <v>0</v>
      </c>
      <c r="AJ67">
        <f>IFERROR(VLOOKUP(B67,CrossTabYitraLeTkufa_till_2000!$D$6:$AB$100,17,FALSE),0)</f>
        <v>0</v>
      </c>
      <c r="AK67">
        <f>IFERROR(VLOOKUP(B67,CrossTabYitraLeTkufa_after_2000!$D$6:$AB$100,17,FALSE),0)</f>
        <v>0</v>
      </c>
      <c r="AL67" s="5">
        <f t="shared" si="32"/>
        <v>0</v>
      </c>
      <c r="AO67">
        <f>IFERROR(VLOOKUP(B67,PirteiKisuiBeMutzar_procerur!$C$6:$AA$100,2,FALSE),0)</f>
        <v>0</v>
      </c>
      <c r="AQ67">
        <f>IFERROR(VLOOKUP($B67,PirteiKisuiBeMutzar_procerur!$C$6:$AA$100,5,FALSE),0)</f>
        <v>0</v>
      </c>
      <c r="AR67">
        <f>IFERROR(VLOOKUP($B67,PirteiKisuiBeMutzar_procerur!$C$6:$AA$100,3,FALSE),0)</f>
        <v>0</v>
      </c>
      <c r="AS67">
        <f>IFERROR(VLOOKUP($B67,PirteiKisuiBeMutzar_procerur!$C$6:$AA$100,6,FALSE),0)</f>
        <v>0</v>
      </c>
      <c r="AT67">
        <f>IFERROR(VLOOKUP($B67,PirteiKisuiBeMutzar_procerur!$C$6:$AA$100,7,FALSE),0)</f>
        <v>0</v>
      </c>
      <c r="AX67" s="997">
        <f t="shared" si="33"/>
        <v>0</v>
      </c>
      <c r="AY67" s="997">
        <f t="shared" si="34"/>
        <v>0</v>
      </c>
      <c r="AZ67" s="997">
        <f t="shared" si="35"/>
        <v>0</v>
      </c>
      <c r="BA67" s="997">
        <f>IFERROR(FV(S67/100/12,'נתוני יסוד'!$B$16*12,AX67,AG67)*(-1),0)</f>
        <v>0</v>
      </c>
      <c r="BB67" s="997">
        <f>IFERROR(FV(S67/100/12,'נתוני יסוד'!$B$16*12,0,AH67)*(-1),0)</f>
        <v>0</v>
      </c>
      <c r="BC67" s="997">
        <f>IFERROR(FV(S67/100/12,'נתוני יסוד'!$B$16*12,AY67,AI67)*(-1),0)</f>
        <v>0</v>
      </c>
      <c r="BD67" s="997">
        <f>IFERROR(FV(S67/100/12,'נתוני יסוד'!$B$16*12,0,AJ67)*(-1),0)</f>
        <v>0</v>
      </c>
      <c r="BE67" s="997">
        <f>IFERROR(FV(S67/100/12,'נתוני יסוד'!$B$16*12,AZ67,AK67)*(-1),0)</f>
        <v>0</v>
      </c>
      <c r="BF67" s="997">
        <f t="shared" si="36"/>
        <v>0</v>
      </c>
      <c r="BG67" s="997">
        <f>IFERROR(FV(S67/100/12,'נתוני יסוד'!$B$16*12,AF67,AL67)*(-1),0)</f>
        <v>0</v>
      </c>
      <c r="BH67" s="997">
        <f t="shared" si="37"/>
        <v>0</v>
      </c>
      <c r="BI67" s="997">
        <f t="shared" si="38"/>
        <v>0</v>
      </c>
      <c r="BJ67" s="997">
        <f t="shared" si="39"/>
        <v>0</v>
      </c>
      <c r="BK67" s="997">
        <f t="shared" si="40"/>
        <v>0</v>
      </c>
      <c r="BL67" s="997">
        <f t="shared" si="47"/>
        <v>0</v>
      </c>
      <c r="BM67" s="997">
        <f t="shared" si="48"/>
        <v>0</v>
      </c>
      <c r="BN67" s="997">
        <f t="shared" si="49"/>
        <v>0</v>
      </c>
      <c r="BO67" s="997">
        <f t="shared" si="41"/>
        <v>0</v>
      </c>
      <c r="BP67" s="997">
        <f t="shared" si="50"/>
        <v>0</v>
      </c>
      <c r="BS67">
        <f t="shared" si="51"/>
        <v>0</v>
      </c>
      <c r="BT67">
        <f t="shared" si="52"/>
        <v>0</v>
      </c>
      <c r="BU67">
        <f t="shared" si="53"/>
        <v>0</v>
      </c>
      <c r="BV67">
        <f t="shared" si="42"/>
        <v>0</v>
      </c>
      <c r="BW67">
        <f t="shared" si="54"/>
        <v>0</v>
      </c>
      <c r="BY67" s="997">
        <f t="shared" si="55"/>
        <v>0</v>
      </c>
      <c r="BZ67" s="997">
        <f t="shared" si="56"/>
        <v>0</v>
      </c>
      <c r="CA67" s="997">
        <f t="shared" si="57"/>
        <v>0</v>
      </c>
      <c r="CB67" s="997">
        <f t="shared" si="43"/>
        <v>0</v>
      </c>
      <c r="CC67" s="997">
        <f t="shared" si="58"/>
        <v>0</v>
      </c>
      <c r="CD67" s="997">
        <f t="shared" si="13"/>
        <v>0</v>
      </c>
      <c r="CE67" s="997">
        <f t="shared" si="14"/>
        <v>0</v>
      </c>
      <c r="CF67" s="997">
        <f t="shared" si="15"/>
        <v>0</v>
      </c>
      <c r="CG67" s="997">
        <f t="shared" si="16"/>
        <v>0</v>
      </c>
      <c r="CH67" s="997">
        <f t="shared" si="17"/>
        <v>0</v>
      </c>
      <c r="CI67" s="997">
        <f t="shared" si="18"/>
        <v>0</v>
      </c>
      <c r="CJ67" s="997">
        <f t="shared" si="19"/>
        <v>0</v>
      </c>
      <c r="CK67" s="997"/>
      <c r="CL67" s="997"/>
      <c r="CM67" s="997">
        <f t="shared" si="59"/>
        <v>0</v>
      </c>
      <c r="CN67" s="997">
        <f t="shared" si="60"/>
        <v>0</v>
      </c>
      <c r="CO67" s="997">
        <f t="shared" si="61"/>
        <v>0</v>
      </c>
      <c r="CP67" s="997">
        <f t="shared" si="44"/>
        <v>0</v>
      </c>
      <c r="CQ67" s="997">
        <f t="shared" si="62"/>
        <v>0</v>
      </c>
      <c r="CR67" s="997">
        <f>IFERROR(VLOOKUP($B67,SchumeiBituahYesodi!$C$6:$AA$100,8,FALSE),0)</f>
        <v>0</v>
      </c>
      <c r="CS67" s="997">
        <f>IFERROR(VLOOKUP($B67,PirteiKisuiBeMutzar_procerur!$C$6:$AA$100,2,FALSE),0)</f>
        <v>0</v>
      </c>
      <c r="CT67" s="997">
        <f>IFERROR(VLOOKUP($B67,PirteiKisuiBeMutzar_procerur!$C$6:$AA$100,3,FALSE),0)</f>
        <v>0</v>
      </c>
      <c r="CU67" s="997">
        <f>IFERROR(VLOOKUP($B67,PirteiKisuiBeMutzar_procerur!$C$6:$AA$100,4,FALSE),0)</f>
        <v>0</v>
      </c>
      <c r="CV67" s="997">
        <f>IFERROR(VLOOKUP($B67,PirteiKisuiBeMutzar_procerur!$C$6:$AA$100,5,FALSE),0)</f>
        <v>0</v>
      </c>
      <c r="CW67" s="997">
        <f>IFERROR(VLOOKUP($B67,PirteiKisuiBeMutzar_procerur!$C$6:$AA$100,6,FALSE),0)</f>
        <v>0</v>
      </c>
      <c r="CX67" s="997">
        <f>IFERROR(VLOOKUP($B67,PirteiKisuiBeMutzar_procerur!$C$6:$AA$100,7,FALSE),0)</f>
        <v>0</v>
      </c>
      <c r="CY67" s="997">
        <f>IFERROR(VLOOKUP($B67,PirteiKisuiBeMutzar_procerur!$C$6:$AA$100,8,FALSE),0)</f>
        <v>0</v>
      </c>
      <c r="CZ67" s="997">
        <f>IFERROR(VLOOKUP($B67,PirteiKisuiBeMutzar_procerur!$C$6:$AA$100,9,FALSE),0)</f>
        <v>0</v>
      </c>
      <c r="DA67" s="997">
        <f>IFERROR(VLOOKUP($B67,PirteiKisuiBeMutzar_procerur!$C$6:$AA$100,10,FALSE),0)</f>
        <v>0</v>
      </c>
      <c r="DB67" s="997">
        <f>IFERROR(VLOOKUP($B67,PirteiKisuiBeMutzar_procerur!$C$6:$AA$100,11,FALSE),0)</f>
        <v>0</v>
      </c>
      <c r="DC67" s="997">
        <f>IFERROR(VLOOKUP($B67,PirteiKisuiBeMutzarPrmia!$C$6:$Z$100,2,FALSE),0)</f>
        <v>0</v>
      </c>
      <c r="DD67" s="997">
        <f>IFERROR(VLOOKUP($B67,PirteiKisuiBeMutzarPrmia!$C$6:$Z$100,3,FALSE),0)</f>
        <v>0</v>
      </c>
      <c r="DE67" s="997">
        <f>IFERROR(VLOOKUP($B67,PirteiKisuiBeMutzarPrmia!$C$6:$Z$100,4,FALSE),0)</f>
        <v>0</v>
      </c>
      <c r="DF67" s="997">
        <f>IFERROR(VLOOKUP($B67,PirteiKisuiBeMutzarPrmia!$C$6:$Z$100,5,FALSE),0)</f>
        <v>0</v>
      </c>
      <c r="DG67" s="997">
        <f>IFERROR(VLOOKUP($B67,PirteiKisuiBeMutzarPrmia!$C$6:$Z$100,6,FALSE),0)</f>
        <v>0</v>
      </c>
      <c r="DH67" s="997">
        <f>IFERROR(VLOOKUP($B67,PirteiKisuiBeMutzarPrmia!$C$6:$Z$100,7,FALSE),0)</f>
        <v>0</v>
      </c>
      <c r="DI67" s="997">
        <f>IFERROR(VLOOKUP($B67,PirteiKisuiBeMutzarPrmia!$C$6:$Z$100,8,FALSE),0)</f>
        <v>0</v>
      </c>
      <c r="DJ67" s="997">
        <f>IFERROR(VLOOKUP($B67,PirteiKisuiBeMutzarPrmia!$C$6:$Z$100,9,FALSE),0)</f>
        <v>0</v>
      </c>
      <c r="DK67" s="997">
        <f>IFERROR(VLOOKUP($B67,PirteiKisuiBeMutzarPrmia!$C$6:$Z$100,10,FALSE),0)</f>
        <v>0</v>
      </c>
      <c r="DL67" s="997">
        <f>IFERROR(VLOOKUP($B67,PirteiKisuiBeMutzarPrmia!$C$6:$Z$100,11,FALSE),0)</f>
        <v>0</v>
      </c>
      <c r="DM67" s="997">
        <f t="shared" si="66"/>
        <v>0</v>
      </c>
      <c r="DN67" s="997">
        <f t="shared" si="63"/>
        <v>0</v>
      </c>
      <c r="DO67" s="997">
        <f t="shared" si="64"/>
        <v>0</v>
      </c>
      <c r="DP67" s="997">
        <f t="shared" si="67"/>
        <v>0</v>
      </c>
      <c r="DQ67" s="997">
        <f t="shared" si="65"/>
        <v>0</v>
      </c>
      <c r="DR67" s="997">
        <f>IF(OR(L67=1,L67=3),IFERROR(VLOOKUP($B67,PerutHafkadotMetchilatShanaAvgM!$C$6:$G$100,3,FALSE),0),0)</f>
        <v>0</v>
      </c>
      <c r="DS67" s="997">
        <f>IF(OR(L67=2,L67=4),IFERROR(VLOOKUP($B67,PerutHafkadotMetchilatShanaAvgM!$C$6:$G$100,3,FALSE),0),0)</f>
        <v>0</v>
      </c>
      <c r="DT67" s="997">
        <f>IFERROR(VLOOKUP($B67,PerutHafkadotMetchilatShanaAvgM!$C$6:$G$100,4,FALSE),0)</f>
        <v>0</v>
      </c>
      <c r="DU67" s="997">
        <f>IFERROR(VLOOKUP($B67,Kupa!$D$6:$AA$100,5,FALSE),0)</f>
        <v>0</v>
      </c>
      <c r="DV67" s="997">
        <f>IFERROR(VLOOKUP($B67,Kupa!$D$6:$AA$100,6,FALSE),0)</f>
        <v>0</v>
      </c>
      <c r="DW67" s="997">
        <f>IFERROR(VLOOKUP($B67,KisuiBKerenPensiaDBWithParams!$D$6:$AP$100,9,FALSE),0)</f>
        <v>0</v>
      </c>
      <c r="DX67" s="997">
        <f>IFERROR(VLOOKUP($B67,KisuiBKerenPensiaDBWithParams!$D$6:$AP$100,12,FALSE),0)</f>
        <v>0</v>
      </c>
      <c r="DY67" s="997">
        <f>IFERROR(VLOOKUP($B67,KisuiBKerenPensiaDBWithParams!$D$6:$AP$100,13,FALSE),0)</f>
        <v>0</v>
      </c>
      <c r="DZ67" s="997">
        <f>IFERROR(VLOOKUP($B67,KisuiBKerenPensiaDBWithParams!$D$6:$AP$100,7,FALSE),0)</f>
        <v>0</v>
      </c>
      <c r="EA67" s="997">
        <f>IFERROR(VLOOKUP($B67,KisuiBKerenPensiaDBWithParams!$D$6:$AP$100,17,FALSE),0)</f>
        <v>0</v>
      </c>
      <c r="EB67" s="997">
        <f>IFERROR(VLOOKUP($B67,KisuiBKerenPensiaDBWithParams!$D$6:$AP$100,20,FALSE),0)</f>
        <v>0</v>
      </c>
      <c r="EC67" s="997">
        <f>IFERROR(VLOOKUP($B67,KisuiBKerenPensiaDBWithParams!$D$6:$AP$100,21,FALSE),0)</f>
        <v>0</v>
      </c>
      <c r="ED67" s="997">
        <f t="shared" si="45"/>
        <v>0</v>
      </c>
      <c r="EE67" s="997"/>
      <c r="EF67" s="1020">
        <f>IFERROR(VLOOKUP($B67,KisuiBKerenPensiaDBWithParams!$D$6:$AP$100,21,FALSE),0)</f>
        <v>0</v>
      </c>
      <c r="EG67" s="1020">
        <f>IFERROR(VLOOKUP($B67,KisuiBKerenPensiaDBWithParams!$D$6:$AP$100,21,FALSE),0)</f>
        <v>0</v>
      </c>
      <c r="EH67">
        <f>IF(OR(G67=MyData!$J$51,G67=MyData!$J$52,G67=MyData!$J$53),1,IF(G67=MyData!$J$50,2,0))</f>
        <v>0</v>
      </c>
      <c r="EI67">
        <f>IFERROR(VLOOKUP($B67,CrosstabPerutYitrotDB!$C$6:$N$50,3,FALSE),0)</f>
        <v>0</v>
      </c>
      <c r="EJ67">
        <f>IFERROR(VLOOKUP($B67,CrosstabPerutYitrotDB!$C$6:$N$50,4,FALSE),0)</f>
        <v>0</v>
      </c>
      <c r="EK67">
        <f>IFERROR(VLOOKUP($B67,CrosstabPerutYitrotDB!$C$6:$N$50,5,FALSE),0)</f>
        <v>0</v>
      </c>
      <c r="EL67">
        <f>IFERROR(VLOOKUP($B67,CrosstabPerutYitrotDB!$C$6:$N$50,6,FALSE),0)</f>
        <v>0</v>
      </c>
      <c r="EM67">
        <f>IFERROR(VLOOKUP($B67,CrosstabPerutYitrotDB!$C$6:$N$50,7,FALSE),0)</f>
        <v>0</v>
      </c>
      <c r="EN67">
        <f>IFERROR(VLOOKUP($B67,CrosstabPerutYitrotDB!$C$6:$N$50,8,FALSE),0)</f>
        <v>0</v>
      </c>
      <c r="EO67">
        <f>IFERROR(VLOOKUP($B67,CrosstabPerutYitrotDB!$C$6:$N$50,9,FALSE),0)</f>
        <v>0</v>
      </c>
      <c r="EP67">
        <f>IFERROR(VLOOKUP($B67,CrosstabPerutYitrotDB!$C$6:$N$50,10,FALSE),0)</f>
        <v>0</v>
      </c>
      <c r="EQ67">
        <f>IFERROR(VLOOKUP($B67,CrosstabPerutYitrotDB!$C$6:$N$50,11,FALSE),0)</f>
        <v>0</v>
      </c>
    </row>
    <row r="68" spans="1:147" x14ac:dyDescent="0.2">
      <c r="A68">
        <f t="shared" si="46"/>
        <v>0</v>
      </c>
      <c r="B68" s="20">
        <f>RicusPolice!E65</f>
        <v>0</v>
      </c>
      <c r="C68" s="20">
        <f>RicusPolice!AL65</f>
        <v>0</v>
      </c>
      <c r="D68" s="20">
        <f>RicusPolice!F65</f>
        <v>0</v>
      </c>
      <c r="E68" s="20">
        <f>RicusPolice!R65</f>
        <v>0</v>
      </c>
      <c r="F68" s="20">
        <f>RicusPolice!N65</f>
        <v>0</v>
      </c>
      <c r="G68" s="20">
        <f>IFERROR(VLOOKUP($B68,PerutYitrot!$D$6:$P$100,4,FALSE),0)</f>
        <v>0</v>
      </c>
      <c r="H68" s="20">
        <f t="shared" si="29"/>
        <v>0</v>
      </c>
      <c r="I68" s="20">
        <f>RicusPolice!L65</f>
        <v>0</v>
      </c>
      <c r="J68" s="179">
        <f>IFERROR(VLOOKUP(TRIM(K68),MyData!$J$44:$K$50,2,FALSE),0)</f>
        <v>0</v>
      </c>
      <c r="K68" s="20">
        <f>RicusPolice!M65</f>
        <v>0</v>
      </c>
      <c r="L68" s="20">
        <f>RicusPolice!AM65</f>
        <v>0</v>
      </c>
      <c r="M68" s="20" t="str">
        <f>IF(B68&gt;0,RicusPolice!Y65," ")</f>
        <v xml:space="preserve"> </v>
      </c>
      <c r="N68" s="20" t="str">
        <f t="shared" si="30"/>
        <v/>
      </c>
      <c r="O68" s="20">
        <f>RicusPolice!N65</f>
        <v>0</v>
      </c>
      <c r="P68" s="20">
        <f>IFERROR(VLOOKUP(B68,PerutMasluleiHashkaa!$D$6:$R$100,4,FALSE),0)</f>
        <v>0</v>
      </c>
      <c r="Q68" s="19"/>
      <c r="R68" s="1011" t="str">
        <f>IF(B68&gt;0,RicusPolice!P67," ")</f>
        <v xml:space="preserve"> </v>
      </c>
      <c r="S68" s="20">
        <f>IFERROR(VLOOKUP($B68,'נתונים ידניים'!$B$9:$G$51,6,FALSE),0)</f>
        <v>0</v>
      </c>
      <c r="T68" s="21">
        <f>'נתונים ידניים'!J69</f>
        <v>0</v>
      </c>
      <c r="U68" s="21">
        <f>'נתונים ידניים'!K69</f>
        <v>0</v>
      </c>
      <c r="V68" s="20">
        <f>IFERROR(VLOOKUP($B68,PerutHafrashotLePolisa!$D$6:$N$50,2,FALSE),0)</f>
        <v>0</v>
      </c>
      <c r="W68" s="20">
        <f>IFERROR(VLOOKUP($B68,PerutHafrashotLePolisa!$D$6:$N$50,4,FALSE),0)</f>
        <v>0</v>
      </c>
      <c r="X68" s="20">
        <f>IFERROR(VLOOKUP($B68,PerutHafrashotLePolisa!$D$6:$N$50,3,FALSE),0)</f>
        <v>0</v>
      </c>
      <c r="Y68">
        <f t="shared" si="31"/>
        <v>0</v>
      </c>
      <c r="Z68">
        <f>RicusPolice!AP65</f>
        <v>0</v>
      </c>
      <c r="AA68">
        <f>IFERROR(VLOOKUP(B68,PirteiHaasaka!$D$6:$R$100,5,FALSE),0)</f>
        <v>0</v>
      </c>
      <c r="AC68">
        <f>IFERROR(VLOOKUP(B68,HafkadotMetchilatShanaAverages!$D$6:$E$100,2,FALSE),0)</f>
        <v>0</v>
      </c>
      <c r="AF68">
        <f>'נתונים ידניים'!L69</f>
        <v>0</v>
      </c>
      <c r="AG68">
        <f>IFERROR(VLOOKUP(B68,CrossTabYitraLeTkufa_till_2000!$D$6:$AB$100,6,FALSE),0)+IFERROR(VLOOKUP(B68,CrossTabYitraLeTkufa_after_2000!$D$6:$AB$100,6,FALSE),0)</f>
        <v>0</v>
      </c>
      <c r="AH68">
        <f>IFERROR(VLOOKUP(B68,CrossTabYitraLeTkufa_till_2000!$D$6:$AB$100,16,FALSE),0)</f>
        <v>0</v>
      </c>
      <c r="AI68">
        <f>IFERROR(VLOOKUP(B68,CrossTabYitraLeTkufa_after_2000!$D$6:$AB$100,16,FALSE),0)</f>
        <v>0</v>
      </c>
      <c r="AJ68">
        <f>IFERROR(VLOOKUP(B68,CrossTabYitraLeTkufa_till_2000!$D$6:$AB$100,17,FALSE),0)</f>
        <v>0</v>
      </c>
      <c r="AK68">
        <f>IFERROR(VLOOKUP(B68,CrossTabYitraLeTkufa_after_2000!$D$6:$AB$100,17,FALSE),0)</f>
        <v>0</v>
      </c>
      <c r="AL68" s="5">
        <f t="shared" si="32"/>
        <v>0</v>
      </c>
      <c r="AO68">
        <f>IFERROR(VLOOKUP(B68,PirteiKisuiBeMutzar_procerur!$C$6:$AA$100,2,FALSE),0)</f>
        <v>0</v>
      </c>
      <c r="AQ68">
        <f>IFERROR(VLOOKUP($B68,PirteiKisuiBeMutzar_procerur!$C$6:$AA$100,5,FALSE),0)</f>
        <v>0</v>
      </c>
      <c r="AR68">
        <f>IFERROR(VLOOKUP($B68,PirteiKisuiBeMutzar_procerur!$C$6:$AA$100,3,FALSE),0)</f>
        <v>0</v>
      </c>
      <c r="AS68">
        <f>IFERROR(VLOOKUP($B68,PirteiKisuiBeMutzar_procerur!$C$6:$AA$100,6,FALSE),0)</f>
        <v>0</v>
      </c>
      <c r="AT68">
        <f>IFERROR(VLOOKUP($B68,PirteiKisuiBeMutzar_procerur!$C$6:$AA$100,7,FALSE),0)</f>
        <v>0</v>
      </c>
      <c r="AX68" s="997">
        <f t="shared" si="33"/>
        <v>0</v>
      </c>
      <c r="AY68" s="997">
        <f t="shared" si="34"/>
        <v>0</v>
      </c>
      <c r="AZ68" s="997">
        <f t="shared" si="35"/>
        <v>0</v>
      </c>
      <c r="BA68" s="997">
        <f>IFERROR(FV(S68/100/12,'נתוני יסוד'!$B$16*12,AX68,AG68)*(-1),0)</f>
        <v>0</v>
      </c>
      <c r="BB68" s="997">
        <f>IFERROR(FV(S68/100/12,'נתוני יסוד'!$B$16*12,0,AH68)*(-1),0)</f>
        <v>0</v>
      </c>
      <c r="BC68" s="997">
        <f>IFERROR(FV(S68/100/12,'נתוני יסוד'!$B$16*12,AY68,AI68)*(-1),0)</f>
        <v>0</v>
      </c>
      <c r="BD68" s="997">
        <f>IFERROR(FV(S68/100/12,'נתוני יסוד'!$B$16*12,0,AJ68)*(-1),0)</f>
        <v>0</v>
      </c>
      <c r="BE68" s="997">
        <f>IFERROR(FV(S68/100/12,'נתוני יסוד'!$B$16*12,AZ68,AK68)*(-1),0)</f>
        <v>0</v>
      </c>
      <c r="BF68" s="997">
        <f t="shared" si="36"/>
        <v>0</v>
      </c>
      <c r="BG68" s="997">
        <f>IFERROR(FV(S68/100/12,'נתוני יסוד'!$B$16*12,AF68,AL68)*(-1),0)</f>
        <v>0</v>
      </c>
      <c r="BH68" s="997">
        <f t="shared" si="37"/>
        <v>0</v>
      </c>
      <c r="BI68" s="997">
        <f t="shared" si="38"/>
        <v>0</v>
      </c>
      <c r="BJ68" s="997">
        <f t="shared" si="39"/>
        <v>0</v>
      </c>
      <c r="BK68" s="997">
        <f t="shared" si="40"/>
        <v>0</v>
      </c>
      <c r="BL68" s="997">
        <f t="shared" si="47"/>
        <v>0</v>
      </c>
      <c r="BM68" s="997">
        <f t="shared" si="48"/>
        <v>0</v>
      </c>
      <c r="BN68" s="997">
        <f t="shared" si="49"/>
        <v>0</v>
      </c>
      <c r="BO68" s="997">
        <f t="shared" si="41"/>
        <v>0</v>
      </c>
      <c r="BP68" s="997">
        <f t="shared" si="50"/>
        <v>0</v>
      </c>
      <c r="BS68">
        <f t="shared" si="51"/>
        <v>0</v>
      </c>
      <c r="BT68">
        <f t="shared" si="52"/>
        <v>0</v>
      </c>
      <c r="BU68">
        <f t="shared" si="53"/>
        <v>0</v>
      </c>
      <c r="BV68">
        <f t="shared" si="42"/>
        <v>0</v>
      </c>
      <c r="BW68">
        <f t="shared" si="54"/>
        <v>0</v>
      </c>
      <c r="BY68" s="997">
        <f t="shared" si="55"/>
        <v>0</v>
      </c>
      <c r="BZ68" s="997">
        <f t="shared" si="56"/>
        <v>0</v>
      </c>
      <c r="CA68" s="997">
        <f t="shared" si="57"/>
        <v>0</v>
      </c>
      <c r="CB68" s="997">
        <f t="shared" si="43"/>
        <v>0</v>
      </c>
      <c r="CC68" s="997">
        <f t="shared" si="58"/>
        <v>0</v>
      </c>
      <c r="CD68" s="997">
        <f t="shared" si="13"/>
        <v>0</v>
      </c>
      <c r="CE68" s="997">
        <f t="shared" si="14"/>
        <v>0</v>
      </c>
      <c r="CF68" s="997">
        <f t="shared" si="15"/>
        <v>0</v>
      </c>
      <c r="CG68" s="997">
        <f t="shared" si="16"/>
        <v>0</v>
      </c>
      <c r="CH68" s="997">
        <f t="shared" si="17"/>
        <v>0</v>
      </c>
      <c r="CI68" s="997">
        <f t="shared" si="18"/>
        <v>0</v>
      </c>
      <c r="CJ68" s="997">
        <f t="shared" si="19"/>
        <v>0</v>
      </c>
      <c r="CK68" s="997"/>
      <c r="CL68" s="997"/>
      <c r="CM68" s="997">
        <f t="shared" si="59"/>
        <v>0</v>
      </c>
      <c r="CN68" s="997">
        <f t="shared" si="60"/>
        <v>0</v>
      </c>
      <c r="CO68" s="997">
        <f t="shared" si="61"/>
        <v>0</v>
      </c>
      <c r="CP68" s="997">
        <f t="shared" si="44"/>
        <v>0</v>
      </c>
      <c r="CQ68" s="997">
        <f t="shared" si="62"/>
        <v>0</v>
      </c>
      <c r="CR68" s="997">
        <f>IFERROR(VLOOKUP($B68,SchumeiBituahYesodi!$C$6:$AA$100,8,FALSE),0)</f>
        <v>0</v>
      </c>
      <c r="CS68" s="997">
        <f>IFERROR(VLOOKUP($B68,PirteiKisuiBeMutzar_procerur!$C$6:$AA$100,2,FALSE),0)</f>
        <v>0</v>
      </c>
      <c r="CT68" s="997">
        <f>IFERROR(VLOOKUP($B68,PirteiKisuiBeMutzar_procerur!$C$6:$AA$100,3,FALSE),0)</f>
        <v>0</v>
      </c>
      <c r="CU68" s="997">
        <f>IFERROR(VLOOKUP($B68,PirteiKisuiBeMutzar_procerur!$C$6:$AA$100,4,FALSE),0)</f>
        <v>0</v>
      </c>
      <c r="CV68" s="997">
        <f>IFERROR(VLOOKUP($B68,PirteiKisuiBeMutzar_procerur!$C$6:$AA$100,5,FALSE),0)</f>
        <v>0</v>
      </c>
      <c r="CW68" s="997">
        <f>IFERROR(VLOOKUP($B68,PirteiKisuiBeMutzar_procerur!$C$6:$AA$100,6,FALSE),0)</f>
        <v>0</v>
      </c>
      <c r="CX68" s="997">
        <f>IFERROR(VLOOKUP($B68,PirteiKisuiBeMutzar_procerur!$C$6:$AA$100,7,FALSE),0)</f>
        <v>0</v>
      </c>
      <c r="CY68" s="997">
        <f>IFERROR(VLOOKUP($B68,PirteiKisuiBeMutzar_procerur!$C$6:$AA$100,8,FALSE),0)</f>
        <v>0</v>
      </c>
      <c r="CZ68" s="997">
        <f>IFERROR(VLOOKUP($B68,PirteiKisuiBeMutzar_procerur!$C$6:$AA$100,9,FALSE),0)</f>
        <v>0</v>
      </c>
      <c r="DA68" s="997">
        <f>IFERROR(VLOOKUP($B68,PirteiKisuiBeMutzar_procerur!$C$6:$AA$100,10,FALSE),0)</f>
        <v>0</v>
      </c>
      <c r="DB68" s="997">
        <f>IFERROR(VLOOKUP($B68,PirteiKisuiBeMutzar_procerur!$C$6:$AA$100,11,FALSE),0)</f>
        <v>0</v>
      </c>
      <c r="DC68" s="997">
        <f>IFERROR(VLOOKUP($B68,PirteiKisuiBeMutzarPrmia!$C$6:$Z$100,2,FALSE),0)</f>
        <v>0</v>
      </c>
      <c r="DD68" s="997">
        <f>IFERROR(VLOOKUP($B68,PirteiKisuiBeMutzarPrmia!$C$6:$Z$100,3,FALSE),0)</f>
        <v>0</v>
      </c>
      <c r="DE68" s="997">
        <f>IFERROR(VLOOKUP($B68,PirteiKisuiBeMutzarPrmia!$C$6:$Z$100,4,FALSE),0)</f>
        <v>0</v>
      </c>
      <c r="DF68" s="997">
        <f>IFERROR(VLOOKUP($B68,PirteiKisuiBeMutzarPrmia!$C$6:$Z$100,5,FALSE),0)</f>
        <v>0</v>
      </c>
      <c r="DG68" s="997">
        <f>IFERROR(VLOOKUP($B68,PirteiKisuiBeMutzarPrmia!$C$6:$Z$100,6,FALSE),0)</f>
        <v>0</v>
      </c>
      <c r="DH68" s="997">
        <f>IFERROR(VLOOKUP($B68,PirteiKisuiBeMutzarPrmia!$C$6:$Z$100,7,FALSE),0)</f>
        <v>0</v>
      </c>
      <c r="DI68" s="997">
        <f>IFERROR(VLOOKUP($B68,PirteiKisuiBeMutzarPrmia!$C$6:$Z$100,8,FALSE),0)</f>
        <v>0</v>
      </c>
      <c r="DJ68" s="997">
        <f>IFERROR(VLOOKUP($B68,PirteiKisuiBeMutzarPrmia!$C$6:$Z$100,9,FALSE),0)</f>
        <v>0</v>
      </c>
      <c r="DK68" s="997">
        <f>IFERROR(VLOOKUP($B68,PirteiKisuiBeMutzarPrmia!$C$6:$Z$100,10,FALSE),0)</f>
        <v>0</v>
      </c>
      <c r="DL68" s="997">
        <f>IFERROR(VLOOKUP($B68,PirteiKisuiBeMutzarPrmia!$C$6:$Z$100,11,FALSE),0)</f>
        <v>0</v>
      </c>
      <c r="DM68" s="997">
        <f t="shared" si="66"/>
        <v>0</v>
      </c>
      <c r="DN68" s="997">
        <f t="shared" si="63"/>
        <v>0</v>
      </c>
      <c r="DO68" s="997">
        <f t="shared" si="64"/>
        <v>0</v>
      </c>
      <c r="DP68" s="997">
        <f t="shared" si="67"/>
        <v>0</v>
      </c>
      <c r="DQ68" s="997">
        <f t="shared" si="65"/>
        <v>0</v>
      </c>
      <c r="DR68" s="997">
        <f>IF(OR(L68=1,L68=3),IFERROR(VLOOKUP($B68,PerutHafkadotMetchilatShanaAvgM!$C$6:$G$100,3,FALSE),0),0)</f>
        <v>0</v>
      </c>
      <c r="DS68" s="997">
        <f>IF(OR(L68=2,L68=4),IFERROR(VLOOKUP($B68,PerutHafkadotMetchilatShanaAvgM!$C$6:$G$100,3,FALSE),0),0)</f>
        <v>0</v>
      </c>
      <c r="DT68" s="997">
        <f>IFERROR(VLOOKUP($B68,PerutHafkadotMetchilatShanaAvgM!$C$6:$G$100,4,FALSE),0)</f>
        <v>0</v>
      </c>
      <c r="DU68" s="997">
        <f>IFERROR(VLOOKUP($B68,Kupa!$D$6:$AA$100,5,FALSE),0)</f>
        <v>0</v>
      </c>
      <c r="DV68" s="997">
        <f>IFERROR(VLOOKUP($B68,Kupa!$D$6:$AA$100,6,FALSE),0)</f>
        <v>0</v>
      </c>
      <c r="DW68" s="997">
        <f>IFERROR(VLOOKUP($B68,KisuiBKerenPensiaDBWithParams!$D$6:$AP$100,9,FALSE),0)</f>
        <v>0</v>
      </c>
      <c r="DX68" s="997">
        <f>IFERROR(VLOOKUP($B68,KisuiBKerenPensiaDBWithParams!$D$6:$AP$100,12,FALSE),0)</f>
        <v>0</v>
      </c>
      <c r="DY68" s="997">
        <f>IFERROR(VLOOKUP($B68,KisuiBKerenPensiaDBWithParams!$D$6:$AP$100,13,FALSE),0)</f>
        <v>0</v>
      </c>
      <c r="DZ68" s="997">
        <f>IFERROR(VLOOKUP($B68,KisuiBKerenPensiaDBWithParams!$D$6:$AP$100,7,FALSE),0)</f>
        <v>0</v>
      </c>
      <c r="EA68" s="997">
        <f>IFERROR(VLOOKUP($B68,KisuiBKerenPensiaDBWithParams!$D$6:$AP$100,17,FALSE),0)</f>
        <v>0</v>
      </c>
      <c r="EB68" s="997">
        <f>IFERROR(VLOOKUP($B68,KisuiBKerenPensiaDBWithParams!$D$6:$AP$100,20,FALSE),0)</f>
        <v>0</v>
      </c>
      <c r="EC68" s="997">
        <f>IFERROR(VLOOKUP($B68,KisuiBKerenPensiaDBWithParams!$D$6:$AP$100,21,FALSE),0)</f>
        <v>0</v>
      </c>
      <c r="ED68" s="997">
        <f t="shared" si="45"/>
        <v>0</v>
      </c>
      <c r="EE68" s="997"/>
      <c r="EF68" s="1020">
        <f>IFERROR(VLOOKUP($B68,KisuiBKerenPensiaDBWithParams!$D$6:$AP$100,21,FALSE),0)</f>
        <v>0</v>
      </c>
      <c r="EG68" s="1020">
        <f>IFERROR(VLOOKUP($B68,KisuiBKerenPensiaDBWithParams!$D$6:$AP$100,21,FALSE),0)</f>
        <v>0</v>
      </c>
      <c r="EH68">
        <f>IF(OR(G68=MyData!$J$51,G68=MyData!$J$52,G68=MyData!$J$53),1,IF(G68=MyData!$J$50,2,0))</f>
        <v>0</v>
      </c>
      <c r="EI68">
        <f>IFERROR(VLOOKUP($B68,CrosstabPerutYitrotDB!$C$6:$N$50,3,FALSE),0)</f>
        <v>0</v>
      </c>
      <c r="EJ68">
        <f>IFERROR(VLOOKUP($B68,CrosstabPerutYitrotDB!$C$6:$N$50,4,FALSE),0)</f>
        <v>0</v>
      </c>
      <c r="EK68">
        <f>IFERROR(VLOOKUP($B68,CrosstabPerutYitrotDB!$C$6:$N$50,5,FALSE),0)</f>
        <v>0</v>
      </c>
      <c r="EL68">
        <f>IFERROR(VLOOKUP($B68,CrosstabPerutYitrotDB!$C$6:$N$50,6,FALSE),0)</f>
        <v>0</v>
      </c>
      <c r="EM68">
        <f>IFERROR(VLOOKUP($B68,CrosstabPerutYitrotDB!$C$6:$N$50,7,FALSE),0)</f>
        <v>0</v>
      </c>
      <c r="EN68">
        <f>IFERROR(VLOOKUP($B68,CrosstabPerutYitrotDB!$C$6:$N$50,8,FALSE),0)</f>
        <v>0</v>
      </c>
      <c r="EO68">
        <f>IFERROR(VLOOKUP($B68,CrosstabPerutYitrotDB!$C$6:$N$50,9,FALSE),0)</f>
        <v>0</v>
      </c>
      <c r="EP68">
        <f>IFERROR(VLOOKUP($B68,CrosstabPerutYitrotDB!$C$6:$N$50,10,FALSE),0)</f>
        <v>0</v>
      </c>
      <c r="EQ68">
        <f>IFERROR(VLOOKUP($B68,CrosstabPerutYitrotDB!$C$6:$N$50,11,FALSE),0)</f>
        <v>0</v>
      </c>
    </row>
    <row r="69" spans="1:147" x14ac:dyDescent="0.2">
      <c r="A69">
        <f t="shared" si="46"/>
        <v>0</v>
      </c>
      <c r="B69" s="20">
        <f>RicusPolice!E66</f>
        <v>0</v>
      </c>
      <c r="C69" s="20">
        <f>RicusPolice!AL66</f>
        <v>0</v>
      </c>
      <c r="D69" s="20">
        <f>RicusPolice!F66</f>
        <v>0</v>
      </c>
      <c r="E69" s="20">
        <f>RicusPolice!R66</f>
        <v>0</v>
      </c>
      <c r="F69" s="20">
        <f>RicusPolice!N66</f>
        <v>0</v>
      </c>
      <c r="G69" s="20">
        <f>IFERROR(VLOOKUP($B69,PerutYitrot!$D$6:$P$100,4,FALSE),0)</f>
        <v>0</v>
      </c>
      <c r="H69" s="20">
        <f t="shared" si="29"/>
        <v>0</v>
      </c>
      <c r="I69" s="20">
        <f>RicusPolice!L66</f>
        <v>0</v>
      </c>
      <c r="J69" s="179">
        <f>IFERROR(VLOOKUP(TRIM(K69),MyData!$J$44:$K$50,2,FALSE),0)</f>
        <v>0</v>
      </c>
      <c r="K69" s="20">
        <f>RicusPolice!M66</f>
        <v>0</v>
      </c>
      <c r="L69" s="20">
        <f>RicusPolice!AM66</f>
        <v>0</v>
      </c>
      <c r="M69" s="20" t="str">
        <f>IF(B69&gt;0,RicusPolice!Y66," ")</f>
        <v xml:space="preserve"> </v>
      </c>
      <c r="N69" s="20" t="str">
        <f t="shared" si="30"/>
        <v/>
      </c>
      <c r="O69" s="20">
        <f>RicusPolice!N66</f>
        <v>0</v>
      </c>
      <c r="P69" s="20">
        <f>IFERROR(VLOOKUP(B69,PerutMasluleiHashkaa!$D$6:$R$100,4,FALSE),0)</f>
        <v>0</v>
      </c>
      <c r="Q69" s="19"/>
      <c r="R69" s="1011" t="str">
        <f>IF(B69&gt;0,RicusPolice!P68," ")</f>
        <v xml:space="preserve"> </v>
      </c>
      <c r="S69" s="20">
        <f>IFERROR(VLOOKUP($B69,'נתונים ידניים'!$B$9:$G$51,6,FALSE),0)</f>
        <v>0</v>
      </c>
      <c r="T69" s="21">
        <f>'נתונים ידניים'!J70</f>
        <v>0</v>
      </c>
      <c r="U69" s="21">
        <f>'נתונים ידניים'!K70</f>
        <v>0</v>
      </c>
      <c r="V69" s="20">
        <f>IFERROR(VLOOKUP($B69,PerutHafrashotLePolisa!$D$6:$N$50,2,FALSE),0)</f>
        <v>0</v>
      </c>
      <c r="W69" s="20">
        <f>IFERROR(VLOOKUP($B69,PerutHafrashotLePolisa!$D$6:$N$50,4,FALSE),0)</f>
        <v>0</v>
      </c>
      <c r="X69" s="20">
        <f>IFERROR(VLOOKUP($B69,PerutHafrashotLePolisa!$D$6:$N$50,3,FALSE),0)</f>
        <v>0</v>
      </c>
      <c r="Y69">
        <f t="shared" si="31"/>
        <v>0</v>
      </c>
      <c r="Z69">
        <f>RicusPolice!AP66</f>
        <v>0</v>
      </c>
      <c r="AA69">
        <f>IFERROR(VLOOKUP(B69,PirteiHaasaka!$D$6:$R$100,5,FALSE),0)</f>
        <v>0</v>
      </c>
      <c r="AC69">
        <f>IFERROR(VLOOKUP(B69,HafkadotMetchilatShanaAverages!$D$6:$E$100,2,FALSE),0)</f>
        <v>0</v>
      </c>
      <c r="AF69">
        <f>'נתונים ידניים'!L70</f>
        <v>0</v>
      </c>
      <c r="AG69">
        <f>IFERROR(VLOOKUP(B69,CrossTabYitraLeTkufa_till_2000!$D$6:$AB$100,6,FALSE),0)+IFERROR(VLOOKUP(B69,CrossTabYitraLeTkufa_after_2000!$D$6:$AB$100,6,FALSE),0)</f>
        <v>0</v>
      </c>
      <c r="AH69">
        <f>IFERROR(VLOOKUP(B69,CrossTabYitraLeTkufa_till_2000!$D$6:$AB$100,16,FALSE),0)</f>
        <v>0</v>
      </c>
      <c r="AI69">
        <f>IFERROR(VLOOKUP(B69,CrossTabYitraLeTkufa_after_2000!$D$6:$AB$100,16,FALSE),0)</f>
        <v>0</v>
      </c>
      <c r="AJ69">
        <f>IFERROR(VLOOKUP(B69,CrossTabYitraLeTkufa_till_2000!$D$6:$AB$100,17,FALSE),0)</f>
        <v>0</v>
      </c>
      <c r="AK69">
        <f>IFERROR(VLOOKUP(B69,CrossTabYitraLeTkufa_after_2000!$D$6:$AB$100,17,FALSE),0)</f>
        <v>0</v>
      </c>
      <c r="AL69" s="5">
        <f t="shared" si="32"/>
        <v>0</v>
      </c>
      <c r="AO69">
        <f>IFERROR(VLOOKUP(B69,PirteiKisuiBeMutzar_procerur!$C$6:$AA$100,2,FALSE),0)</f>
        <v>0</v>
      </c>
      <c r="AQ69">
        <f>IFERROR(VLOOKUP($B69,PirteiKisuiBeMutzar_procerur!$C$6:$AA$100,5,FALSE),0)</f>
        <v>0</v>
      </c>
      <c r="AR69">
        <f>IFERROR(VLOOKUP($B69,PirteiKisuiBeMutzar_procerur!$C$6:$AA$100,3,FALSE),0)</f>
        <v>0</v>
      </c>
      <c r="AS69">
        <f>IFERROR(VLOOKUP($B69,PirteiKisuiBeMutzar_procerur!$C$6:$AA$100,6,FALSE),0)</f>
        <v>0</v>
      </c>
      <c r="AT69">
        <f>IFERROR(VLOOKUP($B69,PirteiKisuiBeMutzar_procerur!$C$6:$AA$100,7,FALSE),0)</f>
        <v>0</v>
      </c>
      <c r="AX69" s="997">
        <f t="shared" si="33"/>
        <v>0</v>
      </c>
      <c r="AY69" s="997">
        <f t="shared" si="34"/>
        <v>0</v>
      </c>
      <c r="AZ69" s="997">
        <f t="shared" si="35"/>
        <v>0</v>
      </c>
      <c r="BA69" s="997">
        <f>IFERROR(FV(S69/100/12,'נתוני יסוד'!$B$16*12,AX69,AG69)*(-1),0)</f>
        <v>0</v>
      </c>
      <c r="BB69" s="997">
        <f>IFERROR(FV(S69/100/12,'נתוני יסוד'!$B$16*12,0,AH69)*(-1),0)</f>
        <v>0</v>
      </c>
      <c r="BC69" s="997">
        <f>IFERROR(FV(S69/100/12,'נתוני יסוד'!$B$16*12,AY69,AI69)*(-1),0)</f>
        <v>0</v>
      </c>
      <c r="BD69" s="997">
        <f>IFERROR(FV(S69/100/12,'נתוני יסוד'!$B$16*12,0,AJ69)*(-1),0)</f>
        <v>0</v>
      </c>
      <c r="BE69" s="997">
        <f>IFERROR(FV(S69/100/12,'נתוני יסוד'!$B$16*12,AZ69,AK69)*(-1),0)</f>
        <v>0</v>
      </c>
      <c r="BF69" s="997">
        <f t="shared" si="36"/>
        <v>0</v>
      </c>
      <c r="BG69" s="997">
        <f>IFERROR(FV(S69/100/12,'נתוני יסוד'!$B$16*12,AF69,AL69)*(-1),0)</f>
        <v>0</v>
      </c>
      <c r="BH69" s="997">
        <f t="shared" si="37"/>
        <v>0</v>
      </c>
      <c r="BI69" s="997">
        <f t="shared" si="38"/>
        <v>0</v>
      </c>
      <c r="BJ69" s="997">
        <f t="shared" si="39"/>
        <v>0</v>
      </c>
      <c r="BK69" s="997">
        <f t="shared" si="40"/>
        <v>0</v>
      </c>
      <c r="BL69" s="997">
        <f t="shared" si="47"/>
        <v>0</v>
      </c>
      <c r="BM69" s="997">
        <f t="shared" si="48"/>
        <v>0</v>
      </c>
      <c r="BN69" s="997">
        <f t="shared" si="49"/>
        <v>0</v>
      </c>
      <c r="BO69" s="997">
        <f t="shared" si="41"/>
        <v>0</v>
      </c>
      <c r="BP69" s="997">
        <f t="shared" si="50"/>
        <v>0</v>
      </c>
      <c r="BS69">
        <f t="shared" si="51"/>
        <v>0</v>
      </c>
      <c r="BT69">
        <f t="shared" si="52"/>
        <v>0</v>
      </c>
      <c r="BU69">
        <f t="shared" si="53"/>
        <v>0</v>
      </c>
      <c r="BV69">
        <f t="shared" si="42"/>
        <v>0</v>
      </c>
      <c r="BW69">
        <f t="shared" si="54"/>
        <v>0</v>
      </c>
      <c r="BY69" s="997">
        <f t="shared" si="55"/>
        <v>0</v>
      </c>
      <c r="BZ69" s="997">
        <f t="shared" si="56"/>
        <v>0</v>
      </c>
      <c r="CA69" s="997">
        <f t="shared" si="57"/>
        <v>0</v>
      </c>
      <c r="CB69" s="997">
        <f t="shared" si="43"/>
        <v>0</v>
      </c>
      <c r="CC69" s="997">
        <f t="shared" si="58"/>
        <v>0</v>
      </c>
      <c r="CD69" s="997">
        <f t="shared" si="13"/>
        <v>0</v>
      </c>
      <c r="CE69" s="997">
        <f t="shared" si="14"/>
        <v>0</v>
      </c>
      <c r="CF69" s="997">
        <f t="shared" si="15"/>
        <v>0</v>
      </c>
      <c r="CG69" s="997">
        <f t="shared" si="16"/>
        <v>0</v>
      </c>
      <c r="CH69" s="997">
        <f t="shared" si="17"/>
        <v>0</v>
      </c>
      <c r="CI69" s="997">
        <f t="shared" si="18"/>
        <v>0</v>
      </c>
      <c r="CJ69" s="997">
        <f t="shared" si="19"/>
        <v>0</v>
      </c>
      <c r="CK69" s="997"/>
      <c r="CL69" s="997"/>
      <c r="CM69" s="997">
        <f t="shared" si="59"/>
        <v>0</v>
      </c>
      <c r="CN69" s="997">
        <f t="shared" si="60"/>
        <v>0</v>
      </c>
      <c r="CO69" s="997">
        <f t="shared" si="61"/>
        <v>0</v>
      </c>
      <c r="CP69" s="997">
        <f t="shared" si="44"/>
        <v>0</v>
      </c>
      <c r="CQ69" s="997">
        <f t="shared" si="62"/>
        <v>0</v>
      </c>
      <c r="CR69" s="997">
        <f>IFERROR(VLOOKUP($B69,SchumeiBituahYesodi!$C$6:$AA$100,8,FALSE),0)</f>
        <v>0</v>
      </c>
      <c r="CS69" s="997">
        <f>IFERROR(VLOOKUP($B69,PirteiKisuiBeMutzar_procerur!$C$6:$AA$100,2,FALSE),0)</f>
        <v>0</v>
      </c>
      <c r="CT69" s="997">
        <f>IFERROR(VLOOKUP($B69,PirteiKisuiBeMutzar_procerur!$C$6:$AA$100,3,FALSE),0)</f>
        <v>0</v>
      </c>
      <c r="CU69" s="997">
        <f>IFERROR(VLOOKUP($B69,PirteiKisuiBeMutzar_procerur!$C$6:$AA$100,4,FALSE),0)</f>
        <v>0</v>
      </c>
      <c r="CV69" s="997">
        <f>IFERROR(VLOOKUP($B69,PirteiKisuiBeMutzar_procerur!$C$6:$AA$100,5,FALSE),0)</f>
        <v>0</v>
      </c>
      <c r="CW69" s="997">
        <f>IFERROR(VLOOKUP($B69,PirteiKisuiBeMutzar_procerur!$C$6:$AA$100,6,FALSE),0)</f>
        <v>0</v>
      </c>
      <c r="CX69" s="997">
        <f>IFERROR(VLOOKUP($B69,PirteiKisuiBeMutzar_procerur!$C$6:$AA$100,7,FALSE),0)</f>
        <v>0</v>
      </c>
      <c r="CY69" s="997">
        <f>IFERROR(VLOOKUP($B69,PirteiKisuiBeMutzar_procerur!$C$6:$AA$100,8,FALSE),0)</f>
        <v>0</v>
      </c>
      <c r="CZ69" s="997">
        <f>IFERROR(VLOOKUP($B69,PirteiKisuiBeMutzar_procerur!$C$6:$AA$100,9,FALSE),0)</f>
        <v>0</v>
      </c>
      <c r="DA69" s="997">
        <f>IFERROR(VLOOKUP($B69,PirteiKisuiBeMutzar_procerur!$C$6:$AA$100,10,FALSE),0)</f>
        <v>0</v>
      </c>
      <c r="DB69" s="997">
        <f>IFERROR(VLOOKUP($B69,PirteiKisuiBeMutzar_procerur!$C$6:$AA$100,11,FALSE),0)</f>
        <v>0</v>
      </c>
      <c r="DC69" s="997">
        <f>IFERROR(VLOOKUP($B69,PirteiKisuiBeMutzarPrmia!$C$6:$Z$100,2,FALSE),0)</f>
        <v>0</v>
      </c>
      <c r="DD69" s="997">
        <f>IFERROR(VLOOKUP($B69,PirteiKisuiBeMutzarPrmia!$C$6:$Z$100,3,FALSE),0)</f>
        <v>0</v>
      </c>
      <c r="DE69" s="997">
        <f>IFERROR(VLOOKUP($B69,PirteiKisuiBeMutzarPrmia!$C$6:$Z$100,4,FALSE),0)</f>
        <v>0</v>
      </c>
      <c r="DF69" s="997">
        <f>IFERROR(VLOOKUP($B69,PirteiKisuiBeMutzarPrmia!$C$6:$Z$100,5,FALSE),0)</f>
        <v>0</v>
      </c>
      <c r="DG69" s="997">
        <f>IFERROR(VLOOKUP($B69,PirteiKisuiBeMutzarPrmia!$C$6:$Z$100,6,FALSE),0)</f>
        <v>0</v>
      </c>
      <c r="DH69" s="997">
        <f>IFERROR(VLOOKUP($B69,PirteiKisuiBeMutzarPrmia!$C$6:$Z$100,7,FALSE),0)</f>
        <v>0</v>
      </c>
      <c r="DI69" s="997">
        <f>IFERROR(VLOOKUP($B69,PirteiKisuiBeMutzarPrmia!$C$6:$Z$100,8,FALSE),0)</f>
        <v>0</v>
      </c>
      <c r="DJ69" s="997">
        <f>IFERROR(VLOOKUP($B69,PirteiKisuiBeMutzarPrmia!$C$6:$Z$100,9,FALSE),0)</f>
        <v>0</v>
      </c>
      <c r="DK69" s="997">
        <f>IFERROR(VLOOKUP($B69,PirteiKisuiBeMutzarPrmia!$C$6:$Z$100,10,FALSE),0)</f>
        <v>0</v>
      </c>
      <c r="DL69" s="997">
        <f>IFERROR(VLOOKUP($B69,PirteiKisuiBeMutzarPrmia!$C$6:$Z$100,11,FALSE),0)</f>
        <v>0</v>
      </c>
      <c r="DM69" s="997">
        <f t="shared" si="66"/>
        <v>0</v>
      </c>
      <c r="DN69" s="997">
        <f t="shared" si="63"/>
        <v>0</v>
      </c>
      <c r="DO69" s="997">
        <f t="shared" si="64"/>
        <v>0</v>
      </c>
      <c r="DP69" s="997">
        <f t="shared" si="67"/>
        <v>0</v>
      </c>
      <c r="DQ69" s="997">
        <f t="shared" si="65"/>
        <v>0</v>
      </c>
      <c r="DR69" s="997">
        <f>IF(OR(L69=1,L69=3),IFERROR(VLOOKUP($B69,PerutHafkadotMetchilatShanaAvgM!$C$6:$G$100,3,FALSE),0),0)</f>
        <v>0</v>
      </c>
      <c r="DS69" s="997">
        <f>IF(OR(L69=2,L69=4),IFERROR(VLOOKUP($B69,PerutHafkadotMetchilatShanaAvgM!$C$6:$G$100,3,FALSE),0),0)</f>
        <v>0</v>
      </c>
      <c r="DT69" s="997">
        <f>IFERROR(VLOOKUP($B69,PerutHafkadotMetchilatShanaAvgM!$C$6:$G$100,4,FALSE),0)</f>
        <v>0</v>
      </c>
      <c r="DU69" s="997">
        <f>IFERROR(VLOOKUP($B69,Kupa!$D$6:$AA$100,5,FALSE),0)</f>
        <v>0</v>
      </c>
      <c r="DV69" s="997">
        <f>IFERROR(VLOOKUP($B69,Kupa!$D$6:$AA$100,6,FALSE),0)</f>
        <v>0</v>
      </c>
      <c r="DW69" s="997">
        <f>IFERROR(VLOOKUP($B69,KisuiBKerenPensiaDBWithParams!$D$6:$AP$100,9,FALSE),0)</f>
        <v>0</v>
      </c>
      <c r="DX69" s="997">
        <f>IFERROR(VLOOKUP($B69,KisuiBKerenPensiaDBWithParams!$D$6:$AP$100,12,FALSE),0)</f>
        <v>0</v>
      </c>
      <c r="DY69" s="997">
        <f>IFERROR(VLOOKUP($B69,KisuiBKerenPensiaDBWithParams!$D$6:$AP$100,13,FALSE),0)</f>
        <v>0</v>
      </c>
      <c r="DZ69" s="997">
        <f>IFERROR(VLOOKUP($B69,KisuiBKerenPensiaDBWithParams!$D$6:$AP$100,7,FALSE),0)</f>
        <v>0</v>
      </c>
      <c r="EA69" s="997">
        <f>IFERROR(VLOOKUP($B69,KisuiBKerenPensiaDBWithParams!$D$6:$AP$100,17,FALSE),0)</f>
        <v>0</v>
      </c>
      <c r="EB69" s="997">
        <f>IFERROR(VLOOKUP($B69,KisuiBKerenPensiaDBWithParams!$D$6:$AP$100,20,FALSE),0)</f>
        <v>0</v>
      </c>
      <c r="EC69" s="997">
        <f>IFERROR(VLOOKUP($B69,KisuiBKerenPensiaDBWithParams!$D$6:$AP$100,21,FALSE),0)</f>
        <v>0</v>
      </c>
      <c r="ED69" s="997">
        <f t="shared" si="45"/>
        <v>0</v>
      </c>
      <c r="EE69" s="997"/>
      <c r="EF69" s="1020">
        <f>IFERROR(VLOOKUP($B69,KisuiBKerenPensiaDBWithParams!$D$6:$AP$100,21,FALSE),0)</f>
        <v>0</v>
      </c>
      <c r="EG69" s="1020">
        <f>IFERROR(VLOOKUP($B69,KisuiBKerenPensiaDBWithParams!$D$6:$AP$100,21,FALSE),0)</f>
        <v>0</v>
      </c>
      <c r="EH69">
        <f>IF(OR(G69=MyData!$J$51,G69=MyData!$J$52,G69=MyData!$J$53),1,IF(G69=MyData!$J$50,2,0))</f>
        <v>0</v>
      </c>
      <c r="EI69">
        <f>IFERROR(VLOOKUP($B69,CrosstabPerutYitrotDB!$C$6:$N$50,3,FALSE),0)</f>
        <v>0</v>
      </c>
      <c r="EJ69">
        <f>IFERROR(VLOOKUP($B69,CrosstabPerutYitrotDB!$C$6:$N$50,4,FALSE),0)</f>
        <v>0</v>
      </c>
      <c r="EK69">
        <f>IFERROR(VLOOKUP($B69,CrosstabPerutYitrotDB!$C$6:$N$50,5,FALSE),0)</f>
        <v>0</v>
      </c>
      <c r="EL69">
        <f>IFERROR(VLOOKUP($B69,CrosstabPerutYitrotDB!$C$6:$N$50,6,FALSE),0)</f>
        <v>0</v>
      </c>
      <c r="EM69">
        <f>IFERROR(VLOOKUP($B69,CrosstabPerutYitrotDB!$C$6:$N$50,7,FALSE),0)</f>
        <v>0</v>
      </c>
      <c r="EN69">
        <f>IFERROR(VLOOKUP($B69,CrosstabPerutYitrotDB!$C$6:$N$50,8,FALSE),0)</f>
        <v>0</v>
      </c>
      <c r="EO69">
        <f>IFERROR(VLOOKUP($B69,CrosstabPerutYitrotDB!$C$6:$N$50,9,FALSE),0)</f>
        <v>0</v>
      </c>
      <c r="EP69">
        <f>IFERROR(VLOOKUP($B69,CrosstabPerutYitrotDB!$C$6:$N$50,10,FALSE),0)</f>
        <v>0</v>
      </c>
      <c r="EQ69">
        <f>IFERROR(VLOOKUP($B69,CrosstabPerutYitrotDB!$C$6:$N$50,11,FALSE),0)</f>
        <v>0</v>
      </c>
    </row>
    <row r="70" spans="1:147" x14ac:dyDescent="0.2">
      <c r="A70">
        <f t="shared" si="46"/>
        <v>0</v>
      </c>
      <c r="B70" s="20">
        <f>RicusPolice!E67</f>
        <v>0</v>
      </c>
      <c r="C70" s="20">
        <f>RicusPolice!AL67</f>
        <v>0</v>
      </c>
      <c r="D70" s="20">
        <f>RicusPolice!F67</f>
        <v>0</v>
      </c>
      <c r="E70" s="20">
        <f>RicusPolice!R67</f>
        <v>0</v>
      </c>
      <c r="F70" s="20">
        <f>RicusPolice!N67</f>
        <v>0</v>
      </c>
      <c r="G70" s="20">
        <f>IFERROR(VLOOKUP($B70,PerutYitrot!$D$6:$P$100,4,FALSE),0)</f>
        <v>0</v>
      </c>
      <c r="H70" s="20">
        <f t="shared" si="29"/>
        <v>0</v>
      </c>
      <c r="I70" s="20">
        <f>RicusPolice!L67</f>
        <v>0</v>
      </c>
      <c r="J70" s="179">
        <f>IFERROR(VLOOKUP(TRIM(K70),MyData!$J$44:$K$50,2,FALSE),0)</f>
        <v>0</v>
      </c>
      <c r="K70" s="20">
        <f>RicusPolice!M67</f>
        <v>0</v>
      </c>
      <c r="L70" s="20">
        <f>RicusPolice!AM67</f>
        <v>0</v>
      </c>
      <c r="M70" s="20" t="str">
        <f>IF(B70&gt;0,RicusPolice!Y67," ")</f>
        <v xml:space="preserve"> </v>
      </c>
      <c r="N70" s="20" t="str">
        <f t="shared" si="30"/>
        <v/>
      </c>
      <c r="O70" s="20">
        <f>RicusPolice!N67</f>
        <v>0</v>
      </c>
      <c r="P70" s="20">
        <f>IFERROR(VLOOKUP(B70,PerutMasluleiHashkaa!$D$6:$R$100,4,FALSE),0)</f>
        <v>0</v>
      </c>
      <c r="Q70" s="19"/>
      <c r="R70" s="1011" t="str">
        <f>IF(B70&gt;0,RicusPolice!P69," ")</f>
        <v xml:space="preserve"> </v>
      </c>
      <c r="S70" s="20">
        <f>IFERROR(VLOOKUP($B70,'נתונים ידניים'!$B$9:$G$51,6,FALSE),0)</f>
        <v>0</v>
      </c>
      <c r="T70" s="21">
        <f>'נתונים ידניים'!J71</f>
        <v>0</v>
      </c>
      <c r="U70" s="21">
        <f>'נתונים ידניים'!K71</f>
        <v>0</v>
      </c>
      <c r="V70" s="20">
        <f>IFERROR(VLOOKUP($B70,PerutHafrashotLePolisa!$D$6:$N$50,2,FALSE),0)</f>
        <v>0</v>
      </c>
      <c r="W70" s="20">
        <f>IFERROR(VLOOKUP($B70,PerutHafrashotLePolisa!$D$6:$N$50,4,FALSE),0)</f>
        <v>0</v>
      </c>
      <c r="X70" s="20">
        <f>IFERROR(VLOOKUP($B70,PerutHafrashotLePolisa!$D$6:$N$50,3,FALSE),0)</f>
        <v>0</v>
      </c>
      <c r="Y70">
        <f t="shared" si="31"/>
        <v>0</v>
      </c>
      <c r="Z70">
        <f>RicusPolice!AP67</f>
        <v>0</v>
      </c>
      <c r="AA70">
        <f>IFERROR(VLOOKUP(B70,PirteiHaasaka!$D$6:$R$100,5,FALSE),0)</f>
        <v>0</v>
      </c>
      <c r="AC70">
        <f>IFERROR(VLOOKUP(B70,HafkadotMetchilatShanaAverages!$D$6:$E$100,2,FALSE),0)</f>
        <v>0</v>
      </c>
      <c r="AF70">
        <f>'נתונים ידניים'!L71</f>
        <v>0</v>
      </c>
      <c r="AG70">
        <f>IFERROR(VLOOKUP(B70,CrossTabYitraLeTkufa_till_2000!$D$6:$AB$100,6,FALSE),0)+IFERROR(VLOOKUP(B70,CrossTabYitraLeTkufa_after_2000!$D$6:$AB$100,6,FALSE),0)</f>
        <v>0</v>
      </c>
      <c r="AH70">
        <f>IFERROR(VLOOKUP(B70,CrossTabYitraLeTkufa_till_2000!$D$6:$AB$100,16,FALSE),0)</f>
        <v>0</v>
      </c>
      <c r="AI70">
        <f>IFERROR(VLOOKUP(B70,CrossTabYitraLeTkufa_after_2000!$D$6:$AB$100,16,FALSE),0)</f>
        <v>0</v>
      </c>
      <c r="AJ70">
        <f>IFERROR(VLOOKUP(B70,CrossTabYitraLeTkufa_till_2000!$D$6:$AB$100,17,FALSE),0)</f>
        <v>0</v>
      </c>
      <c r="AK70">
        <f>IFERROR(VLOOKUP(B70,CrossTabYitraLeTkufa_after_2000!$D$6:$AB$100,17,FALSE),0)</f>
        <v>0</v>
      </c>
      <c r="AL70" s="5">
        <f t="shared" si="32"/>
        <v>0</v>
      </c>
      <c r="AO70">
        <f>IFERROR(VLOOKUP(B70,PirteiKisuiBeMutzar_procerur!$C$6:$AA$100,2,FALSE),0)</f>
        <v>0</v>
      </c>
      <c r="AQ70">
        <f>IFERROR(VLOOKUP($B70,PirteiKisuiBeMutzar_procerur!$C$6:$AA$100,5,FALSE),0)</f>
        <v>0</v>
      </c>
      <c r="AR70">
        <f>IFERROR(VLOOKUP($B70,PirteiKisuiBeMutzar_procerur!$C$6:$AA$100,3,FALSE),0)</f>
        <v>0</v>
      </c>
      <c r="AS70">
        <f>IFERROR(VLOOKUP($B70,PirteiKisuiBeMutzar_procerur!$C$6:$AA$100,6,FALSE),0)</f>
        <v>0</v>
      </c>
      <c r="AT70">
        <f>IFERROR(VLOOKUP($B70,PirteiKisuiBeMutzar_procerur!$C$6:$AA$100,7,FALSE),0)</f>
        <v>0</v>
      </c>
      <c r="AX70" s="997">
        <f t="shared" si="33"/>
        <v>0</v>
      </c>
      <c r="AY70" s="997">
        <f t="shared" si="34"/>
        <v>0</v>
      </c>
      <c r="AZ70" s="997">
        <f t="shared" si="35"/>
        <v>0</v>
      </c>
      <c r="BA70" s="997">
        <f>IFERROR(FV(S70/100/12,'נתוני יסוד'!$B$16*12,AX70,AG70)*(-1),0)</f>
        <v>0</v>
      </c>
      <c r="BB70" s="997">
        <f>IFERROR(FV(S70/100/12,'נתוני יסוד'!$B$16*12,0,AH70)*(-1),0)</f>
        <v>0</v>
      </c>
      <c r="BC70" s="997">
        <f>IFERROR(FV(S70/100/12,'נתוני יסוד'!$B$16*12,AY70,AI70)*(-1),0)</f>
        <v>0</v>
      </c>
      <c r="BD70" s="997">
        <f>IFERROR(FV(S70/100/12,'נתוני יסוד'!$B$16*12,0,AJ70)*(-1),0)</f>
        <v>0</v>
      </c>
      <c r="BE70" s="997">
        <f>IFERROR(FV(S70/100/12,'נתוני יסוד'!$B$16*12,AZ70,AK70)*(-1),0)</f>
        <v>0</v>
      </c>
      <c r="BF70" s="997">
        <f t="shared" si="36"/>
        <v>0</v>
      </c>
      <c r="BG70" s="997">
        <f>IFERROR(FV(S70/100/12,'נתוני יסוד'!$B$16*12,AF70,AL70)*(-1),0)</f>
        <v>0</v>
      </c>
      <c r="BH70" s="997">
        <f t="shared" si="37"/>
        <v>0</v>
      </c>
      <c r="BI70" s="997">
        <f t="shared" si="38"/>
        <v>0</v>
      </c>
      <c r="BJ70" s="997">
        <f t="shared" si="39"/>
        <v>0</v>
      </c>
      <c r="BK70" s="997">
        <f t="shared" si="40"/>
        <v>0</v>
      </c>
      <c r="BL70" s="997">
        <f t="shared" si="47"/>
        <v>0</v>
      </c>
      <c r="BM70" s="997">
        <f t="shared" si="48"/>
        <v>0</v>
      </c>
      <c r="BN70" s="997">
        <f t="shared" si="49"/>
        <v>0</v>
      </c>
      <c r="BO70" s="997">
        <f t="shared" si="41"/>
        <v>0</v>
      </c>
      <c r="BP70" s="997">
        <f t="shared" si="50"/>
        <v>0</v>
      </c>
      <c r="BS70">
        <f t="shared" si="51"/>
        <v>0</v>
      </c>
      <c r="BT70">
        <f t="shared" si="52"/>
        <v>0</v>
      </c>
      <c r="BU70">
        <f t="shared" si="53"/>
        <v>0</v>
      </c>
      <c r="BV70">
        <f t="shared" si="42"/>
        <v>0</v>
      </c>
      <c r="BW70">
        <f t="shared" si="54"/>
        <v>0</v>
      </c>
      <c r="BY70" s="997">
        <f t="shared" si="55"/>
        <v>0</v>
      </c>
      <c r="BZ70" s="997">
        <f t="shared" si="56"/>
        <v>0</v>
      </c>
      <c r="CA70" s="997">
        <f t="shared" si="57"/>
        <v>0</v>
      </c>
      <c r="CB70" s="997">
        <f t="shared" si="43"/>
        <v>0</v>
      </c>
      <c r="CC70" s="997">
        <f t="shared" si="58"/>
        <v>0</v>
      </c>
      <c r="CD70" s="997">
        <f t="shared" si="13"/>
        <v>0</v>
      </c>
      <c r="CE70" s="997">
        <f t="shared" si="14"/>
        <v>0</v>
      </c>
      <c r="CF70" s="997">
        <f t="shared" si="15"/>
        <v>0</v>
      </c>
      <c r="CG70" s="997">
        <f t="shared" si="16"/>
        <v>0</v>
      </c>
      <c r="CH70" s="997">
        <f t="shared" si="17"/>
        <v>0</v>
      </c>
      <c r="CI70" s="997">
        <f t="shared" si="18"/>
        <v>0</v>
      </c>
      <c r="CJ70" s="997">
        <f t="shared" si="19"/>
        <v>0</v>
      </c>
      <c r="CK70" s="997"/>
      <c r="CL70" s="997"/>
      <c r="CM70" s="997">
        <f t="shared" si="59"/>
        <v>0</v>
      </c>
      <c r="CN70" s="997">
        <f t="shared" si="60"/>
        <v>0</v>
      </c>
      <c r="CO70" s="997">
        <f t="shared" si="61"/>
        <v>0</v>
      </c>
      <c r="CP70" s="997">
        <f t="shared" si="44"/>
        <v>0</v>
      </c>
      <c r="CQ70" s="997">
        <f t="shared" si="62"/>
        <v>0</v>
      </c>
      <c r="CR70" s="997">
        <f>IFERROR(VLOOKUP($B70,SchumeiBituahYesodi!$C$6:$AA$100,8,FALSE),0)</f>
        <v>0</v>
      </c>
      <c r="CS70" s="997">
        <f>IFERROR(VLOOKUP($B70,PirteiKisuiBeMutzar_procerur!$C$6:$AA$100,2,FALSE),0)</f>
        <v>0</v>
      </c>
      <c r="CT70" s="997">
        <f>IFERROR(VLOOKUP($B70,PirteiKisuiBeMutzar_procerur!$C$6:$AA$100,3,FALSE),0)</f>
        <v>0</v>
      </c>
      <c r="CU70" s="997">
        <f>IFERROR(VLOOKUP($B70,PirteiKisuiBeMutzar_procerur!$C$6:$AA$100,4,FALSE),0)</f>
        <v>0</v>
      </c>
      <c r="CV70" s="997">
        <f>IFERROR(VLOOKUP($B70,PirteiKisuiBeMutzar_procerur!$C$6:$AA$100,5,FALSE),0)</f>
        <v>0</v>
      </c>
      <c r="CW70" s="997">
        <f>IFERROR(VLOOKUP($B70,PirteiKisuiBeMutzar_procerur!$C$6:$AA$100,6,FALSE),0)</f>
        <v>0</v>
      </c>
      <c r="CX70" s="997">
        <f>IFERROR(VLOOKUP($B70,PirteiKisuiBeMutzar_procerur!$C$6:$AA$100,7,FALSE),0)</f>
        <v>0</v>
      </c>
      <c r="CY70" s="997">
        <f>IFERROR(VLOOKUP($B70,PirteiKisuiBeMutzar_procerur!$C$6:$AA$100,8,FALSE),0)</f>
        <v>0</v>
      </c>
      <c r="CZ70" s="997">
        <f>IFERROR(VLOOKUP($B70,PirteiKisuiBeMutzar_procerur!$C$6:$AA$100,9,FALSE),0)</f>
        <v>0</v>
      </c>
      <c r="DA70" s="997">
        <f>IFERROR(VLOOKUP($B70,PirteiKisuiBeMutzar_procerur!$C$6:$AA$100,10,FALSE),0)</f>
        <v>0</v>
      </c>
      <c r="DB70" s="997">
        <f>IFERROR(VLOOKUP($B70,PirteiKisuiBeMutzar_procerur!$C$6:$AA$100,11,FALSE),0)</f>
        <v>0</v>
      </c>
      <c r="DC70" s="997">
        <f>IFERROR(VLOOKUP($B70,PirteiKisuiBeMutzarPrmia!$C$6:$Z$100,2,FALSE),0)</f>
        <v>0</v>
      </c>
      <c r="DD70" s="997">
        <f>IFERROR(VLOOKUP($B70,PirteiKisuiBeMutzarPrmia!$C$6:$Z$100,3,FALSE),0)</f>
        <v>0</v>
      </c>
      <c r="DE70" s="997">
        <f>IFERROR(VLOOKUP($B70,PirteiKisuiBeMutzarPrmia!$C$6:$Z$100,4,FALSE),0)</f>
        <v>0</v>
      </c>
      <c r="DF70" s="997">
        <f>IFERROR(VLOOKUP($B70,PirteiKisuiBeMutzarPrmia!$C$6:$Z$100,5,FALSE),0)</f>
        <v>0</v>
      </c>
      <c r="DG70" s="997">
        <f>IFERROR(VLOOKUP($B70,PirteiKisuiBeMutzarPrmia!$C$6:$Z$100,6,FALSE),0)</f>
        <v>0</v>
      </c>
      <c r="DH70" s="997">
        <f>IFERROR(VLOOKUP($B70,PirteiKisuiBeMutzarPrmia!$C$6:$Z$100,7,FALSE),0)</f>
        <v>0</v>
      </c>
      <c r="DI70" s="997">
        <f>IFERROR(VLOOKUP($B70,PirteiKisuiBeMutzarPrmia!$C$6:$Z$100,8,FALSE),0)</f>
        <v>0</v>
      </c>
      <c r="DJ70" s="997">
        <f>IFERROR(VLOOKUP($B70,PirteiKisuiBeMutzarPrmia!$C$6:$Z$100,9,FALSE),0)</f>
        <v>0</v>
      </c>
      <c r="DK70" s="997">
        <f>IFERROR(VLOOKUP($B70,PirteiKisuiBeMutzarPrmia!$C$6:$Z$100,10,FALSE),0)</f>
        <v>0</v>
      </c>
      <c r="DL70" s="997">
        <f>IFERROR(VLOOKUP($B70,PirteiKisuiBeMutzarPrmia!$C$6:$Z$100,11,FALSE),0)</f>
        <v>0</v>
      </c>
      <c r="DM70" s="997">
        <f t="shared" si="66"/>
        <v>0</v>
      </c>
      <c r="DN70" s="997">
        <f t="shared" si="63"/>
        <v>0</v>
      </c>
      <c r="DO70" s="997">
        <f t="shared" si="64"/>
        <v>0</v>
      </c>
      <c r="DP70" s="997">
        <f t="shared" si="67"/>
        <v>0</v>
      </c>
      <c r="DQ70" s="997">
        <f t="shared" si="65"/>
        <v>0</v>
      </c>
      <c r="DR70" s="997">
        <f>IF(OR(L70=1,L70=3),IFERROR(VLOOKUP($B70,PerutHafkadotMetchilatShanaAvgM!$C$6:$G$100,3,FALSE),0),0)</f>
        <v>0</v>
      </c>
      <c r="DS70" s="997">
        <f>IF(OR(L70=2,L70=4),IFERROR(VLOOKUP($B70,PerutHafkadotMetchilatShanaAvgM!$C$6:$G$100,3,FALSE),0),0)</f>
        <v>0</v>
      </c>
      <c r="DT70" s="997">
        <f>IFERROR(VLOOKUP($B70,PerutHafkadotMetchilatShanaAvgM!$C$6:$G$100,4,FALSE),0)</f>
        <v>0</v>
      </c>
      <c r="DU70" s="997">
        <f>IFERROR(VLOOKUP($B70,Kupa!$D$6:$AA$100,5,FALSE),0)</f>
        <v>0</v>
      </c>
      <c r="DV70" s="997">
        <f>IFERROR(VLOOKUP($B70,Kupa!$D$6:$AA$100,6,FALSE),0)</f>
        <v>0</v>
      </c>
      <c r="DW70" s="997">
        <f>IFERROR(VLOOKUP($B70,KisuiBKerenPensiaDBWithParams!$D$6:$AP$100,9,FALSE),0)</f>
        <v>0</v>
      </c>
      <c r="DX70" s="997">
        <f>IFERROR(VLOOKUP($B70,KisuiBKerenPensiaDBWithParams!$D$6:$AP$100,12,FALSE),0)</f>
        <v>0</v>
      </c>
      <c r="DY70" s="997">
        <f>IFERROR(VLOOKUP($B70,KisuiBKerenPensiaDBWithParams!$D$6:$AP$100,13,FALSE),0)</f>
        <v>0</v>
      </c>
      <c r="DZ70" s="997">
        <f>IFERROR(VLOOKUP($B70,KisuiBKerenPensiaDBWithParams!$D$6:$AP$100,7,FALSE),0)</f>
        <v>0</v>
      </c>
      <c r="EA70" s="997">
        <f>IFERROR(VLOOKUP($B70,KisuiBKerenPensiaDBWithParams!$D$6:$AP$100,17,FALSE),0)</f>
        <v>0</v>
      </c>
      <c r="EB70" s="997">
        <f>IFERROR(VLOOKUP($B70,KisuiBKerenPensiaDBWithParams!$D$6:$AP$100,20,FALSE),0)</f>
        <v>0</v>
      </c>
      <c r="EC70" s="997">
        <f>IFERROR(VLOOKUP($B70,KisuiBKerenPensiaDBWithParams!$D$6:$AP$100,21,FALSE),0)</f>
        <v>0</v>
      </c>
      <c r="ED70" s="997">
        <f t="shared" si="45"/>
        <v>0</v>
      </c>
      <c r="EE70" s="997"/>
      <c r="EF70" s="1020">
        <f>IFERROR(VLOOKUP($B70,KisuiBKerenPensiaDBWithParams!$D$6:$AP$100,21,FALSE),0)</f>
        <v>0</v>
      </c>
      <c r="EG70" s="1020">
        <f>IFERROR(VLOOKUP($B70,KisuiBKerenPensiaDBWithParams!$D$6:$AP$100,21,FALSE),0)</f>
        <v>0</v>
      </c>
      <c r="EH70">
        <f>IF(OR(G70=MyData!$J$51,G70=MyData!$J$52,G70=MyData!$J$53),1,IF(G70=MyData!$J$50,2,0))</f>
        <v>0</v>
      </c>
      <c r="EI70">
        <f>IFERROR(VLOOKUP($B70,CrosstabPerutYitrotDB!$C$6:$N$50,3,FALSE),0)</f>
        <v>0</v>
      </c>
      <c r="EJ70">
        <f>IFERROR(VLOOKUP($B70,CrosstabPerutYitrotDB!$C$6:$N$50,4,FALSE),0)</f>
        <v>0</v>
      </c>
      <c r="EK70">
        <f>IFERROR(VLOOKUP($B70,CrosstabPerutYitrotDB!$C$6:$N$50,5,FALSE),0)</f>
        <v>0</v>
      </c>
      <c r="EL70">
        <f>IFERROR(VLOOKUP($B70,CrosstabPerutYitrotDB!$C$6:$N$50,6,FALSE),0)</f>
        <v>0</v>
      </c>
      <c r="EM70">
        <f>IFERROR(VLOOKUP($B70,CrosstabPerutYitrotDB!$C$6:$N$50,7,FALSE),0)</f>
        <v>0</v>
      </c>
      <c r="EN70">
        <f>IFERROR(VLOOKUP($B70,CrosstabPerutYitrotDB!$C$6:$N$50,8,FALSE),0)</f>
        <v>0</v>
      </c>
      <c r="EO70">
        <f>IFERROR(VLOOKUP($B70,CrosstabPerutYitrotDB!$C$6:$N$50,9,FALSE),0)</f>
        <v>0</v>
      </c>
      <c r="EP70">
        <f>IFERROR(VLOOKUP($B70,CrosstabPerutYitrotDB!$C$6:$N$50,10,FALSE),0)</f>
        <v>0</v>
      </c>
      <c r="EQ70">
        <f>IFERROR(VLOOKUP($B70,CrosstabPerutYitrotDB!$C$6:$N$50,11,FALSE),0)</f>
        <v>0</v>
      </c>
    </row>
    <row r="71" spans="1:147" x14ac:dyDescent="0.2">
      <c r="A71">
        <f t="shared" si="46"/>
        <v>0</v>
      </c>
      <c r="B71" s="20">
        <f>RicusPolice!E68</f>
        <v>0</v>
      </c>
      <c r="C71" s="20">
        <f>RicusPolice!AL68</f>
        <v>0</v>
      </c>
      <c r="D71" s="20">
        <f>RicusPolice!F68</f>
        <v>0</v>
      </c>
      <c r="E71" s="20">
        <f>RicusPolice!R68</f>
        <v>0</v>
      </c>
      <c r="F71" s="20">
        <f>RicusPolice!N68</f>
        <v>0</v>
      </c>
      <c r="G71" s="20">
        <f>IFERROR(VLOOKUP($B71,PerutYitrot!$D$6:$P$100,4,FALSE),0)</f>
        <v>0</v>
      </c>
      <c r="H71" s="20">
        <f t="shared" si="29"/>
        <v>0</v>
      </c>
      <c r="I71" s="20">
        <f>RicusPolice!L68</f>
        <v>0</v>
      </c>
      <c r="J71" s="179">
        <f>IFERROR(VLOOKUP(TRIM(K71),MyData!$J$44:$K$50,2,FALSE),0)</f>
        <v>0</v>
      </c>
      <c r="K71" s="20">
        <f>RicusPolice!M68</f>
        <v>0</v>
      </c>
      <c r="L71" s="20">
        <f>RicusPolice!AM68</f>
        <v>0</v>
      </c>
      <c r="M71" s="20" t="str">
        <f>IF(B71&gt;0,RicusPolice!Y68," ")</f>
        <v xml:space="preserve"> </v>
      </c>
      <c r="N71" s="20" t="str">
        <f t="shared" si="30"/>
        <v/>
      </c>
      <c r="O71" s="20">
        <f>RicusPolice!N68</f>
        <v>0</v>
      </c>
      <c r="P71" s="20">
        <f>IFERROR(VLOOKUP(B71,PerutMasluleiHashkaa!$D$6:$R$100,4,FALSE),0)</f>
        <v>0</v>
      </c>
      <c r="Q71" s="19"/>
      <c r="R71" s="1011" t="str">
        <f>IF(B71&gt;0,RicusPolice!P70," ")</f>
        <v xml:space="preserve"> </v>
      </c>
      <c r="S71" s="20">
        <f>IFERROR(VLOOKUP($B71,'נתונים ידניים'!$B$9:$G$51,6,FALSE),0)</f>
        <v>0</v>
      </c>
      <c r="T71" s="21">
        <f>'נתונים ידניים'!J72</f>
        <v>0</v>
      </c>
      <c r="U71" s="21">
        <f>'נתונים ידניים'!K72</f>
        <v>0</v>
      </c>
      <c r="V71" s="20">
        <f>IFERROR(VLOOKUP($B71,PerutHafrashotLePolisa!$D$6:$N$50,2,FALSE),0)</f>
        <v>0</v>
      </c>
      <c r="W71" s="20">
        <f>IFERROR(VLOOKUP($B71,PerutHafrashotLePolisa!$D$6:$N$50,4,FALSE),0)</f>
        <v>0</v>
      </c>
      <c r="X71" s="20">
        <f>IFERROR(VLOOKUP($B71,PerutHafrashotLePolisa!$D$6:$N$50,3,FALSE),0)</f>
        <v>0</v>
      </c>
      <c r="Y71">
        <f t="shared" si="31"/>
        <v>0</v>
      </c>
      <c r="Z71">
        <f>RicusPolice!AP68</f>
        <v>0</v>
      </c>
      <c r="AA71">
        <f>IFERROR(VLOOKUP(B71,PirteiHaasaka!$D$6:$R$100,5,FALSE),0)</f>
        <v>0</v>
      </c>
      <c r="AC71">
        <f>IFERROR(VLOOKUP(B71,HafkadotMetchilatShanaAverages!$D$6:$E$100,2,FALSE),0)</f>
        <v>0</v>
      </c>
      <c r="AF71">
        <f>'נתונים ידניים'!L72</f>
        <v>0</v>
      </c>
      <c r="AG71">
        <f>IFERROR(VLOOKUP(B71,CrossTabYitraLeTkufa_till_2000!$D$6:$AB$100,6,FALSE),0)+IFERROR(VLOOKUP(B71,CrossTabYitraLeTkufa_after_2000!$D$6:$AB$100,6,FALSE),0)</f>
        <v>0</v>
      </c>
      <c r="AH71">
        <f>IFERROR(VLOOKUP(B71,CrossTabYitraLeTkufa_till_2000!$D$6:$AB$100,16,FALSE),0)</f>
        <v>0</v>
      </c>
      <c r="AI71">
        <f>IFERROR(VLOOKUP(B71,CrossTabYitraLeTkufa_after_2000!$D$6:$AB$100,16,FALSE),0)</f>
        <v>0</v>
      </c>
      <c r="AJ71">
        <f>IFERROR(VLOOKUP(B71,CrossTabYitraLeTkufa_till_2000!$D$6:$AB$100,17,FALSE),0)</f>
        <v>0</v>
      </c>
      <c r="AK71">
        <f>IFERROR(VLOOKUP(B71,CrossTabYitraLeTkufa_after_2000!$D$6:$AB$100,17,FALSE),0)</f>
        <v>0</v>
      </c>
      <c r="AL71" s="5">
        <f t="shared" si="32"/>
        <v>0</v>
      </c>
      <c r="AO71">
        <f>IFERROR(VLOOKUP(B71,PirteiKisuiBeMutzar_procerur!$C$6:$AA$100,2,FALSE),0)</f>
        <v>0</v>
      </c>
      <c r="AQ71">
        <f>IFERROR(VLOOKUP($B71,PirteiKisuiBeMutzar_procerur!$C$6:$AA$100,5,FALSE),0)</f>
        <v>0</v>
      </c>
      <c r="AR71">
        <f>IFERROR(VLOOKUP($B71,PirteiKisuiBeMutzar_procerur!$C$6:$AA$100,3,FALSE),0)</f>
        <v>0</v>
      </c>
      <c r="AS71">
        <f>IFERROR(VLOOKUP($B71,PirteiKisuiBeMutzar_procerur!$C$6:$AA$100,6,FALSE),0)</f>
        <v>0</v>
      </c>
      <c r="AT71">
        <f>IFERROR(VLOOKUP($B71,PirteiKisuiBeMutzar_procerur!$C$6:$AA$100,7,FALSE),0)</f>
        <v>0</v>
      </c>
      <c r="AX71" s="997">
        <f t="shared" si="33"/>
        <v>0</v>
      </c>
      <c r="AY71" s="997">
        <f t="shared" si="34"/>
        <v>0</v>
      </c>
      <c r="AZ71" s="997">
        <f t="shared" si="35"/>
        <v>0</v>
      </c>
      <c r="BA71" s="997">
        <f>IFERROR(FV(S71/100/12,'נתוני יסוד'!$B$16*12,AX71,AG71)*(-1),0)</f>
        <v>0</v>
      </c>
      <c r="BB71" s="997">
        <f>IFERROR(FV(S71/100/12,'נתוני יסוד'!$B$16*12,0,AH71)*(-1),0)</f>
        <v>0</v>
      </c>
      <c r="BC71" s="997">
        <f>IFERROR(FV(S71/100/12,'נתוני יסוד'!$B$16*12,AY71,AI71)*(-1),0)</f>
        <v>0</v>
      </c>
      <c r="BD71" s="997">
        <f>IFERROR(FV(S71/100/12,'נתוני יסוד'!$B$16*12,0,AJ71)*(-1),0)</f>
        <v>0</v>
      </c>
      <c r="BE71" s="997">
        <f>IFERROR(FV(S71/100/12,'נתוני יסוד'!$B$16*12,AZ71,AK71)*(-1),0)</f>
        <v>0</v>
      </c>
      <c r="BF71" s="997">
        <f t="shared" si="36"/>
        <v>0</v>
      </c>
      <c r="BG71" s="997">
        <f>IFERROR(FV(S71/100/12,'נתוני יסוד'!$B$16*12,AF71,AL71)*(-1),0)</f>
        <v>0</v>
      </c>
      <c r="BH71" s="997">
        <f t="shared" si="37"/>
        <v>0</v>
      </c>
      <c r="BI71" s="997">
        <f t="shared" si="38"/>
        <v>0</v>
      </c>
      <c r="BJ71" s="997">
        <f t="shared" si="39"/>
        <v>0</v>
      </c>
      <c r="BK71" s="997">
        <f t="shared" si="40"/>
        <v>0</v>
      </c>
      <c r="BL71" s="997">
        <f t="shared" si="47"/>
        <v>0</v>
      </c>
      <c r="BM71" s="997">
        <f t="shared" si="48"/>
        <v>0</v>
      </c>
      <c r="BN71" s="997">
        <f t="shared" si="49"/>
        <v>0</v>
      </c>
      <c r="BO71" s="997">
        <f t="shared" si="41"/>
        <v>0</v>
      </c>
      <c r="BP71" s="997">
        <f t="shared" si="50"/>
        <v>0</v>
      </c>
      <c r="BS71">
        <f t="shared" si="51"/>
        <v>0</v>
      </c>
      <c r="BT71">
        <f t="shared" si="52"/>
        <v>0</v>
      </c>
      <c r="BU71">
        <f t="shared" si="53"/>
        <v>0</v>
      </c>
      <c r="BV71">
        <f t="shared" si="42"/>
        <v>0</v>
      </c>
      <c r="BW71">
        <f t="shared" si="54"/>
        <v>0</v>
      </c>
      <c r="BY71" s="997">
        <f t="shared" si="55"/>
        <v>0</v>
      </c>
      <c r="BZ71" s="997">
        <f t="shared" si="56"/>
        <v>0</v>
      </c>
      <c r="CA71" s="997">
        <f t="shared" si="57"/>
        <v>0</v>
      </c>
      <c r="CB71" s="997">
        <f t="shared" si="43"/>
        <v>0</v>
      </c>
      <c r="CC71" s="997">
        <f t="shared" si="58"/>
        <v>0</v>
      </c>
      <c r="CD71" s="997">
        <f t="shared" si="13"/>
        <v>0</v>
      </c>
      <c r="CE71" s="997">
        <f t="shared" si="14"/>
        <v>0</v>
      </c>
      <c r="CF71" s="997">
        <f t="shared" si="15"/>
        <v>0</v>
      </c>
      <c r="CG71" s="997">
        <f t="shared" si="16"/>
        <v>0</v>
      </c>
      <c r="CH71" s="997">
        <f t="shared" si="17"/>
        <v>0</v>
      </c>
      <c r="CI71" s="997">
        <f t="shared" si="18"/>
        <v>0</v>
      </c>
      <c r="CJ71" s="997">
        <f t="shared" si="19"/>
        <v>0</v>
      </c>
      <c r="CK71" s="997"/>
      <c r="CL71" s="997"/>
      <c r="CM71" s="997">
        <f t="shared" si="59"/>
        <v>0</v>
      </c>
      <c r="CN71" s="997">
        <f t="shared" si="60"/>
        <v>0</v>
      </c>
      <c r="CO71" s="997">
        <f t="shared" si="61"/>
        <v>0</v>
      </c>
      <c r="CP71" s="997">
        <f t="shared" si="44"/>
        <v>0</v>
      </c>
      <c r="CQ71" s="997">
        <f t="shared" si="62"/>
        <v>0</v>
      </c>
      <c r="CR71" s="997">
        <f>IFERROR(VLOOKUP($B71,SchumeiBituahYesodi!$C$6:$AA$100,8,FALSE),0)</f>
        <v>0</v>
      </c>
      <c r="CS71" s="997">
        <f>IFERROR(VLOOKUP($B71,PirteiKisuiBeMutzar_procerur!$C$6:$AA$100,2,FALSE),0)</f>
        <v>0</v>
      </c>
      <c r="CT71" s="997">
        <f>IFERROR(VLOOKUP($B71,PirteiKisuiBeMutzar_procerur!$C$6:$AA$100,3,FALSE),0)</f>
        <v>0</v>
      </c>
      <c r="CU71" s="997">
        <f>IFERROR(VLOOKUP($B71,PirteiKisuiBeMutzar_procerur!$C$6:$AA$100,4,FALSE),0)</f>
        <v>0</v>
      </c>
      <c r="CV71" s="997">
        <f>IFERROR(VLOOKUP($B71,PirteiKisuiBeMutzar_procerur!$C$6:$AA$100,5,FALSE),0)</f>
        <v>0</v>
      </c>
      <c r="CW71" s="997">
        <f>IFERROR(VLOOKUP($B71,PirteiKisuiBeMutzar_procerur!$C$6:$AA$100,6,FALSE),0)</f>
        <v>0</v>
      </c>
      <c r="CX71" s="997">
        <f>IFERROR(VLOOKUP($B71,PirteiKisuiBeMutzar_procerur!$C$6:$AA$100,7,FALSE),0)</f>
        <v>0</v>
      </c>
      <c r="CY71" s="997">
        <f>IFERROR(VLOOKUP($B71,PirteiKisuiBeMutzar_procerur!$C$6:$AA$100,8,FALSE),0)</f>
        <v>0</v>
      </c>
      <c r="CZ71" s="997">
        <f>IFERROR(VLOOKUP($B71,PirteiKisuiBeMutzar_procerur!$C$6:$AA$100,9,FALSE),0)</f>
        <v>0</v>
      </c>
      <c r="DA71" s="997">
        <f>IFERROR(VLOOKUP($B71,PirteiKisuiBeMutzar_procerur!$C$6:$AA$100,10,FALSE),0)</f>
        <v>0</v>
      </c>
      <c r="DB71" s="997">
        <f>IFERROR(VLOOKUP($B71,PirteiKisuiBeMutzar_procerur!$C$6:$AA$100,11,FALSE),0)</f>
        <v>0</v>
      </c>
      <c r="DC71" s="997">
        <f>IFERROR(VLOOKUP($B71,PirteiKisuiBeMutzarPrmia!$C$6:$Z$100,2,FALSE),0)</f>
        <v>0</v>
      </c>
      <c r="DD71" s="997">
        <f>IFERROR(VLOOKUP($B71,PirteiKisuiBeMutzarPrmia!$C$6:$Z$100,3,FALSE),0)</f>
        <v>0</v>
      </c>
      <c r="DE71" s="997">
        <f>IFERROR(VLOOKUP($B71,PirteiKisuiBeMutzarPrmia!$C$6:$Z$100,4,FALSE),0)</f>
        <v>0</v>
      </c>
      <c r="DF71" s="997">
        <f>IFERROR(VLOOKUP($B71,PirteiKisuiBeMutzarPrmia!$C$6:$Z$100,5,FALSE),0)</f>
        <v>0</v>
      </c>
      <c r="DG71" s="997">
        <f>IFERROR(VLOOKUP($B71,PirteiKisuiBeMutzarPrmia!$C$6:$Z$100,6,FALSE),0)</f>
        <v>0</v>
      </c>
      <c r="DH71" s="997">
        <f>IFERROR(VLOOKUP($B71,PirteiKisuiBeMutzarPrmia!$C$6:$Z$100,7,FALSE),0)</f>
        <v>0</v>
      </c>
      <c r="DI71" s="997">
        <f>IFERROR(VLOOKUP($B71,PirteiKisuiBeMutzarPrmia!$C$6:$Z$100,8,FALSE),0)</f>
        <v>0</v>
      </c>
      <c r="DJ71" s="997">
        <f>IFERROR(VLOOKUP($B71,PirteiKisuiBeMutzarPrmia!$C$6:$Z$100,9,FALSE),0)</f>
        <v>0</v>
      </c>
      <c r="DK71" s="997">
        <f>IFERROR(VLOOKUP($B71,PirteiKisuiBeMutzarPrmia!$C$6:$Z$100,10,FALSE),0)</f>
        <v>0</v>
      </c>
      <c r="DL71" s="997">
        <f>IFERROR(VLOOKUP($B71,PirteiKisuiBeMutzarPrmia!$C$6:$Z$100,11,FALSE),0)</f>
        <v>0</v>
      </c>
      <c r="DM71" s="997">
        <f t="shared" si="66"/>
        <v>0</v>
      </c>
      <c r="DN71" s="997">
        <f t="shared" si="63"/>
        <v>0</v>
      </c>
      <c r="DO71" s="997">
        <f t="shared" si="64"/>
        <v>0</v>
      </c>
      <c r="DP71" s="997">
        <f t="shared" si="67"/>
        <v>0</v>
      </c>
      <c r="DQ71" s="997">
        <f t="shared" si="65"/>
        <v>0</v>
      </c>
      <c r="DR71" s="997">
        <f>IF(OR(L71=1,L71=3),IFERROR(VLOOKUP($B71,PerutHafkadotMetchilatShanaAvgM!$C$6:$G$100,3,FALSE),0),0)</f>
        <v>0</v>
      </c>
      <c r="DS71" s="997">
        <f>IF(OR(L71=2,L71=4),IFERROR(VLOOKUP($B71,PerutHafkadotMetchilatShanaAvgM!$C$6:$G$100,3,FALSE),0),0)</f>
        <v>0</v>
      </c>
      <c r="DT71" s="997">
        <f>IFERROR(VLOOKUP($B71,PerutHafkadotMetchilatShanaAvgM!$C$6:$G$100,4,FALSE),0)</f>
        <v>0</v>
      </c>
      <c r="DU71" s="997">
        <f>IFERROR(VLOOKUP($B71,Kupa!$D$6:$AA$100,5,FALSE),0)</f>
        <v>0</v>
      </c>
      <c r="DV71" s="997">
        <f>IFERROR(VLOOKUP($B71,Kupa!$D$6:$AA$100,6,FALSE),0)</f>
        <v>0</v>
      </c>
      <c r="DW71" s="997">
        <f>IFERROR(VLOOKUP($B71,KisuiBKerenPensiaDBWithParams!$D$6:$AP$100,9,FALSE),0)</f>
        <v>0</v>
      </c>
      <c r="DX71" s="997">
        <f>IFERROR(VLOOKUP($B71,KisuiBKerenPensiaDBWithParams!$D$6:$AP$100,12,FALSE),0)</f>
        <v>0</v>
      </c>
      <c r="DY71" s="997">
        <f>IFERROR(VLOOKUP($B71,KisuiBKerenPensiaDBWithParams!$D$6:$AP$100,13,FALSE),0)</f>
        <v>0</v>
      </c>
      <c r="DZ71" s="997">
        <f>IFERROR(VLOOKUP($B71,KisuiBKerenPensiaDBWithParams!$D$6:$AP$100,7,FALSE),0)</f>
        <v>0</v>
      </c>
      <c r="EA71" s="997">
        <f>IFERROR(VLOOKUP($B71,KisuiBKerenPensiaDBWithParams!$D$6:$AP$100,17,FALSE),0)</f>
        <v>0</v>
      </c>
      <c r="EB71" s="997">
        <f>IFERROR(VLOOKUP($B71,KisuiBKerenPensiaDBWithParams!$D$6:$AP$100,20,FALSE),0)</f>
        <v>0</v>
      </c>
      <c r="EC71" s="997">
        <f>IFERROR(VLOOKUP($B71,KisuiBKerenPensiaDBWithParams!$D$6:$AP$100,21,FALSE),0)</f>
        <v>0</v>
      </c>
      <c r="ED71" s="997">
        <f t="shared" si="45"/>
        <v>0</v>
      </c>
      <c r="EE71" s="997"/>
      <c r="EF71" s="1020">
        <f>IFERROR(VLOOKUP($B71,KisuiBKerenPensiaDBWithParams!$D$6:$AP$100,21,FALSE),0)</f>
        <v>0</v>
      </c>
      <c r="EG71" s="1020">
        <f>IFERROR(VLOOKUP($B71,KisuiBKerenPensiaDBWithParams!$D$6:$AP$100,21,FALSE),0)</f>
        <v>0</v>
      </c>
      <c r="EH71">
        <f>IF(OR(G71=MyData!$J$51,G71=MyData!$J$52,G71=MyData!$J$53),1,IF(G71=MyData!$J$50,2,0))</f>
        <v>0</v>
      </c>
      <c r="EI71">
        <f>IFERROR(VLOOKUP($B71,CrosstabPerutYitrotDB!$C$6:$N$50,3,FALSE),0)</f>
        <v>0</v>
      </c>
      <c r="EJ71">
        <f>IFERROR(VLOOKUP($B71,CrosstabPerutYitrotDB!$C$6:$N$50,4,FALSE),0)</f>
        <v>0</v>
      </c>
      <c r="EK71">
        <f>IFERROR(VLOOKUP($B71,CrosstabPerutYitrotDB!$C$6:$N$50,5,FALSE),0)</f>
        <v>0</v>
      </c>
      <c r="EL71">
        <f>IFERROR(VLOOKUP($B71,CrosstabPerutYitrotDB!$C$6:$N$50,6,FALSE),0)</f>
        <v>0</v>
      </c>
      <c r="EM71">
        <f>IFERROR(VLOOKUP($B71,CrosstabPerutYitrotDB!$C$6:$N$50,7,FALSE),0)</f>
        <v>0</v>
      </c>
      <c r="EN71">
        <f>IFERROR(VLOOKUP($B71,CrosstabPerutYitrotDB!$C$6:$N$50,8,FALSE),0)</f>
        <v>0</v>
      </c>
      <c r="EO71">
        <f>IFERROR(VLOOKUP($B71,CrosstabPerutYitrotDB!$C$6:$N$50,9,FALSE),0)</f>
        <v>0</v>
      </c>
      <c r="EP71">
        <f>IFERROR(VLOOKUP($B71,CrosstabPerutYitrotDB!$C$6:$N$50,10,FALSE),0)</f>
        <v>0</v>
      </c>
      <c r="EQ71">
        <f>IFERROR(VLOOKUP($B71,CrosstabPerutYitrotDB!$C$6:$N$50,11,FALSE),0)</f>
        <v>0</v>
      </c>
    </row>
    <row r="72" spans="1:147" x14ac:dyDescent="0.2">
      <c r="A72">
        <f t="shared" si="46"/>
        <v>0</v>
      </c>
      <c r="B72" s="20">
        <f>RicusPolice!E69</f>
        <v>0</v>
      </c>
      <c r="C72" s="20">
        <f>RicusPolice!AL69</f>
        <v>0</v>
      </c>
      <c r="D72" s="20">
        <f>RicusPolice!F69</f>
        <v>0</v>
      </c>
      <c r="E72" s="20">
        <f>RicusPolice!R69</f>
        <v>0</v>
      </c>
      <c r="F72" s="20">
        <f>RicusPolice!N69</f>
        <v>0</v>
      </c>
      <c r="G72" s="20">
        <f>IFERROR(VLOOKUP($B72,PerutYitrot!$D$6:$P$100,4,FALSE),0)</f>
        <v>0</v>
      </c>
      <c r="H72" s="20">
        <f t="shared" si="29"/>
        <v>0</v>
      </c>
      <c r="I72" s="20">
        <f>RicusPolice!L69</f>
        <v>0</v>
      </c>
      <c r="J72" s="179">
        <f>IFERROR(VLOOKUP(TRIM(K72),MyData!$J$44:$K$50,2,FALSE),0)</f>
        <v>0</v>
      </c>
      <c r="K72" s="20">
        <f>RicusPolice!M69</f>
        <v>0</v>
      </c>
      <c r="L72" s="20">
        <f>RicusPolice!AM69</f>
        <v>0</v>
      </c>
      <c r="M72" s="20" t="str">
        <f>IF(B72&gt;0,RicusPolice!Y69," ")</f>
        <v xml:space="preserve"> </v>
      </c>
      <c r="N72" s="20" t="str">
        <f t="shared" si="30"/>
        <v/>
      </c>
      <c r="O72" s="20">
        <f>RicusPolice!N69</f>
        <v>0</v>
      </c>
      <c r="P72" s="20">
        <f>IFERROR(VLOOKUP(B72,PerutMasluleiHashkaa!$D$6:$R$100,4,FALSE),0)</f>
        <v>0</v>
      </c>
      <c r="Q72" s="19"/>
      <c r="R72" s="1011" t="str">
        <f>IF(B72&gt;0,RicusPolice!P71," ")</f>
        <v xml:space="preserve"> </v>
      </c>
      <c r="S72" s="20">
        <f>IFERROR(VLOOKUP($B72,'נתונים ידניים'!$B$9:$G$51,6,FALSE),0)</f>
        <v>0</v>
      </c>
      <c r="T72" s="21">
        <f>'נתונים ידניים'!J73</f>
        <v>0</v>
      </c>
      <c r="U72" s="21">
        <f>'נתונים ידניים'!K73</f>
        <v>0</v>
      </c>
      <c r="V72" s="20">
        <f>IFERROR(VLOOKUP($B72,PerutHafrashotLePolisa!$D$6:$N$50,2,FALSE),0)</f>
        <v>0</v>
      </c>
      <c r="W72" s="20">
        <f>IFERROR(VLOOKUP($B72,PerutHafrashotLePolisa!$D$6:$N$50,4,FALSE),0)</f>
        <v>0</v>
      </c>
      <c r="X72" s="20">
        <f>IFERROR(VLOOKUP($B72,PerutHafrashotLePolisa!$D$6:$N$50,3,FALSE),0)</f>
        <v>0</v>
      </c>
      <c r="Y72">
        <f t="shared" si="31"/>
        <v>0</v>
      </c>
      <c r="Z72">
        <f>RicusPolice!AP69</f>
        <v>0</v>
      </c>
      <c r="AA72">
        <f>IFERROR(VLOOKUP(B72,PirteiHaasaka!$D$6:$R$100,5,FALSE),0)</f>
        <v>0</v>
      </c>
      <c r="AC72">
        <f>IFERROR(VLOOKUP(B72,HafkadotMetchilatShanaAverages!$D$6:$E$100,2,FALSE),0)</f>
        <v>0</v>
      </c>
      <c r="AF72">
        <f>'נתונים ידניים'!L73</f>
        <v>0</v>
      </c>
      <c r="AG72">
        <f>IFERROR(VLOOKUP(B72,CrossTabYitraLeTkufa_till_2000!$D$6:$AB$100,6,FALSE),0)+IFERROR(VLOOKUP(B72,CrossTabYitraLeTkufa_after_2000!$D$6:$AB$100,6,FALSE),0)</f>
        <v>0</v>
      </c>
      <c r="AH72">
        <f>IFERROR(VLOOKUP(B72,CrossTabYitraLeTkufa_till_2000!$D$6:$AB$100,16,FALSE),0)</f>
        <v>0</v>
      </c>
      <c r="AI72">
        <f>IFERROR(VLOOKUP(B72,CrossTabYitraLeTkufa_after_2000!$D$6:$AB$100,16,FALSE),0)</f>
        <v>0</v>
      </c>
      <c r="AJ72">
        <f>IFERROR(VLOOKUP(B72,CrossTabYitraLeTkufa_till_2000!$D$6:$AB$100,17,FALSE),0)</f>
        <v>0</v>
      </c>
      <c r="AK72">
        <f>IFERROR(VLOOKUP(B72,CrossTabYitraLeTkufa_after_2000!$D$6:$AB$100,17,FALSE),0)</f>
        <v>0</v>
      </c>
      <c r="AL72" s="5">
        <f t="shared" si="32"/>
        <v>0</v>
      </c>
      <c r="AO72">
        <f>IFERROR(VLOOKUP(B72,PirteiKisuiBeMutzar_procerur!$C$6:$AA$100,2,FALSE),0)</f>
        <v>0</v>
      </c>
      <c r="AQ72">
        <f>IFERROR(VLOOKUP($B72,PirteiKisuiBeMutzar_procerur!$C$6:$AA$100,5,FALSE),0)</f>
        <v>0</v>
      </c>
      <c r="AR72">
        <f>IFERROR(VLOOKUP($B72,PirteiKisuiBeMutzar_procerur!$C$6:$AA$100,3,FALSE),0)</f>
        <v>0</v>
      </c>
      <c r="AS72">
        <f>IFERROR(VLOOKUP($B72,PirteiKisuiBeMutzar_procerur!$C$6:$AA$100,6,FALSE),0)</f>
        <v>0</v>
      </c>
      <c r="AT72">
        <f>IFERROR(VLOOKUP($B72,PirteiKisuiBeMutzar_procerur!$C$6:$AA$100,7,FALSE),0)</f>
        <v>0</v>
      </c>
      <c r="AX72" s="997">
        <f t="shared" si="33"/>
        <v>0</v>
      </c>
      <c r="AY72" s="997">
        <f t="shared" si="34"/>
        <v>0</v>
      </c>
      <c r="AZ72" s="997">
        <f t="shared" si="35"/>
        <v>0</v>
      </c>
      <c r="BA72" s="997">
        <f>IFERROR(FV(S72/100/12,'נתוני יסוד'!$B$16*12,AX72,AG72)*(-1),0)</f>
        <v>0</v>
      </c>
      <c r="BB72" s="997">
        <f>IFERROR(FV(S72/100/12,'נתוני יסוד'!$B$16*12,0,AH72)*(-1),0)</f>
        <v>0</v>
      </c>
      <c r="BC72" s="997">
        <f>IFERROR(FV(S72/100/12,'נתוני יסוד'!$B$16*12,AY72,AI72)*(-1),0)</f>
        <v>0</v>
      </c>
      <c r="BD72" s="997">
        <f>IFERROR(FV(S72/100/12,'נתוני יסוד'!$B$16*12,0,AJ72)*(-1),0)</f>
        <v>0</v>
      </c>
      <c r="BE72" s="997">
        <f>IFERROR(FV(S72/100/12,'נתוני יסוד'!$B$16*12,AZ72,AK72)*(-1),0)</f>
        <v>0</v>
      </c>
      <c r="BF72" s="997">
        <f t="shared" si="36"/>
        <v>0</v>
      </c>
      <c r="BG72" s="997">
        <f>IFERROR(FV(S72/100/12,'נתוני יסוד'!$B$16*12,AF72,AL72)*(-1),0)</f>
        <v>0</v>
      </c>
      <c r="BH72" s="997">
        <f t="shared" si="37"/>
        <v>0</v>
      </c>
      <c r="BI72" s="997">
        <f t="shared" si="38"/>
        <v>0</v>
      </c>
      <c r="BJ72" s="997">
        <f t="shared" si="39"/>
        <v>0</v>
      </c>
      <c r="BK72" s="997">
        <f t="shared" si="40"/>
        <v>0</v>
      </c>
      <c r="BL72" s="997">
        <f t="shared" si="47"/>
        <v>0</v>
      </c>
      <c r="BM72" s="997">
        <f t="shared" si="48"/>
        <v>0</v>
      </c>
      <c r="BN72" s="997">
        <f t="shared" si="49"/>
        <v>0</v>
      </c>
      <c r="BO72" s="997">
        <f t="shared" si="41"/>
        <v>0</v>
      </c>
      <c r="BP72" s="997">
        <f t="shared" si="50"/>
        <v>0</v>
      </c>
      <c r="BS72">
        <f t="shared" si="51"/>
        <v>0</v>
      </c>
      <c r="BT72">
        <f t="shared" si="52"/>
        <v>0</v>
      </c>
      <c r="BU72">
        <f t="shared" si="53"/>
        <v>0</v>
      </c>
      <c r="BV72">
        <f t="shared" si="42"/>
        <v>0</v>
      </c>
      <c r="BW72">
        <f t="shared" si="54"/>
        <v>0</v>
      </c>
      <c r="BY72" s="997">
        <f t="shared" si="55"/>
        <v>0</v>
      </c>
      <c r="BZ72" s="997">
        <f t="shared" si="56"/>
        <v>0</v>
      </c>
      <c r="CA72" s="997">
        <f t="shared" si="57"/>
        <v>0</v>
      </c>
      <c r="CB72" s="997">
        <f t="shared" si="43"/>
        <v>0</v>
      </c>
      <c r="CC72" s="997">
        <f t="shared" si="58"/>
        <v>0</v>
      </c>
      <c r="CD72" s="997">
        <f t="shared" si="13"/>
        <v>0</v>
      </c>
      <c r="CE72" s="997">
        <f t="shared" si="14"/>
        <v>0</v>
      </c>
      <c r="CF72" s="997">
        <f t="shared" si="15"/>
        <v>0</v>
      </c>
      <c r="CG72" s="997">
        <f t="shared" si="16"/>
        <v>0</v>
      </c>
      <c r="CH72" s="997">
        <f t="shared" si="17"/>
        <v>0</v>
      </c>
      <c r="CI72" s="997">
        <f t="shared" si="18"/>
        <v>0</v>
      </c>
      <c r="CJ72" s="997">
        <f t="shared" si="19"/>
        <v>0</v>
      </c>
      <c r="CK72" s="997"/>
      <c r="CL72" s="997"/>
      <c r="CM72" s="997">
        <f t="shared" si="59"/>
        <v>0</v>
      </c>
      <c r="CN72" s="997">
        <f t="shared" si="60"/>
        <v>0</v>
      </c>
      <c r="CO72" s="997">
        <f t="shared" si="61"/>
        <v>0</v>
      </c>
      <c r="CP72" s="997">
        <f t="shared" si="44"/>
        <v>0</v>
      </c>
      <c r="CQ72" s="997">
        <f t="shared" si="62"/>
        <v>0</v>
      </c>
      <c r="CR72" s="997">
        <f>IFERROR(VLOOKUP($B72,SchumeiBituahYesodi!$C$6:$AA$100,8,FALSE),0)</f>
        <v>0</v>
      </c>
      <c r="CS72" s="997">
        <f>IFERROR(VLOOKUP($B72,PirteiKisuiBeMutzar_procerur!$C$6:$AA$100,2,FALSE),0)</f>
        <v>0</v>
      </c>
      <c r="CT72" s="997">
        <f>IFERROR(VLOOKUP($B72,PirteiKisuiBeMutzar_procerur!$C$6:$AA$100,3,FALSE),0)</f>
        <v>0</v>
      </c>
      <c r="CU72" s="997">
        <f>IFERROR(VLOOKUP($B72,PirteiKisuiBeMutzar_procerur!$C$6:$AA$100,4,FALSE),0)</f>
        <v>0</v>
      </c>
      <c r="CV72" s="997">
        <f>IFERROR(VLOOKUP($B72,PirteiKisuiBeMutzar_procerur!$C$6:$AA$100,5,FALSE),0)</f>
        <v>0</v>
      </c>
      <c r="CW72" s="997">
        <f>IFERROR(VLOOKUP($B72,PirteiKisuiBeMutzar_procerur!$C$6:$AA$100,6,FALSE),0)</f>
        <v>0</v>
      </c>
      <c r="CX72" s="997">
        <f>IFERROR(VLOOKUP($B72,PirteiKisuiBeMutzar_procerur!$C$6:$AA$100,7,FALSE),0)</f>
        <v>0</v>
      </c>
      <c r="CY72" s="997">
        <f>IFERROR(VLOOKUP($B72,PirteiKisuiBeMutzar_procerur!$C$6:$AA$100,8,FALSE),0)</f>
        <v>0</v>
      </c>
      <c r="CZ72" s="997">
        <f>IFERROR(VLOOKUP($B72,PirteiKisuiBeMutzar_procerur!$C$6:$AA$100,9,FALSE),0)</f>
        <v>0</v>
      </c>
      <c r="DA72" s="997">
        <f>IFERROR(VLOOKUP($B72,PirteiKisuiBeMutzar_procerur!$C$6:$AA$100,10,FALSE),0)</f>
        <v>0</v>
      </c>
      <c r="DB72" s="997">
        <f>IFERROR(VLOOKUP($B72,PirteiKisuiBeMutzar_procerur!$C$6:$AA$100,11,FALSE),0)</f>
        <v>0</v>
      </c>
      <c r="DC72" s="997">
        <f>IFERROR(VLOOKUP($B72,PirteiKisuiBeMutzarPrmia!$C$6:$Z$100,2,FALSE),0)</f>
        <v>0</v>
      </c>
      <c r="DD72" s="997">
        <f>IFERROR(VLOOKUP($B72,PirteiKisuiBeMutzarPrmia!$C$6:$Z$100,3,FALSE),0)</f>
        <v>0</v>
      </c>
      <c r="DE72" s="997">
        <f>IFERROR(VLOOKUP($B72,PirteiKisuiBeMutzarPrmia!$C$6:$Z$100,4,FALSE),0)</f>
        <v>0</v>
      </c>
      <c r="DF72" s="997">
        <f>IFERROR(VLOOKUP($B72,PirteiKisuiBeMutzarPrmia!$C$6:$Z$100,5,FALSE),0)</f>
        <v>0</v>
      </c>
      <c r="DG72" s="997">
        <f>IFERROR(VLOOKUP($B72,PirteiKisuiBeMutzarPrmia!$C$6:$Z$100,6,FALSE),0)</f>
        <v>0</v>
      </c>
      <c r="DH72" s="997">
        <f>IFERROR(VLOOKUP($B72,PirteiKisuiBeMutzarPrmia!$C$6:$Z$100,7,FALSE),0)</f>
        <v>0</v>
      </c>
      <c r="DI72" s="997">
        <f>IFERROR(VLOOKUP($B72,PirteiKisuiBeMutzarPrmia!$C$6:$Z$100,8,FALSE),0)</f>
        <v>0</v>
      </c>
      <c r="DJ72" s="997">
        <f>IFERROR(VLOOKUP($B72,PirteiKisuiBeMutzarPrmia!$C$6:$Z$100,9,FALSE),0)</f>
        <v>0</v>
      </c>
      <c r="DK72" s="997">
        <f>IFERROR(VLOOKUP($B72,PirteiKisuiBeMutzarPrmia!$C$6:$Z$100,10,FALSE),0)</f>
        <v>0</v>
      </c>
      <c r="DL72" s="997">
        <f>IFERROR(VLOOKUP($B72,PirteiKisuiBeMutzarPrmia!$C$6:$Z$100,11,FALSE),0)</f>
        <v>0</v>
      </c>
      <c r="DM72" s="997">
        <f t="shared" si="66"/>
        <v>0</v>
      </c>
      <c r="DN72" s="997">
        <f t="shared" si="63"/>
        <v>0</v>
      </c>
      <c r="DO72" s="997">
        <f t="shared" si="64"/>
        <v>0</v>
      </c>
      <c r="DP72" s="997">
        <f t="shared" si="67"/>
        <v>0</v>
      </c>
      <c r="DQ72" s="997">
        <f t="shared" si="65"/>
        <v>0</v>
      </c>
      <c r="DR72" s="997">
        <f>IF(OR(L72=1,L72=3),IFERROR(VLOOKUP($B72,PerutHafkadotMetchilatShanaAvgM!$C$6:$G$100,3,FALSE),0),0)</f>
        <v>0</v>
      </c>
      <c r="DS72" s="997">
        <f>IF(OR(L72=2,L72=4),IFERROR(VLOOKUP($B72,PerutHafkadotMetchilatShanaAvgM!$C$6:$G$100,3,FALSE),0),0)</f>
        <v>0</v>
      </c>
      <c r="DT72" s="997">
        <f>IFERROR(VLOOKUP($B72,PerutHafkadotMetchilatShanaAvgM!$C$6:$G$100,4,FALSE),0)</f>
        <v>0</v>
      </c>
      <c r="DU72" s="997">
        <f>IFERROR(VLOOKUP($B72,Kupa!$D$6:$AA$100,5,FALSE),0)</f>
        <v>0</v>
      </c>
      <c r="DV72" s="997">
        <f>IFERROR(VLOOKUP($B72,Kupa!$D$6:$AA$100,6,FALSE),0)</f>
        <v>0</v>
      </c>
      <c r="DW72" s="997">
        <f>IFERROR(VLOOKUP($B72,KisuiBKerenPensiaDBWithParams!$D$6:$AP$100,9,FALSE),0)</f>
        <v>0</v>
      </c>
      <c r="DX72" s="997">
        <f>IFERROR(VLOOKUP($B72,KisuiBKerenPensiaDBWithParams!$D$6:$AP$100,12,FALSE),0)</f>
        <v>0</v>
      </c>
      <c r="DY72" s="997">
        <f>IFERROR(VLOOKUP($B72,KisuiBKerenPensiaDBWithParams!$D$6:$AP$100,13,FALSE),0)</f>
        <v>0</v>
      </c>
      <c r="DZ72" s="997">
        <f>IFERROR(VLOOKUP($B72,KisuiBKerenPensiaDBWithParams!$D$6:$AP$100,7,FALSE),0)</f>
        <v>0</v>
      </c>
      <c r="EA72" s="997">
        <f>IFERROR(VLOOKUP($B72,KisuiBKerenPensiaDBWithParams!$D$6:$AP$100,17,FALSE),0)</f>
        <v>0</v>
      </c>
      <c r="EB72" s="997">
        <f>IFERROR(VLOOKUP($B72,KisuiBKerenPensiaDBWithParams!$D$6:$AP$100,20,FALSE),0)</f>
        <v>0</v>
      </c>
      <c r="EC72" s="997">
        <f>IFERROR(VLOOKUP($B72,KisuiBKerenPensiaDBWithParams!$D$6:$AP$100,21,FALSE),0)</f>
        <v>0</v>
      </c>
      <c r="ED72" s="997">
        <f t="shared" si="45"/>
        <v>0</v>
      </c>
      <c r="EE72" s="997"/>
      <c r="EF72" s="1020">
        <f>IFERROR(VLOOKUP($B72,KisuiBKerenPensiaDBWithParams!$D$6:$AP$100,21,FALSE),0)</f>
        <v>0</v>
      </c>
      <c r="EG72" s="1020">
        <f>IFERROR(VLOOKUP($B72,KisuiBKerenPensiaDBWithParams!$D$6:$AP$100,21,FALSE),0)</f>
        <v>0</v>
      </c>
      <c r="EH72">
        <f>IF(OR(G72=MyData!$J$51,G72=MyData!$J$52,G72=MyData!$J$53),1,IF(G72=MyData!$J$50,2,0))</f>
        <v>0</v>
      </c>
      <c r="EI72">
        <f>IFERROR(VLOOKUP($B72,CrosstabPerutYitrotDB!$C$6:$N$50,3,FALSE),0)</f>
        <v>0</v>
      </c>
      <c r="EJ72">
        <f>IFERROR(VLOOKUP($B72,CrosstabPerutYitrotDB!$C$6:$N$50,4,FALSE),0)</f>
        <v>0</v>
      </c>
      <c r="EK72">
        <f>IFERROR(VLOOKUP($B72,CrosstabPerutYitrotDB!$C$6:$N$50,5,FALSE),0)</f>
        <v>0</v>
      </c>
      <c r="EL72">
        <f>IFERROR(VLOOKUP($B72,CrosstabPerutYitrotDB!$C$6:$N$50,6,FALSE),0)</f>
        <v>0</v>
      </c>
      <c r="EM72">
        <f>IFERROR(VLOOKUP($B72,CrosstabPerutYitrotDB!$C$6:$N$50,7,FALSE),0)</f>
        <v>0</v>
      </c>
      <c r="EN72">
        <f>IFERROR(VLOOKUP($B72,CrosstabPerutYitrotDB!$C$6:$N$50,8,FALSE),0)</f>
        <v>0</v>
      </c>
      <c r="EO72">
        <f>IFERROR(VLOOKUP($B72,CrosstabPerutYitrotDB!$C$6:$N$50,9,FALSE),0)</f>
        <v>0</v>
      </c>
      <c r="EP72">
        <f>IFERROR(VLOOKUP($B72,CrosstabPerutYitrotDB!$C$6:$N$50,10,FALSE),0)</f>
        <v>0</v>
      </c>
      <c r="EQ72">
        <f>IFERROR(VLOOKUP($B72,CrosstabPerutYitrotDB!$C$6:$N$50,11,FALSE),0)</f>
        <v>0</v>
      </c>
    </row>
    <row r="73" spans="1:147" x14ac:dyDescent="0.2">
      <c r="A73">
        <f t="shared" si="46"/>
        <v>0</v>
      </c>
      <c r="B73" s="20">
        <f>RicusPolice!E70</f>
        <v>0</v>
      </c>
      <c r="C73" s="20">
        <f>RicusPolice!AL70</f>
        <v>0</v>
      </c>
      <c r="D73" s="20">
        <f>RicusPolice!F70</f>
        <v>0</v>
      </c>
      <c r="E73" s="20">
        <f>RicusPolice!R70</f>
        <v>0</v>
      </c>
      <c r="F73" s="20">
        <f>RicusPolice!N70</f>
        <v>0</v>
      </c>
      <c r="G73" s="20">
        <f>IFERROR(VLOOKUP($B73,PerutYitrot!$D$6:$P$100,4,FALSE),0)</f>
        <v>0</v>
      </c>
      <c r="H73" s="20">
        <f t="shared" si="29"/>
        <v>0</v>
      </c>
      <c r="I73" s="20">
        <f>RicusPolice!L70</f>
        <v>0</v>
      </c>
      <c r="J73" s="179">
        <f>IFERROR(VLOOKUP(TRIM(K73),MyData!$J$44:$K$50,2,FALSE),0)</f>
        <v>0</v>
      </c>
      <c r="K73" s="20">
        <f>RicusPolice!M70</f>
        <v>0</v>
      </c>
      <c r="L73" s="20">
        <f>RicusPolice!AM70</f>
        <v>0</v>
      </c>
      <c r="M73" s="20" t="str">
        <f>IF(B73&gt;0,RicusPolice!Y70," ")</f>
        <v xml:space="preserve"> </v>
      </c>
      <c r="N73" s="20" t="str">
        <f t="shared" si="30"/>
        <v/>
      </c>
      <c r="O73" s="20">
        <f>RicusPolice!N70</f>
        <v>0</v>
      </c>
      <c r="P73" s="20">
        <f>IFERROR(VLOOKUP(B73,PerutMasluleiHashkaa!$D$6:$R$100,4,FALSE),0)</f>
        <v>0</v>
      </c>
      <c r="Q73" s="19"/>
      <c r="R73" s="1011" t="str">
        <f>IF(B73&gt;0,RicusPolice!P72," ")</f>
        <v xml:space="preserve"> </v>
      </c>
      <c r="S73" s="20">
        <f>IFERROR(VLOOKUP($B73,'נתונים ידניים'!$B$9:$G$51,6,FALSE),0)</f>
        <v>0</v>
      </c>
      <c r="T73" s="21">
        <f>'נתונים ידניים'!J74</f>
        <v>0</v>
      </c>
      <c r="U73" s="21">
        <f>'נתונים ידניים'!K74</f>
        <v>0</v>
      </c>
      <c r="V73" s="20">
        <f>IFERROR(VLOOKUP($B73,PerutHafrashotLePolisa!$D$6:$N$50,2,FALSE),0)</f>
        <v>0</v>
      </c>
      <c r="W73" s="20">
        <f>IFERROR(VLOOKUP($B73,PerutHafrashotLePolisa!$D$6:$N$50,4,FALSE),0)</f>
        <v>0</v>
      </c>
      <c r="X73" s="20">
        <f>IFERROR(VLOOKUP($B73,PerutHafrashotLePolisa!$D$6:$N$50,3,FALSE),0)</f>
        <v>0</v>
      </c>
      <c r="Y73">
        <f t="shared" si="31"/>
        <v>0</v>
      </c>
      <c r="Z73">
        <f>RicusPolice!AP70</f>
        <v>0</v>
      </c>
      <c r="AA73">
        <f>IFERROR(VLOOKUP(B73,PirteiHaasaka!$D$6:$R$100,5,FALSE),0)</f>
        <v>0</v>
      </c>
      <c r="AC73">
        <f>IFERROR(VLOOKUP(B73,HafkadotMetchilatShanaAverages!$D$6:$E$100,2,FALSE),0)</f>
        <v>0</v>
      </c>
      <c r="AF73">
        <f>'נתונים ידניים'!L74</f>
        <v>0</v>
      </c>
      <c r="AG73">
        <f>IFERROR(VLOOKUP(B73,CrossTabYitraLeTkufa_till_2000!$D$6:$AB$100,6,FALSE),0)+IFERROR(VLOOKUP(B73,CrossTabYitraLeTkufa_after_2000!$D$6:$AB$100,6,FALSE),0)</f>
        <v>0</v>
      </c>
      <c r="AH73">
        <f>IFERROR(VLOOKUP(B73,CrossTabYitraLeTkufa_till_2000!$D$6:$AB$100,16,FALSE),0)</f>
        <v>0</v>
      </c>
      <c r="AI73">
        <f>IFERROR(VLOOKUP(B73,CrossTabYitraLeTkufa_after_2000!$D$6:$AB$100,16,FALSE),0)</f>
        <v>0</v>
      </c>
      <c r="AJ73">
        <f>IFERROR(VLOOKUP(B73,CrossTabYitraLeTkufa_till_2000!$D$6:$AB$100,17,FALSE),0)</f>
        <v>0</v>
      </c>
      <c r="AK73">
        <f>IFERROR(VLOOKUP(B73,CrossTabYitraLeTkufa_after_2000!$D$6:$AB$100,17,FALSE),0)</f>
        <v>0</v>
      </c>
      <c r="AL73" s="5">
        <f t="shared" si="32"/>
        <v>0</v>
      </c>
      <c r="AO73">
        <f>IFERROR(VLOOKUP(B73,PirteiKisuiBeMutzar_procerur!$C$6:$AA$100,2,FALSE),0)</f>
        <v>0</v>
      </c>
      <c r="AQ73">
        <f>IFERROR(VLOOKUP($B73,PirteiKisuiBeMutzar_procerur!$C$6:$AA$100,5,FALSE),0)</f>
        <v>0</v>
      </c>
      <c r="AR73">
        <f>IFERROR(VLOOKUP($B73,PirteiKisuiBeMutzar_procerur!$C$6:$AA$100,3,FALSE),0)</f>
        <v>0</v>
      </c>
      <c r="AS73">
        <f>IFERROR(VLOOKUP($B73,PirteiKisuiBeMutzar_procerur!$C$6:$AA$100,6,FALSE),0)</f>
        <v>0</v>
      </c>
      <c r="AT73">
        <f>IFERROR(VLOOKUP($B73,PirteiKisuiBeMutzar_procerur!$C$6:$AA$100,7,FALSE),0)</f>
        <v>0</v>
      </c>
      <c r="AX73" s="997">
        <f t="shared" si="33"/>
        <v>0</v>
      </c>
      <c r="AY73" s="997">
        <f t="shared" si="34"/>
        <v>0</v>
      </c>
      <c r="AZ73" s="997">
        <f t="shared" si="35"/>
        <v>0</v>
      </c>
      <c r="BA73" s="997">
        <f>IFERROR(FV(S73/100/12,'נתוני יסוד'!$B$16*12,AX73,AG73)*(-1),0)</f>
        <v>0</v>
      </c>
      <c r="BB73" s="997">
        <f>IFERROR(FV(S73/100/12,'נתוני יסוד'!$B$16*12,0,AH73)*(-1),0)</f>
        <v>0</v>
      </c>
      <c r="BC73" s="997">
        <f>IFERROR(FV(S73/100/12,'נתוני יסוד'!$B$16*12,AY73,AI73)*(-1),0)</f>
        <v>0</v>
      </c>
      <c r="BD73" s="997">
        <f>IFERROR(FV(S73/100/12,'נתוני יסוד'!$B$16*12,0,AJ73)*(-1),0)</f>
        <v>0</v>
      </c>
      <c r="BE73" s="997">
        <f>IFERROR(FV(S73/100/12,'נתוני יסוד'!$B$16*12,AZ73,AK73)*(-1),0)</f>
        <v>0</v>
      </c>
      <c r="BF73" s="997">
        <f t="shared" si="36"/>
        <v>0</v>
      </c>
      <c r="BG73" s="997">
        <f>IFERROR(FV(S73/100/12,'נתוני יסוד'!$B$16*12,AF73,AL73)*(-1),0)</f>
        <v>0</v>
      </c>
      <c r="BH73" s="997">
        <f t="shared" si="37"/>
        <v>0</v>
      </c>
      <c r="BI73" s="997">
        <f t="shared" si="38"/>
        <v>0</v>
      </c>
      <c r="BJ73" s="997">
        <f t="shared" si="39"/>
        <v>0</v>
      </c>
      <c r="BK73" s="997">
        <f t="shared" si="40"/>
        <v>0</v>
      </c>
      <c r="BL73" s="997">
        <f t="shared" ref="BL73:BL101" si="68">IFERROR(BM73/T73,0)</f>
        <v>0</v>
      </c>
      <c r="BM73" s="997">
        <f t="shared" ref="BM73:BM101" si="69">IF(EH73=1,BA73,0)</f>
        <v>0</v>
      </c>
      <c r="BN73" s="997">
        <f t="shared" ref="BN73:BN101" si="70">IF(EH73=2,BA73,0)</f>
        <v>0</v>
      </c>
      <c r="BO73" s="997">
        <f t="shared" si="41"/>
        <v>0</v>
      </c>
      <c r="BP73" s="997">
        <f t="shared" ref="BP73:BP101" si="71">BG73-BO73</f>
        <v>0</v>
      </c>
      <c r="BS73">
        <f t="shared" ref="BS73:BS101" si="72">IFERROR(BT73/T73,0)</f>
        <v>0</v>
      </c>
      <c r="BT73">
        <f t="shared" ref="BT73:BT101" si="73">IF(EH73=1,BB73,0)</f>
        <v>0</v>
      </c>
      <c r="BU73">
        <f t="shared" ref="BU73:BU101" si="74">IF(EH73=2,BB73,0)</f>
        <v>0</v>
      </c>
      <c r="BV73">
        <f t="shared" si="42"/>
        <v>0</v>
      </c>
      <c r="BW73">
        <f t="shared" ref="BW73:BW101" si="75">BB73-BV73</f>
        <v>0</v>
      </c>
      <c r="BY73" s="997">
        <f t="shared" ref="BY73:BY101" si="76">IFERROR(BZ73/T73,0)</f>
        <v>0</v>
      </c>
      <c r="BZ73" s="997">
        <f t="shared" ref="BZ73:BZ101" si="77">IF(EH73=1,BC73,0)</f>
        <v>0</v>
      </c>
      <c r="CA73" s="997">
        <f t="shared" ref="CA73:CA101" si="78">IF(EH73=2,BC73,0)</f>
        <v>0</v>
      </c>
      <c r="CB73" s="997">
        <f t="shared" si="43"/>
        <v>0</v>
      </c>
      <c r="CC73" s="997">
        <f t="shared" ref="CC73:CC101" si="79">BC73-CB73</f>
        <v>0</v>
      </c>
      <c r="CD73" s="997">
        <f t="shared" ref="CD73:CD101" si="80">IFERROR(CE73/Y73,0)</f>
        <v>0</v>
      </c>
      <c r="CE73" s="997">
        <f t="shared" ref="CE73:CE101" si="81">IF(EM73=1,BH73,0)</f>
        <v>0</v>
      </c>
      <c r="CF73" s="997">
        <f t="shared" ref="CF73:CF101" si="82">IF(EM73=2,BH73,0)</f>
        <v>0</v>
      </c>
      <c r="CG73" s="997">
        <f t="shared" ref="CG73:CG101" si="83">CF73+CE73</f>
        <v>0</v>
      </c>
      <c r="CH73" s="997">
        <f t="shared" ref="CH73:CH101" si="84">BH73-CG73</f>
        <v>0</v>
      </c>
      <c r="CI73" s="997">
        <f t="shared" ref="CI73:CI101" si="85">IFERROR(CJ73/AE73,0)</f>
        <v>0</v>
      </c>
      <c r="CJ73" s="997">
        <f t="shared" ref="CJ73:CJ101" si="86">IF(ER73=1,BM73,0)</f>
        <v>0</v>
      </c>
      <c r="CK73" s="997"/>
      <c r="CL73" s="997"/>
      <c r="CM73" s="997">
        <f t="shared" ref="CM73:CM101" si="87">IFERROR(CN73/T73,0)</f>
        <v>0</v>
      </c>
      <c r="CN73" s="997">
        <f t="shared" ref="CN73:CN101" si="88">IF(EH73=1,BE73,0)</f>
        <v>0</v>
      </c>
      <c r="CO73" s="997">
        <f t="shared" ref="CO73:CO101" si="89">IF(EH73=1,BE73,0)</f>
        <v>0</v>
      </c>
      <c r="CP73" s="997">
        <f t="shared" si="44"/>
        <v>0</v>
      </c>
      <c r="CQ73" s="997">
        <f t="shared" ref="CQ73:CQ101" si="90">BE73-CP73</f>
        <v>0</v>
      </c>
      <c r="CR73" s="997">
        <f>IFERROR(VLOOKUP($B73,SchumeiBituahYesodi!$C$6:$AA$100,8,FALSE),0)</f>
        <v>0</v>
      </c>
      <c r="CS73" s="997">
        <f>IFERROR(VLOOKUP($B73,PirteiKisuiBeMutzar_procerur!$C$6:$AA$100,2,FALSE),0)</f>
        <v>0</v>
      </c>
      <c r="CT73" s="997">
        <f>IFERROR(VLOOKUP($B73,PirteiKisuiBeMutzar_procerur!$C$6:$AA$100,3,FALSE),0)</f>
        <v>0</v>
      </c>
      <c r="CU73" s="997">
        <f>IFERROR(VLOOKUP($B73,PirteiKisuiBeMutzar_procerur!$C$6:$AA$100,4,FALSE),0)</f>
        <v>0</v>
      </c>
      <c r="CV73" s="997">
        <f>IFERROR(VLOOKUP($B73,PirteiKisuiBeMutzar_procerur!$C$6:$AA$100,5,FALSE),0)</f>
        <v>0</v>
      </c>
      <c r="CW73" s="997">
        <f>IFERROR(VLOOKUP($B73,PirteiKisuiBeMutzar_procerur!$C$6:$AA$100,6,FALSE),0)</f>
        <v>0</v>
      </c>
      <c r="CX73" s="997">
        <f>IFERROR(VLOOKUP($B73,PirteiKisuiBeMutzar_procerur!$C$6:$AA$100,7,FALSE),0)</f>
        <v>0</v>
      </c>
      <c r="CY73" s="997">
        <f>IFERROR(VLOOKUP($B73,PirteiKisuiBeMutzar_procerur!$C$6:$AA$100,8,FALSE),0)</f>
        <v>0</v>
      </c>
      <c r="CZ73" s="997">
        <f>IFERROR(VLOOKUP($B73,PirteiKisuiBeMutzar_procerur!$C$6:$AA$100,9,FALSE),0)</f>
        <v>0</v>
      </c>
      <c r="DA73" s="997">
        <f>IFERROR(VLOOKUP($B73,PirteiKisuiBeMutzar_procerur!$C$6:$AA$100,10,FALSE),0)</f>
        <v>0</v>
      </c>
      <c r="DB73" s="997">
        <f>IFERROR(VLOOKUP($B73,PirteiKisuiBeMutzar_procerur!$C$6:$AA$100,11,FALSE),0)</f>
        <v>0</v>
      </c>
      <c r="DC73" s="997">
        <f>IFERROR(VLOOKUP($B73,PirteiKisuiBeMutzarPrmia!$C$6:$Z$100,2,FALSE),0)</f>
        <v>0</v>
      </c>
      <c r="DD73" s="997">
        <f>IFERROR(VLOOKUP($B73,PirteiKisuiBeMutzarPrmia!$C$6:$Z$100,3,FALSE),0)</f>
        <v>0</v>
      </c>
      <c r="DE73" s="997">
        <f>IFERROR(VLOOKUP($B73,PirteiKisuiBeMutzarPrmia!$C$6:$Z$100,4,FALSE),0)</f>
        <v>0</v>
      </c>
      <c r="DF73" s="997">
        <f>IFERROR(VLOOKUP($B73,PirteiKisuiBeMutzarPrmia!$C$6:$Z$100,5,FALSE),0)</f>
        <v>0</v>
      </c>
      <c r="DG73" s="997">
        <f>IFERROR(VLOOKUP($B73,PirteiKisuiBeMutzarPrmia!$C$6:$Z$100,6,FALSE),0)</f>
        <v>0</v>
      </c>
      <c r="DH73" s="997">
        <f>IFERROR(VLOOKUP($B73,PirteiKisuiBeMutzarPrmia!$C$6:$Z$100,7,FALSE),0)</f>
        <v>0</v>
      </c>
      <c r="DI73" s="997">
        <f>IFERROR(VLOOKUP($B73,PirteiKisuiBeMutzarPrmia!$C$6:$Z$100,8,FALSE),0)</f>
        <v>0</v>
      </c>
      <c r="DJ73" s="997">
        <f>IFERROR(VLOOKUP($B73,PirteiKisuiBeMutzarPrmia!$C$6:$Z$100,9,FALSE),0)</f>
        <v>0</v>
      </c>
      <c r="DK73" s="997">
        <f>IFERROR(VLOOKUP($B73,PirteiKisuiBeMutzarPrmia!$C$6:$Z$100,10,FALSE),0)</f>
        <v>0</v>
      </c>
      <c r="DL73" s="997">
        <f>IFERROR(VLOOKUP($B73,PirteiKisuiBeMutzarPrmia!$C$6:$Z$100,11,FALSE),0)</f>
        <v>0</v>
      </c>
      <c r="DM73" s="997">
        <f t="shared" si="66"/>
        <v>0</v>
      </c>
      <c r="DN73" s="997">
        <f t="shared" ref="DN73:DN101" si="91">IF(OR(L73=1,L73=3),DM73,0)</f>
        <v>0</v>
      </c>
      <c r="DO73" s="997">
        <f t="shared" ref="DO73:DO101" si="92">IF(OR(L73=2,L73=4,,L73=5),DM73,0)</f>
        <v>0</v>
      </c>
      <c r="DP73" s="997">
        <f t="shared" si="67"/>
        <v>0</v>
      </c>
      <c r="DQ73" s="997">
        <f t="shared" ref="DQ73:DQ101" si="93">DP73+AG73</f>
        <v>0</v>
      </c>
      <c r="DR73" s="997">
        <f>IF(OR(L73=1,L73=3),IFERROR(VLOOKUP($B73,PerutHafkadotMetchilatShanaAvgM!$C$6:$G$100,3,FALSE),0),0)</f>
        <v>0</v>
      </c>
      <c r="DS73" s="997">
        <f>IF(OR(L73=2,L73=4),IFERROR(VLOOKUP($B73,PerutHafkadotMetchilatShanaAvgM!$C$6:$G$100,3,FALSE),0),0)</f>
        <v>0</v>
      </c>
      <c r="DT73" s="997">
        <f>IFERROR(VLOOKUP($B73,PerutHafkadotMetchilatShanaAvgM!$C$6:$G$100,4,FALSE),0)</f>
        <v>0</v>
      </c>
      <c r="DU73" s="997">
        <f>IFERROR(VLOOKUP($B73,Kupa!$D$6:$AA$100,5,FALSE),0)</f>
        <v>0</v>
      </c>
      <c r="DV73" s="997">
        <f>IFERROR(VLOOKUP($B73,Kupa!$D$6:$AA$100,6,FALSE),0)</f>
        <v>0</v>
      </c>
      <c r="DW73" s="997">
        <f>IFERROR(VLOOKUP($B73,KisuiBKerenPensiaDBWithParams!$D$6:$AP$100,9,FALSE),0)</f>
        <v>0</v>
      </c>
      <c r="DX73" s="997">
        <f>IFERROR(VLOOKUP($B73,KisuiBKerenPensiaDBWithParams!$D$6:$AP$100,12,FALSE),0)</f>
        <v>0</v>
      </c>
      <c r="DY73" s="997">
        <f>IFERROR(VLOOKUP($B73,KisuiBKerenPensiaDBWithParams!$D$6:$AP$100,13,FALSE),0)</f>
        <v>0</v>
      </c>
      <c r="DZ73" s="997">
        <f>IFERROR(VLOOKUP($B73,KisuiBKerenPensiaDBWithParams!$D$6:$AP$100,7,FALSE),0)</f>
        <v>0</v>
      </c>
      <c r="EA73" s="997">
        <f>IFERROR(VLOOKUP($B73,KisuiBKerenPensiaDBWithParams!$D$6:$AP$100,17,FALSE),0)</f>
        <v>0</v>
      </c>
      <c r="EB73" s="997">
        <f>IFERROR(VLOOKUP($B73,KisuiBKerenPensiaDBWithParams!$D$6:$AP$100,20,FALSE),0)</f>
        <v>0</v>
      </c>
      <c r="EC73" s="997">
        <f>IFERROR(VLOOKUP($B73,KisuiBKerenPensiaDBWithParams!$D$6:$AP$100,21,FALSE),0)</f>
        <v>0</v>
      </c>
      <c r="ED73" s="997">
        <f t="shared" si="45"/>
        <v>0</v>
      </c>
      <c r="EE73" s="997"/>
      <c r="EF73" s="1020">
        <f>IFERROR(VLOOKUP($B73,KisuiBKerenPensiaDBWithParams!$D$6:$AP$100,21,FALSE),0)</f>
        <v>0</v>
      </c>
      <c r="EG73" s="1020">
        <f>IFERROR(VLOOKUP($B73,KisuiBKerenPensiaDBWithParams!$D$6:$AP$100,21,FALSE),0)</f>
        <v>0</v>
      </c>
      <c r="EH73">
        <f>IF(OR(G73=MyData!$J$51,G73=MyData!$J$52,G73=MyData!$J$53),1,IF(G73=MyData!$J$50,2,0))</f>
        <v>0</v>
      </c>
      <c r="EI73">
        <f>IFERROR(VLOOKUP($B73,CrosstabPerutYitrotDB!$C$6:$N$50,3,FALSE),0)</f>
        <v>0</v>
      </c>
      <c r="EJ73">
        <f>IFERROR(VLOOKUP($B73,CrosstabPerutYitrotDB!$C$6:$N$50,4,FALSE),0)</f>
        <v>0</v>
      </c>
      <c r="EK73">
        <f>IFERROR(VLOOKUP($B73,CrosstabPerutYitrotDB!$C$6:$N$50,5,FALSE),0)</f>
        <v>0</v>
      </c>
      <c r="EL73">
        <f>IFERROR(VLOOKUP($B73,CrosstabPerutYitrotDB!$C$6:$N$50,6,FALSE),0)</f>
        <v>0</v>
      </c>
      <c r="EM73">
        <f>IFERROR(VLOOKUP($B73,CrosstabPerutYitrotDB!$C$6:$N$50,7,FALSE),0)</f>
        <v>0</v>
      </c>
      <c r="EN73">
        <f>IFERROR(VLOOKUP($B73,CrosstabPerutYitrotDB!$C$6:$N$50,8,FALSE),0)</f>
        <v>0</v>
      </c>
      <c r="EO73">
        <f>IFERROR(VLOOKUP($B73,CrosstabPerutYitrotDB!$C$6:$N$50,9,FALSE),0)</f>
        <v>0</v>
      </c>
      <c r="EP73">
        <f>IFERROR(VLOOKUP($B73,CrosstabPerutYitrotDB!$C$6:$N$50,10,FALSE),0)</f>
        <v>0</v>
      </c>
      <c r="EQ73">
        <f>IFERROR(VLOOKUP($B73,CrosstabPerutYitrotDB!$C$6:$N$50,11,FALSE),0)</f>
        <v>0</v>
      </c>
    </row>
    <row r="74" spans="1:147" x14ac:dyDescent="0.2">
      <c r="A74">
        <f t="shared" si="46"/>
        <v>0</v>
      </c>
      <c r="B74" s="20">
        <f>RicusPolice!E71</f>
        <v>0</v>
      </c>
      <c r="C74" s="20">
        <f>RicusPolice!AL71</f>
        <v>0</v>
      </c>
      <c r="D74" s="20">
        <f>RicusPolice!F71</f>
        <v>0</v>
      </c>
      <c r="E74" s="20">
        <f>RicusPolice!R71</f>
        <v>0</v>
      </c>
      <c r="F74" s="20">
        <f>RicusPolice!N71</f>
        <v>0</v>
      </c>
      <c r="G74" s="20">
        <f>IFERROR(VLOOKUP($B74,PerutYitrot!$D$6:$P$100,4,FALSE),0)</f>
        <v>0</v>
      </c>
      <c r="H74" s="20">
        <f t="shared" ref="H74:H102" si="94">IF(G74="קצבה לא משלמת","ריסק/חיסכון",IF(G74="הון","ריסק/חיסכון",IF(G74="קצבה","ריסק/פנסיה",G74)))</f>
        <v>0</v>
      </c>
      <c r="I74" s="20">
        <f>RicusPolice!L71</f>
        <v>0</v>
      </c>
      <c r="J74" s="179">
        <f>IFERROR(VLOOKUP(TRIM(K74),MyData!$J$44:$K$50,2,FALSE),0)</f>
        <v>0</v>
      </c>
      <c r="K74" s="20">
        <f>RicusPolice!M71</f>
        <v>0</v>
      </c>
      <c r="L74" s="20">
        <f>RicusPolice!AM71</f>
        <v>0</v>
      </c>
      <c r="M74" s="20" t="str">
        <f>IF(B74&gt;0,RicusPolice!Y71," ")</f>
        <v xml:space="preserve"> </v>
      </c>
      <c r="N74" s="20" t="str">
        <f t="shared" ref="N74:N102" si="95">IF(B74&gt;0,IF(OR(M74=1,M74="1"),"מבטיח תשאוה","משתתף ברווחים"),"")</f>
        <v/>
      </c>
      <c r="O74" s="20">
        <f>RicusPolice!N71</f>
        <v>0</v>
      </c>
      <c r="P74" s="20">
        <f>IFERROR(VLOOKUP(B74,PerutMasluleiHashkaa!$D$6:$R$100,4,FALSE),0)</f>
        <v>0</v>
      </c>
      <c r="Q74" s="19"/>
      <c r="R74" s="1011" t="str">
        <f>IF(B74&gt;0,RicusPolice!P73," ")</f>
        <v xml:space="preserve"> </v>
      </c>
      <c r="S74" s="20">
        <f>IFERROR(VLOOKUP($B74,'נתונים ידניים'!$B$9:$G$51,6,FALSE),0)</f>
        <v>0</v>
      </c>
      <c r="T74" s="21">
        <f>'נתונים ידניים'!J75</f>
        <v>0</v>
      </c>
      <c r="U74" s="21">
        <f>'נתונים ידניים'!K75</f>
        <v>0</v>
      </c>
      <c r="V74" s="20">
        <f>IFERROR(VLOOKUP($B74,PerutHafrashotLePolisa!$D$6:$N$50,2,FALSE),0)</f>
        <v>0</v>
      </c>
      <c r="W74" s="20">
        <f>IFERROR(VLOOKUP($B74,PerutHafrashotLePolisa!$D$6:$N$50,4,FALSE),0)</f>
        <v>0</v>
      </c>
      <c r="X74" s="20">
        <f>IFERROR(VLOOKUP($B74,PerutHafrashotLePolisa!$D$6:$N$50,3,FALSE),0)</f>
        <v>0</v>
      </c>
      <c r="Y74">
        <f t="shared" ref="Y74:Y102" si="96">VALUE(V74)+VALUE(W74)+VALUE(X74)</f>
        <v>0</v>
      </c>
      <c r="Z74">
        <f>RicusPolice!AP71</f>
        <v>0</v>
      </c>
      <c r="AA74">
        <f>IFERROR(VLOOKUP(B74,PirteiHaasaka!$D$6:$R$100,5,FALSE),0)</f>
        <v>0</v>
      </c>
      <c r="AC74">
        <f>IFERROR(VLOOKUP(B74,HafkadotMetchilatShanaAverages!$D$6:$E$100,2,FALSE),0)</f>
        <v>0</v>
      </c>
      <c r="AF74">
        <f>'נתונים ידניים'!L75</f>
        <v>0</v>
      </c>
      <c r="AG74">
        <f>IFERROR(VLOOKUP(B74,CrossTabYitraLeTkufa_till_2000!$D$6:$AB$100,6,FALSE),0)+IFERROR(VLOOKUP(B74,CrossTabYitraLeTkufa_after_2000!$D$6:$AB$100,6,FALSE),0)</f>
        <v>0</v>
      </c>
      <c r="AH74">
        <f>IFERROR(VLOOKUP(B74,CrossTabYitraLeTkufa_till_2000!$D$6:$AB$100,16,FALSE),0)</f>
        <v>0</v>
      </c>
      <c r="AI74">
        <f>IFERROR(VLOOKUP(B74,CrossTabYitraLeTkufa_after_2000!$D$6:$AB$100,16,FALSE),0)</f>
        <v>0</v>
      </c>
      <c r="AJ74">
        <f>IFERROR(VLOOKUP(B74,CrossTabYitraLeTkufa_till_2000!$D$6:$AB$100,17,FALSE),0)</f>
        <v>0</v>
      </c>
      <c r="AK74">
        <f>IFERROR(VLOOKUP(B74,CrossTabYitraLeTkufa_after_2000!$D$6:$AB$100,17,FALSE),0)</f>
        <v>0</v>
      </c>
      <c r="AL74" s="5">
        <f t="shared" ref="AL74:AL102" si="97">SUM(AG74:AK74)</f>
        <v>0</v>
      </c>
      <c r="AO74">
        <f>IFERROR(VLOOKUP(B74,PirteiKisuiBeMutzar_procerur!$C$6:$AA$100,2,FALSE),0)</f>
        <v>0</v>
      </c>
      <c r="AQ74">
        <f>IFERROR(VLOOKUP($B74,PirteiKisuiBeMutzar_procerur!$C$6:$AA$100,5,FALSE),0)</f>
        <v>0</v>
      </c>
      <c r="AR74">
        <f>IFERROR(VLOOKUP($B74,PirteiKisuiBeMutzar_procerur!$C$6:$AA$100,3,FALSE),0)</f>
        <v>0</v>
      </c>
      <c r="AS74">
        <f>IFERROR(VLOOKUP($B74,PirteiKisuiBeMutzar_procerur!$C$6:$AA$100,6,FALSE),0)</f>
        <v>0</v>
      </c>
      <c r="AT74">
        <f>IFERROR(VLOOKUP($B74,PirteiKisuiBeMutzar_procerur!$C$6:$AA$100,7,FALSE),0)</f>
        <v>0</v>
      </c>
      <c r="AX74" s="997">
        <f t="shared" ref="AX74:AX101" si="98">IFERROR(V74/Y74*AF74,0)</f>
        <v>0</v>
      </c>
      <c r="AY74" s="997">
        <f t="shared" ref="AY74:AY101" si="99">IFERROR(W74/Y74*AF74,0)</f>
        <v>0</v>
      </c>
      <c r="AZ74" s="997">
        <f t="shared" ref="AZ74:AZ101" si="100">IFERROR(X74/Y74*AF74,0)</f>
        <v>0</v>
      </c>
      <c r="BA74" s="997">
        <f>IFERROR(FV(S74/100/12,'נתוני יסוד'!$B$16*12,AX74,AG74)*(-1),0)</f>
        <v>0</v>
      </c>
      <c r="BB74" s="997">
        <f>IFERROR(FV(S74/100/12,'נתוני יסוד'!$B$16*12,0,AH74)*(-1),0)</f>
        <v>0</v>
      </c>
      <c r="BC74" s="997">
        <f>IFERROR(FV(S74/100/12,'נתוני יסוד'!$B$16*12,AY74,AI74)*(-1),0)</f>
        <v>0</v>
      </c>
      <c r="BD74" s="997">
        <f>IFERROR(FV(S74/100/12,'נתוני יסוד'!$B$16*12,0,AJ74)*(-1),0)</f>
        <v>0</v>
      </c>
      <c r="BE74" s="997">
        <f>IFERROR(FV(S74/100/12,'נתוני יסוד'!$B$16*12,AZ74,AK74)*(-1),0)</f>
        <v>0</v>
      </c>
      <c r="BF74" s="997">
        <f t="shared" ref="BF74:BF101" si="101">SUM(BA74:BE74)</f>
        <v>0</v>
      </c>
      <c r="BG74" s="997">
        <f>IFERROR(FV(S74/100/12,'נתוני יסוד'!$B$16*12,AF74,AL74)*(-1),0)</f>
        <v>0</v>
      </c>
      <c r="BH74" s="997">
        <f t="shared" ref="BH74:BH101" si="102">IF(EH74=2,BG74,0)</f>
        <v>0</v>
      </c>
      <c r="BI74" s="997">
        <f t="shared" ref="BI74:BI101" si="103">IFERROR(IF(EH74=1,BG74,0),0)</f>
        <v>0</v>
      </c>
      <c r="BJ74" s="997">
        <f t="shared" ref="BJ74:BJ101" si="104">IFERROR(IF(EH74=1,BG74/T74,0),0)</f>
        <v>0</v>
      </c>
      <c r="BK74" s="997">
        <f t="shared" ref="BK74:BK101" si="105">IFERROR(IF(EH74=1,BG74/U74,0),0)</f>
        <v>0</v>
      </c>
      <c r="BL74" s="997">
        <f t="shared" si="68"/>
        <v>0</v>
      </c>
      <c r="BM74" s="997">
        <f t="shared" si="69"/>
        <v>0</v>
      </c>
      <c r="BN74" s="997">
        <f t="shared" si="70"/>
        <v>0</v>
      </c>
      <c r="BO74" s="997">
        <f t="shared" ref="BO74:BO101" si="106">BM74+BN74</f>
        <v>0</v>
      </c>
      <c r="BP74" s="997">
        <f t="shared" si="71"/>
        <v>0</v>
      </c>
      <c r="BS74">
        <f t="shared" si="72"/>
        <v>0</v>
      </c>
      <c r="BT74">
        <f t="shared" si="73"/>
        <v>0</v>
      </c>
      <c r="BU74">
        <f t="shared" si="74"/>
        <v>0</v>
      </c>
      <c r="BV74">
        <f t="shared" ref="BV74:BV101" si="107">BU74+BT74</f>
        <v>0</v>
      </c>
      <c r="BW74">
        <f t="shared" si="75"/>
        <v>0</v>
      </c>
      <c r="BY74" s="997">
        <f t="shared" si="76"/>
        <v>0</v>
      </c>
      <c r="BZ74" s="997">
        <f t="shared" si="77"/>
        <v>0</v>
      </c>
      <c r="CA74" s="997">
        <f t="shared" si="78"/>
        <v>0</v>
      </c>
      <c r="CB74" s="997">
        <f t="shared" ref="CB74:CB101" si="108">CA74+BZ74</f>
        <v>0</v>
      </c>
      <c r="CC74" s="997">
        <f t="shared" si="79"/>
        <v>0</v>
      </c>
      <c r="CD74" s="997">
        <f t="shared" si="80"/>
        <v>0</v>
      </c>
      <c r="CE74" s="997">
        <f t="shared" si="81"/>
        <v>0</v>
      </c>
      <c r="CF74" s="997">
        <f t="shared" si="82"/>
        <v>0</v>
      </c>
      <c r="CG74" s="997">
        <f t="shared" si="83"/>
        <v>0</v>
      </c>
      <c r="CH74" s="997">
        <f t="shared" si="84"/>
        <v>0</v>
      </c>
      <c r="CI74" s="997">
        <f t="shared" si="85"/>
        <v>0</v>
      </c>
      <c r="CJ74" s="997">
        <f t="shared" si="86"/>
        <v>0</v>
      </c>
      <c r="CK74" s="997"/>
      <c r="CL74" s="997"/>
      <c r="CM74" s="997">
        <f t="shared" si="87"/>
        <v>0</v>
      </c>
      <c r="CN74" s="997">
        <f t="shared" si="88"/>
        <v>0</v>
      </c>
      <c r="CO74" s="997">
        <f t="shared" si="89"/>
        <v>0</v>
      </c>
      <c r="CP74" s="997">
        <f t="shared" ref="CP74:CP101" si="109">CO74+CN74</f>
        <v>0</v>
      </c>
      <c r="CQ74" s="997">
        <f t="shared" si="90"/>
        <v>0</v>
      </c>
      <c r="CR74" s="997">
        <f>IFERROR(VLOOKUP($B74,SchumeiBituahYesodi!$C$6:$AA$100,8,FALSE),0)</f>
        <v>0</v>
      </c>
      <c r="CS74" s="997">
        <f>IFERROR(VLOOKUP($B74,PirteiKisuiBeMutzar_procerur!$C$6:$AA$100,2,FALSE),0)</f>
        <v>0</v>
      </c>
      <c r="CT74" s="997">
        <f>IFERROR(VLOOKUP($B74,PirteiKisuiBeMutzar_procerur!$C$6:$AA$100,3,FALSE),0)</f>
        <v>0</v>
      </c>
      <c r="CU74" s="997">
        <f>IFERROR(VLOOKUP($B74,PirteiKisuiBeMutzar_procerur!$C$6:$AA$100,4,FALSE),0)</f>
        <v>0</v>
      </c>
      <c r="CV74" s="997">
        <f>IFERROR(VLOOKUP($B74,PirteiKisuiBeMutzar_procerur!$C$6:$AA$100,5,FALSE),0)</f>
        <v>0</v>
      </c>
      <c r="CW74" s="997">
        <f>IFERROR(VLOOKUP($B74,PirteiKisuiBeMutzar_procerur!$C$6:$AA$100,6,FALSE),0)</f>
        <v>0</v>
      </c>
      <c r="CX74" s="997">
        <f>IFERROR(VLOOKUP($B74,PirteiKisuiBeMutzar_procerur!$C$6:$AA$100,7,FALSE),0)</f>
        <v>0</v>
      </c>
      <c r="CY74" s="997">
        <f>IFERROR(VLOOKUP($B74,PirteiKisuiBeMutzar_procerur!$C$6:$AA$100,8,FALSE),0)</f>
        <v>0</v>
      </c>
      <c r="CZ74" s="997">
        <f>IFERROR(VLOOKUP($B74,PirteiKisuiBeMutzar_procerur!$C$6:$AA$100,9,FALSE),0)</f>
        <v>0</v>
      </c>
      <c r="DA74" s="997">
        <f>IFERROR(VLOOKUP($B74,PirteiKisuiBeMutzar_procerur!$C$6:$AA$100,10,FALSE),0)</f>
        <v>0</v>
      </c>
      <c r="DB74" s="997">
        <f>IFERROR(VLOOKUP($B74,PirteiKisuiBeMutzar_procerur!$C$6:$AA$100,11,FALSE),0)</f>
        <v>0</v>
      </c>
      <c r="DC74" s="997">
        <f>IFERROR(VLOOKUP($B74,PirteiKisuiBeMutzarPrmia!$C$6:$Z$100,2,FALSE),0)</f>
        <v>0</v>
      </c>
      <c r="DD74" s="997">
        <f>IFERROR(VLOOKUP($B74,PirteiKisuiBeMutzarPrmia!$C$6:$Z$100,3,FALSE),0)</f>
        <v>0</v>
      </c>
      <c r="DE74" s="997">
        <f>IFERROR(VLOOKUP($B74,PirteiKisuiBeMutzarPrmia!$C$6:$Z$100,4,FALSE),0)</f>
        <v>0</v>
      </c>
      <c r="DF74" s="997">
        <f>IFERROR(VLOOKUP($B74,PirteiKisuiBeMutzarPrmia!$C$6:$Z$100,5,FALSE),0)</f>
        <v>0</v>
      </c>
      <c r="DG74" s="997">
        <f>IFERROR(VLOOKUP($B74,PirteiKisuiBeMutzarPrmia!$C$6:$Z$100,6,FALSE),0)</f>
        <v>0</v>
      </c>
      <c r="DH74" s="997">
        <f>IFERROR(VLOOKUP($B74,PirteiKisuiBeMutzarPrmia!$C$6:$Z$100,7,FALSE),0)</f>
        <v>0</v>
      </c>
      <c r="DI74" s="997">
        <f>IFERROR(VLOOKUP($B74,PirteiKisuiBeMutzarPrmia!$C$6:$Z$100,8,FALSE),0)</f>
        <v>0</v>
      </c>
      <c r="DJ74" s="997">
        <f>IFERROR(VLOOKUP($B74,PirteiKisuiBeMutzarPrmia!$C$6:$Z$100,9,FALSE),0)</f>
        <v>0</v>
      </c>
      <c r="DK74" s="997">
        <f>IFERROR(VLOOKUP($B74,PirteiKisuiBeMutzarPrmia!$C$6:$Z$100,10,FALSE),0)</f>
        <v>0</v>
      </c>
      <c r="DL74" s="997">
        <f>IFERROR(VLOOKUP($B74,PirteiKisuiBeMutzarPrmia!$C$6:$Z$100,11,FALSE),0)</f>
        <v>0</v>
      </c>
      <c r="DM74" s="997">
        <f t="shared" ref="DM74:DM101" si="110">SUM(DC74:DL74)</f>
        <v>0</v>
      </c>
      <c r="DN74" s="997">
        <f t="shared" si="91"/>
        <v>0</v>
      </c>
      <c r="DO74" s="997">
        <f t="shared" si="92"/>
        <v>0</v>
      </c>
      <c r="DP74" s="997">
        <f t="shared" si="67"/>
        <v>0</v>
      </c>
      <c r="DQ74" s="997">
        <f t="shared" si="93"/>
        <v>0</v>
      </c>
      <c r="DR74" s="997">
        <f>IF(OR(L74=1,L74=3),IFERROR(VLOOKUP($B74,PerutHafkadotMetchilatShanaAvgM!$C$6:$G$100,3,FALSE),0),0)</f>
        <v>0</v>
      </c>
      <c r="DS74" s="997">
        <f>IF(OR(L74=2,L74=4),IFERROR(VLOOKUP($B74,PerutHafkadotMetchilatShanaAvgM!$C$6:$G$100,3,FALSE),0),0)</f>
        <v>0</v>
      </c>
      <c r="DT74" s="997">
        <f>IFERROR(VLOOKUP($B74,PerutHafkadotMetchilatShanaAvgM!$C$6:$G$100,4,FALSE),0)</f>
        <v>0</v>
      </c>
      <c r="DU74" s="997">
        <f>IFERROR(VLOOKUP($B74,Kupa!$D$6:$AA$100,5,FALSE),0)</f>
        <v>0</v>
      </c>
      <c r="DV74" s="997">
        <f>IFERROR(VLOOKUP($B74,Kupa!$D$6:$AA$100,6,FALSE),0)</f>
        <v>0</v>
      </c>
      <c r="DW74" s="997">
        <f>IFERROR(VLOOKUP($B74,KisuiBKerenPensiaDBWithParams!$D$6:$AP$100,9,FALSE),0)</f>
        <v>0</v>
      </c>
      <c r="DX74" s="997">
        <f>IFERROR(VLOOKUP($B74,KisuiBKerenPensiaDBWithParams!$D$6:$AP$100,12,FALSE),0)</f>
        <v>0</v>
      </c>
      <c r="DY74" s="997">
        <f>IFERROR(VLOOKUP($B74,KisuiBKerenPensiaDBWithParams!$D$6:$AP$100,13,FALSE),0)</f>
        <v>0</v>
      </c>
      <c r="DZ74" s="997">
        <f>IFERROR(VLOOKUP($B74,KisuiBKerenPensiaDBWithParams!$D$6:$AP$100,7,FALSE),0)</f>
        <v>0</v>
      </c>
      <c r="EA74" s="997">
        <f>IFERROR(VLOOKUP($B74,KisuiBKerenPensiaDBWithParams!$D$6:$AP$100,17,FALSE),0)</f>
        <v>0</v>
      </c>
      <c r="EB74" s="997">
        <f>IFERROR(VLOOKUP($B74,KisuiBKerenPensiaDBWithParams!$D$6:$AP$100,20,FALSE),0)</f>
        <v>0</v>
      </c>
      <c r="EC74" s="997">
        <f>IFERROR(VLOOKUP($B74,KisuiBKerenPensiaDBWithParams!$D$6:$AP$100,21,FALSE),0)</f>
        <v>0</v>
      </c>
      <c r="ED74" s="997">
        <f t="shared" ref="ED74:ED101" si="111">DW74+CW74</f>
        <v>0</v>
      </c>
      <c r="EE74" s="997"/>
      <c r="EF74" s="1020">
        <f>IFERROR(VLOOKUP($B74,KisuiBKerenPensiaDBWithParams!$D$6:$AP$100,21,FALSE),0)</f>
        <v>0</v>
      </c>
      <c r="EG74" s="1020">
        <f>IFERROR(VLOOKUP($B74,KisuiBKerenPensiaDBWithParams!$D$6:$AP$100,21,FALSE),0)</f>
        <v>0</v>
      </c>
      <c r="EH74">
        <f>IF(OR(G74=MyData!$J$51,G74=MyData!$J$52,G74=MyData!$J$53),1,IF(G74=MyData!$J$50,2,0))</f>
        <v>0</v>
      </c>
      <c r="EI74">
        <f>IFERROR(VLOOKUP($B74,CrosstabPerutYitrotDB!$C$6:$N$50,3,FALSE),0)</f>
        <v>0</v>
      </c>
      <c r="EJ74">
        <f>IFERROR(VLOOKUP($B74,CrosstabPerutYitrotDB!$C$6:$N$50,4,FALSE),0)</f>
        <v>0</v>
      </c>
      <c r="EK74">
        <f>IFERROR(VLOOKUP($B74,CrosstabPerutYitrotDB!$C$6:$N$50,5,FALSE),0)</f>
        <v>0</v>
      </c>
      <c r="EL74">
        <f>IFERROR(VLOOKUP($B74,CrosstabPerutYitrotDB!$C$6:$N$50,6,FALSE),0)</f>
        <v>0</v>
      </c>
      <c r="EM74">
        <f>IFERROR(VLOOKUP($B74,CrosstabPerutYitrotDB!$C$6:$N$50,7,FALSE),0)</f>
        <v>0</v>
      </c>
      <c r="EN74">
        <f>IFERROR(VLOOKUP($B74,CrosstabPerutYitrotDB!$C$6:$N$50,8,FALSE),0)</f>
        <v>0</v>
      </c>
      <c r="EO74">
        <f>IFERROR(VLOOKUP($B74,CrosstabPerutYitrotDB!$C$6:$N$50,9,FALSE),0)</f>
        <v>0</v>
      </c>
      <c r="EP74">
        <f>IFERROR(VLOOKUP($B74,CrosstabPerutYitrotDB!$C$6:$N$50,10,FALSE),0)</f>
        <v>0</v>
      </c>
      <c r="EQ74">
        <f>IFERROR(VLOOKUP($B74,CrosstabPerutYitrotDB!$C$6:$N$50,11,FALSE),0)</f>
        <v>0</v>
      </c>
    </row>
    <row r="75" spans="1:147" x14ac:dyDescent="0.2">
      <c r="A75">
        <f t="shared" ref="A75:A102" si="112">IF(B75&gt;0,A74+1,0)</f>
        <v>0</v>
      </c>
      <c r="B75" s="20">
        <f>RicusPolice!E72</f>
        <v>0</v>
      </c>
      <c r="C75" s="20">
        <f>RicusPolice!AL72</f>
        <v>0</v>
      </c>
      <c r="D75" s="20">
        <f>RicusPolice!F72</f>
        <v>0</v>
      </c>
      <c r="E75" s="20">
        <f>RicusPolice!R72</f>
        <v>0</v>
      </c>
      <c r="F75" s="20">
        <f>RicusPolice!N72</f>
        <v>0</v>
      </c>
      <c r="G75" s="20">
        <f>IFERROR(VLOOKUP($B75,PerutYitrot!$D$6:$P$100,4,FALSE),0)</f>
        <v>0</v>
      </c>
      <c r="H75" s="20">
        <f t="shared" si="94"/>
        <v>0</v>
      </c>
      <c r="I75" s="20">
        <f>RicusPolice!L72</f>
        <v>0</v>
      </c>
      <c r="J75" s="179">
        <f>IFERROR(VLOOKUP(TRIM(K75),MyData!$J$44:$K$50,2,FALSE),0)</f>
        <v>0</v>
      </c>
      <c r="K75" s="20">
        <f>RicusPolice!M72</f>
        <v>0</v>
      </c>
      <c r="L75" s="20">
        <f>RicusPolice!AM72</f>
        <v>0</v>
      </c>
      <c r="M75" s="20" t="str">
        <f>IF(B75&gt;0,RicusPolice!Y72," ")</f>
        <v xml:space="preserve"> </v>
      </c>
      <c r="N75" s="20" t="str">
        <f t="shared" si="95"/>
        <v/>
      </c>
      <c r="O75" s="20">
        <f>RicusPolice!N72</f>
        <v>0</v>
      </c>
      <c r="P75" s="20">
        <f>IFERROR(VLOOKUP(B75,PerutMasluleiHashkaa!$D$6:$R$100,4,FALSE),0)</f>
        <v>0</v>
      </c>
      <c r="Q75" s="19"/>
      <c r="R75" s="1011" t="str">
        <f>IF(B75&gt;0,RicusPolice!P74," ")</f>
        <v xml:space="preserve"> </v>
      </c>
      <c r="S75" s="20">
        <f>IFERROR(VLOOKUP($B75,'נתונים ידניים'!$B$9:$G$51,6,FALSE),0)</f>
        <v>0</v>
      </c>
      <c r="T75" s="21">
        <f>'נתונים ידניים'!J76</f>
        <v>0</v>
      </c>
      <c r="U75" s="21">
        <f>'נתונים ידניים'!K76</f>
        <v>0</v>
      </c>
      <c r="V75" s="20">
        <f>IFERROR(VLOOKUP($B75,PerutHafrashotLePolisa!$D$6:$N$50,2,FALSE),0)</f>
        <v>0</v>
      </c>
      <c r="W75" s="20">
        <f>IFERROR(VLOOKUP($B75,PerutHafrashotLePolisa!$D$6:$N$50,4,FALSE),0)</f>
        <v>0</v>
      </c>
      <c r="X75" s="20">
        <f>IFERROR(VLOOKUP($B75,PerutHafrashotLePolisa!$D$6:$N$50,3,FALSE),0)</f>
        <v>0</v>
      </c>
      <c r="Y75">
        <f t="shared" si="96"/>
        <v>0</v>
      </c>
      <c r="Z75">
        <f>RicusPolice!AP72</f>
        <v>0</v>
      </c>
      <c r="AA75">
        <f>IFERROR(VLOOKUP(B75,PirteiHaasaka!$D$6:$R$100,5,FALSE),0)</f>
        <v>0</v>
      </c>
      <c r="AC75">
        <f>IFERROR(VLOOKUP(B75,HafkadotMetchilatShanaAverages!$D$6:$E$100,2,FALSE),0)</f>
        <v>0</v>
      </c>
      <c r="AF75">
        <f>'נתונים ידניים'!L76</f>
        <v>0</v>
      </c>
      <c r="AG75">
        <f>IFERROR(VLOOKUP(B75,CrossTabYitraLeTkufa_till_2000!$D$6:$AB$100,6,FALSE),0)+IFERROR(VLOOKUP(B75,CrossTabYitraLeTkufa_after_2000!$D$6:$AB$100,6,FALSE),0)</f>
        <v>0</v>
      </c>
      <c r="AH75">
        <f>IFERROR(VLOOKUP(B75,CrossTabYitraLeTkufa_till_2000!$D$6:$AB$100,16,FALSE),0)</f>
        <v>0</v>
      </c>
      <c r="AI75">
        <f>IFERROR(VLOOKUP(B75,CrossTabYitraLeTkufa_after_2000!$D$6:$AB$100,16,FALSE),0)</f>
        <v>0</v>
      </c>
      <c r="AJ75">
        <f>IFERROR(VLOOKUP(B75,CrossTabYitraLeTkufa_till_2000!$D$6:$AB$100,17,FALSE),0)</f>
        <v>0</v>
      </c>
      <c r="AK75">
        <f>IFERROR(VLOOKUP(B75,CrossTabYitraLeTkufa_after_2000!$D$6:$AB$100,17,FALSE),0)</f>
        <v>0</v>
      </c>
      <c r="AL75" s="5">
        <f t="shared" si="97"/>
        <v>0</v>
      </c>
      <c r="AO75">
        <f>IFERROR(VLOOKUP(B75,PirteiKisuiBeMutzar_procerur!$C$6:$AA$100,2,FALSE),0)</f>
        <v>0</v>
      </c>
      <c r="AQ75">
        <f>IFERROR(VLOOKUP($B75,PirteiKisuiBeMutzar_procerur!$C$6:$AA$100,5,FALSE),0)</f>
        <v>0</v>
      </c>
      <c r="AR75">
        <f>IFERROR(VLOOKUP($B75,PirteiKisuiBeMutzar_procerur!$C$6:$AA$100,3,FALSE),0)</f>
        <v>0</v>
      </c>
      <c r="AS75">
        <f>IFERROR(VLOOKUP($B75,PirteiKisuiBeMutzar_procerur!$C$6:$AA$100,6,FALSE),0)</f>
        <v>0</v>
      </c>
      <c r="AT75">
        <f>IFERROR(VLOOKUP($B75,PirteiKisuiBeMutzar_procerur!$C$6:$AA$100,7,FALSE),0)</f>
        <v>0</v>
      </c>
      <c r="AX75" s="997">
        <f t="shared" si="98"/>
        <v>0</v>
      </c>
      <c r="AY75" s="997">
        <f t="shared" si="99"/>
        <v>0</v>
      </c>
      <c r="AZ75" s="997">
        <f t="shared" si="100"/>
        <v>0</v>
      </c>
      <c r="BA75" s="997">
        <f>IFERROR(FV(S75/100/12,'נתוני יסוד'!$B$16*12,AX75,AG75)*(-1),0)</f>
        <v>0</v>
      </c>
      <c r="BB75" s="997">
        <f>IFERROR(FV(S75/100/12,'נתוני יסוד'!$B$16*12,0,AH75)*(-1),0)</f>
        <v>0</v>
      </c>
      <c r="BC75" s="997">
        <f>IFERROR(FV(S75/100/12,'נתוני יסוד'!$B$16*12,AY75,AI75)*(-1),0)</f>
        <v>0</v>
      </c>
      <c r="BD75" s="997">
        <f>IFERROR(FV(S75/100/12,'נתוני יסוד'!$B$16*12,0,AJ75)*(-1),0)</f>
        <v>0</v>
      </c>
      <c r="BE75" s="997">
        <f>IFERROR(FV(S75/100/12,'נתוני יסוד'!$B$16*12,AZ75,AK75)*(-1),0)</f>
        <v>0</v>
      </c>
      <c r="BF75" s="997">
        <f t="shared" si="101"/>
        <v>0</v>
      </c>
      <c r="BG75" s="997">
        <f>IFERROR(FV(S75/100/12,'נתוני יסוד'!$B$16*12,AF75,AL75)*(-1),0)</f>
        <v>0</v>
      </c>
      <c r="BH75" s="997">
        <f t="shared" si="102"/>
        <v>0</v>
      </c>
      <c r="BI75" s="997">
        <f t="shared" si="103"/>
        <v>0</v>
      </c>
      <c r="BJ75" s="997">
        <f t="shared" si="104"/>
        <v>0</v>
      </c>
      <c r="BK75" s="997">
        <f t="shared" si="105"/>
        <v>0</v>
      </c>
      <c r="BL75" s="997">
        <f t="shared" si="68"/>
        <v>0</v>
      </c>
      <c r="BM75" s="997">
        <f t="shared" si="69"/>
        <v>0</v>
      </c>
      <c r="BN75" s="997">
        <f t="shared" si="70"/>
        <v>0</v>
      </c>
      <c r="BO75" s="997">
        <f t="shared" si="106"/>
        <v>0</v>
      </c>
      <c r="BP75" s="997">
        <f t="shared" si="71"/>
        <v>0</v>
      </c>
      <c r="BS75">
        <f t="shared" si="72"/>
        <v>0</v>
      </c>
      <c r="BT75">
        <f t="shared" si="73"/>
        <v>0</v>
      </c>
      <c r="BU75">
        <f t="shared" si="74"/>
        <v>0</v>
      </c>
      <c r="BV75">
        <f t="shared" si="107"/>
        <v>0</v>
      </c>
      <c r="BW75">
        <f t="shared" si="75"/>
        <v>0</v>
      </c>
      <c r="BY75" s="997">
        <f t="shared" si="76"/>
        <v>0</v>
      </c>
      <c r="BZ75" s="997">
        <f t="shared" si="77"/>
        <v>0</v>
      </c>
      <c r="CA75" s="997">
        <f t="shared" si="78"/>
        <v>0</v>
      </c>
      <c r="CB75" s="997">
        <f t="shared" si="108"/>
        <v>0</v>
      </c>
      <c r="CC75" s="997">
        <f t="shared" si="79"/>
        <v>0</v>
      </c>
      <c r="CD75" s="997">
        <f t="shared" si="80"/>
        <v>0</v>
      </c>
      <c r="CE75" s="997">
        <f t="shared" si="81"/>
        <v>0</v>
      </c>
      <c r="CF75" s="997">
        <f t="shared" si="82"/>
        <v>0</v>
      </c>
      <c r="CG75" s="997">
        <f t="shared" si="83"/>
        <v>0</v>
      </c>
      <c r="CH75" s="997">
        <f t="shared" si="84"/>
        <v>0</v>
      </c>
      <c r="CI75" s="997">
        <f t="shared" si="85"/>
        <v>0</v>
      </c>
      <c r="CJ75" s="997">
        <f t="shared" si="86"/>
        <v>0</v>
      </c>
      <c r="CK75" s="997"/>
      <c r="CL75" s="997"/>
      <c r="CM75" s="997">
        <f t="shared" si="87"/>
        <v>0</v>
      </c>
      <c r="CN75" s="997">
        <f t="shared" si="88"/>
        <v>0</v>
      </c>
      <c r="CO75" s="997">
        <f t="shared" si="89"/>
        <v>0</v>
      </c>
      <c r="CP75" s="997">
        <f t="shared" si="109"/>
        <v>0</v>
      </c>
      <c r="CQ75" s="997">
        <f t="shared" si="90"/>
        <v>0</v>
      </c>
      <c r="CR75" s="997">
        <f>IFERROR(VLOOKUP($B75,SchumeiBituahYesodi!$C$6:$AA$100,8,FALSE),0)</f>
        <v>0</v>
      </c>
      <c r="CS75" s="997">
        <f>IFERROR(VLOOKUP($B75,PirteiKisuiBeMutzar_procerur!$C$6:$AA$100,2,FALSE),0)</f>
        <v>0</v>
      </c>
      <c r="CT75" s="997">
        <f>IFERROR(VLOOKUP($B75,PirteiKisuiBeMutzar_procerur!$C$6:$AA$100,3,FALSE),0)</f>
        <v>0</v>
      </c>
      <c r="CU75" s="997">
        <f>IFERROR(VLOOKUP($B75,PirteiKisuiBeMutzar_procerur!$C$6:$AA$100,4,FALSE),0)</f>
        <v>0</v>
      </c>
      <c r="CV75" s="997">
        <f>IFERROR(VLOOKUP($B75,PirteiKisuiBeMutzar_procerur!$C$6:$AA$100,5,FALSE),0)</f>
        <v>0</v>
      </c>
      <c r="CW75" s="997">
        <f>IFERROR(VLOOKUP($B75,PirteiKisuiBeMutzar_procerur!$C$6:$AA$100,6,FALSE),0)</f>
        <v>0</v>
      </c>
      <c r="CX75" s="997">
        <f>IFERROR(VLOOKUP($B75,PirteiKisuiBeMutzar_procerur!$C$6:$AA$100,7,FALSE),0)</f>
        <v>0</v>
      </c>
      <c r="CY75" s="997">
        <f>IFERROR(VLOOKUP($B75,PirteiKisuiBeMutzar_procerur!$C$6:$AA$100,8,FALSE),0)</f>
        <v>0</v>
      </c>
      <c r="CZ75" s="997">
        <f>IFERROR(VLOOKUP($B75,PirteiKisuiBeMutzar_procerur!$C$6:$AA$100,9,FALSE),0)</f>
        <v>0</v>
      </c>
      <c r="DA75" s="997">
        <f>IFERROR(VLOOKUP($B75,PirteiKisuiBeMutzar_procerur!$C$6:$AA$100,10,FALSE),0)</f>
        <v>0</v>
      </c>
      <c r="DB75" s="997">
        <f>IFERROR(VLOOKUP($B75,PirteiKisuiBeMutzar_procerur!$C$6:$AA$100,11,FALSE),0)</f>
        <v>0</v>
      </c>
      <c r="DC75" s="997">
        <f>IFERROR(VLOOKUP($B75,PirteiKisuiBeMutzarPrmia!$C$6:$Z$100,2,FALSE),0)</f>
        <v>0</v>
      </c>
      <c r="DD75" s="997">
        <f>IFERROR(VLOOKUP($B75,PirteiKisuiBeMutzarPrmia!$C$6:$Z$100,3,FALSE),0)</f>
        <v>0</v>
      </c>
      <c r="DE75" s="997">
        <f>IFERROR(VLOOKUP($B75,PirteiKisuiBeMutzarPrmia!$C$6:$Z$100,4,FALSE),0)</f>
        <v>0</v>
      </c>
      <c r="DF75" s="997">
        <f>IFERROR(VLOOKUP($B75,PirteiKisuiBeMutzarPrmia!$C$6:$Z$100,5,FALSE),0)</f>
        <v>0</v>
      </c>
      <c r="DG75" s="997">
        <f>IFERROR(VLOOKUP($B75,PirteiKisuiBeMutzarPrmia!$C$6:$Z$100,6,FALSE),0)</f>
        <v>0</v>
      </c>
      <c r="DH75" s="997">
        <f>IFERROR(VLOOKUP($B75,PirteiKisuiBeMutzarPrmia!$C$6:$Z$100,7,FALSE),0)</f>
        <v>0</v>
      </c>
      <c r="DI75" s="997">
        <f>IFERROR(VLOOKUP($B75,PirteiKisuiBeMutzarPrmia!$C$6:$Z$100,8,FALSE),0)</f>
        <v>0</v>
      </c>
      <c r="DJ75" s="997">
        <f>IFERROR(VLOOKUP($B75,PirteiKisuiBeMutzarPrmia!$C$6:$Z$100,9,FALSE),0)</f>
        <v>0</v>
      </c>
      <c r="DK75" s="997">
        <f>IFERROR(VLOOKUP($B75,PirteiKisuiBeMutzarPrmia!$C$6:$Z$100,10,FALSE),0)</f>
        <v>0</v>
      </c>
      <c r="DL75" s="997">
        <f>IFERROR(VLOOKUP($B75,PirteiKisuiBeMutzarPrmia!$C$6:$Z$100,11,FALSE),0)</f>
        <v>0</v>
      </c>
      <c r="DM75" s="997">
        <f t="shared" si="110"/>
        <v>0</v>
      </c>
      <c r="DN75" s="997">
        <f t="shared" si="91"/>
        <v>0</v>
      </c>
      <c r="DO75" s="997">
        <f t="shared" si="92"/>
        <v>0</v>
      </c>
      <c r="DP75" s="997">
        <f t="shared" si="67"/>
        <v>0</v>
      </c>
      <c r="DQ75" s="997">
        <f t="shared" si="93"/>
        <v>0</v>
      </c>
      <c r="DR75" s="997">
        <f>IF(OR(L75=1,L75=3),IFERROR(VLOOKUP($B75,PerutHafkadotMetchilatShanaAvgM!$C$6:$G$100,3,FALSE),0),0)</f>
        <v>0</v>
      </c>
      <c r="DS75" s="997">
        <f>IF(OR(L75=2,L75=4),IFERROR(VLOOKUP($B75,PerutHafkadotMetchilatShanaAvgM!$C$6:$G$100,3,FALSE),0),0)</f>
        <v>0</v>
      </c>
      <c r="DT75" s="997">
        <f>IFERROR(VLOOKUP($B75,PerutHafkadotMetchilatShanaAvgM!$C$6:$G$100,4,FALSE),0)</f>
        <v>0</v>
      </c>
      <c r="DU75" s="997">
        <f>IFERROR(VLOOKUP($B75,Kupa!$D$6:$AA$100,5,FALSE),0)</f>
        <v>0</v>
      </c>
      <c r="DV75" s="997">
        <f>IFERROR(VLOOKUP($B75,Kupa!$D$6:$AA$100,6,FALSE),0)</f>
        <v>0</v>
      </c>
      <c r="DW75" s="997">
        <f>IFERROR(VLOOKUP($B75,KisuiBKerenPensiaDBWithParams!$D$6:$AP$100,9,FALSE),0)</f>
        <v>0</v>
      </c>
      <c r="DX75" s="997">
        <f>IFERROR(VLOOKUP($B75,KisuiBKerenPensiaDBWithParams!$D$6:$AP$100,12,FALSE),0)</f>
        <v>0</v>
      </c>
      <c r="DY75" s="997">
        <f>IFERROR(VLOOKUP($B75,KisuiBKerenPensiaDBWithParams!$D$6:$AP$100,13,FALSE),0)</f>
        <v>0</v>
      </c>
      <c r="DZ75" s="997">
        <f>IFERROR(VLOOKUP($B75,KisuiBKerenPensiaDBWithParams!$D$6:$AP$100,7,FALSE),0)</f>
        <v>0</v>
      </c>
      <c r="EA75" s="997">
        <f>IFERROR(VLOOKUP($B75,KisuiBKerenPensiaDBWithParams!$D$6:$AP$100,17,FALSE),0)</f>
        <v>0</v>
      </c>
      <c r="EB75" s="997">
        <f>IFERROR(VLOOKUP($B75,KisuiBKerenPensiaDBWithParams!$D$6:$AP$100,20,FALSE),0)</f>
        <v>0</v>
      </c>
      <c r="EC75" s="997">
        <f>IFERROR(VLOOKUP($B75,KisuiBKerenPensiaDBWithParams!$D$6:$AP$100,21,FALSE),0)</f>
        <v>0</v>
      </c>
      <c r="ED75" s="997">
        <f t="shared" si="111"/>
        <v>0</v>
      </c>
      <c r="EE75" s="997"/>
      <c r="EF75" s="1020">
        <f>IFERROR(VLOOKUP($B75,KisuiBKerenPensiaDBWithParams!$D$6:$AP$100,21,FALSE),0)</f>
        <v>0</v>
      </c>
      <c r="EG75" s="1020">
        <f>IFERROR(VLOOKUP($B75,KisuiBKerenPensiaDBWithParams!$D$6:$AP$100,21,FALSE),0)</f>
        <v>0</v>
      </c>
      <c r="EH75">
        <f>IF(OR(G75=MyData!$J$51,G75=MyData!$J$52,G75=MyData!$J$53),1,IF(G75=MyData!$J$50,2,0))</f>
        <v>0</v>
      </c>
      <c r="EI75">
        <f>IFERROR(VLOOKUP($B75,CrosstabPerutYitrotDB!$C$6:$N$50,3,FALSE),0)</f>
        <v>0</v>
      </c>
      <c r="EJ75">
        <f>IFERROR(VLOOKUP($B75,CrosstabPerutYitrotDB!$C$6:$N$50,4,FALSE),0)</f>
        <v>0</v>
      </c>
      <c r="EK75">
        <f>IFERROR(VLOOKUP($B75,CrosstabPerutYitrotDB!$C$6:$N$50,5,FALSE),0)</f>
        <v>0</v>
      </c>
      <c r="EL75">
        <f>IFERROR(VLOOKUP($B75,CrosstabPerutYitrotDB!$C$6:$N$50,6,FALSE),0)</f>
        <v>0</v>
      </c>
      <c r="EM75">
        <f>IFERROR(VLOOKUP($B75,CrosstabPerutYitrotDB!$C$6:$N$50,7,FALSE),0)</f>
        <v>0</v>
      </c>
      <c r="EN75">
        <f>IFERROR(VLOOKUP($B75,CrosstabPerutYitrotDB!$C$6:$N$50,8,FALSE),0)</f>
        <v>0</v>
      </c>
      <c r="EO75">
        <f>IFERROR(VLOOKUP($B75,CrosstabPerutYitrotDB!$C$6:$N$50,9,FALSE),0)</f>
        <v>0</v>
      </c>
      <c r="EP75">
        <f>IFERROR(VLOOKUP($B75,CrosstabPerutYitrotDB!$C$6:$N$50,10,FALSE),0)</f>
        <v>0</v>
      </c>
      <c r="EQ75">
        <f>IFERROR(VLOOKUP($B75,CrosstabPerutYitrotDB!$C$6:$N$50,11,FALSE),0)</f>
        <v>0</v>
      </c>
    </row>
    <row r="76" spans="1:147" x14ac:dyDescent="0.2">
      <c r="A76">
        <f t="shared" si="112"/>
        <v>0</v>
      </c>
      <c r="B76" s="20">
        <f>RicusPolice!E73</f>
        <v>0</v>
      </c>
      <c r="C76" s="20">
        <f>RicusPolice!AL73</f>
        <v>0</v>
      </c>
      <c r="D76" s="20">
        <f>RicusPolice!F73</f>
        <v>0</v>
      </c>
      <c r="E76" s="20">
        <f>RicusPolice!R73</f>
        <v>0</v>
      </c>
      <c r="F76" s="20">
        <f>RicusPolice!N73</f>
        <v>0</v>
      </c>
      <c r="G76" s="20">
        <f>IFERROR(VLOOKUP($B76,PerutYitrot!$D$6:$P$100,4,FALSE),0)</f>
        <v>0</v>
      </c>
      <c r="H76" s="20">
        <f t="shared" si="94"/>
        <v>0</v>
      </c>
      <c r="I76" s="20">
        <f>RicusPolice!L73</f>
        <v>0</v>
      </c>
      <c r="J76" s="179">
        <f>IFERROR(VLOOKUP(TRIM(K76),MyData!$J$44:$K$50,2,FALSE),0)</f>
        <v>0</v>
      </c>
      <c r="K76" s="20">
        <f>RicusPolice!M73</f>
        <v>0</v>
      </c>
      <c r="L76" s="20">
        <f>RicusPolice!AM73</f>
        <v>0</v>
      </c>
      <c r="M76" s="20" t="str">
        <f>IF(B76&gt;0,RicusPolice!Y73," ")</f>
        <v xml:space="preserve"> </v>
      </c>
      <c r="N76" s="20" t="str">
        <f t="shared" si="95"/>
        <v/>
      </c>
      <c r="O76" s="20">
        <f>RicusPolice!N73</f>
        <v>0</v>
      </c>
      <c r="P76" s="20">
        <f>IFERROR(VLOOKUP(B76,PerutMasluleiHashkaa!$D$6:$R$100,4,FALSE),0)</f>
        <v>0</v>
      </c>
      <c r="Q76" s="19"/>
      <c r="R76" s="1011" t="str">
        <f>IF(B76&gt;0,RicusPolice!P75," ")</f>
        <v xml:space="preserve"> </v>
      </c>
      <c r="S76" s="20">
        <f>IFERROR(VLOOKUP($B76,'נתונים ידניים'!$B$9:$G$51,6,FALSE),0)</f>
        <v>0</v>
      </c>
      <c r="T76" s="21">
        <f>'נתונים ידניים'!J77</f>
        <v>0</v>
      </c>
      <c r="U76" s="21">
        <f>'נתונים ידניים'!K77</f>
        <v>0</v>
      </c>
      <c r="V76" s="20">
        <f>IFERROR(VLOOKUP($B76,PerutHafrashotLePolisa!$D$6:$N$50,2,FALSE),0)</f>
        <v>0</v>
      </c>
      <c r="W76" s="20">
        <f>IFERROR(VLOOKUP($B76,PerutHafrashotLePolisa!$D$6:$N$50,4,FALSE),0)</f>
        <v>0</v>
      </c>
      <c r="X76" s="20">
        <f>IFERROR(VLOOKUP($B76,PerutHafrashotLePolisa!$D$6:$N$50,3,FALSE),0)</f>
        <v>0</v>
      </c>
      <c r="Y76">
        <f t="shared" si="96"/>
        <v>0</v>
      </c>
      <c r="Z76">
        <f>RicusPolice!AP73</f>
        <v>0</v>
      </c>
      <c r="AA76">
        <f>IFERROR(VLOOKUP(B76,PirteiHaasaka!$D$6:$R$100,5,FALSE),0)</f>
        <v>0</v>
      </c>
      <c r="AC76">
        <f>IFERROR(VLOOKUP(B76,HafkadotMetchilatShanaAverages!$D$6:$E$100,2,FALSE),0)</f>
        <v>0</v>
      </c>
      <c r="AF76">
        <f>'נתונים ידניים'!L77</f>
        <v>0</v>
      </c>
      <c r="AG76">
        <f>IFERROR(VLOOKUP(B76,CrossTabYitraLeTkufa_till_2000!$D$6:$AB$100,6,FALSE),0)+IFERROR(VLOOKUP(B76,CrossTabYitraLeTkufa_after_2000!$D$6:$AB$100,6,FALSE),0)</f>
        <v>0</v>
      </c>
      <c r="AH76">
        <f>IFERROR(VLOOKUP(B76,CrossTabYitraLeTkufa_till_2000!$D$6:$AB$100,16,FALSE),0)</f>
        <v>0</v>
      </c>
      <c r="AI76">
        <f>IFERROR(VLOOKUP(B76,CrossTabYitraLeTkufa_after_2000!$D$6:$AB$100,16,FALSE),0)</f>
        <v>0</v>
      </c>
      <c r="AJ76">
        <f>IFERROR(VLOOKUP(B76,CrossTabYitraLeTkufa_till_2000!$D$6:$AB$100,17,FALSE),0)</f>
        <v>0</v>
      </c>
      <c r="AK76">
        <f>IFERROR(VLOOKUP(B76,CrossTabYitraLeTkufa_after_2000!$D$6:$AB$100,17,FALSE),0)</f>
        <v>0</v>
      </c>
      <c r="AL76" s="5">
        <f t="shared" si="97"/>
        <v>0</v>
      </c>
      <c r="AO76">
        <f>IFERROR(VLOOKUP(B76,PirteiKisuiBeMutzar_procerur!$C$6:$AA$100,2,FALSE),0)</f>
        <v>0</v>
      </c>
      <c r="AQ76">
        <f>IFERROR(VLOOKUP($B76,PirteiKisuiBeMutzar_procerur!$C$6:$AA$100,5,FALSE),0)</f>
        <v>0</v>
      </c>
      <c r="AR76">
        <f>IFERROR(VLOOKUP($B76,PirteiKisuiBeMutzar_procerur!$C$6:$AA$100,3,FALSE),0)</f>
        <v>0</v>
      </c>
      <c r="AS76">
        <f>IFERROR(VLOOKUP($B76,PirteiKisuiBeMutzar_procerur!$C$6:$AA$100,6,FALSE),0)</f>
        <v>0</v>
      </c>
      <c r="AT76">
        <f>IFERROR(VLOOKUP($B76,PirteiKisuiBeMutzar_procerur!$C$6:$AA$100,7,FALSE),0)</f>
        <v>0</v>
      </c>
      <c r="AX76" s="997">
        <f t="shared" si="98"/>
        <v>0</v>
      </c>
      <c r="AY76" s="997">
        <f t="shared" si="99"/>
        <v>0</v>
      </c>
      <c r="AZ76" s="997">
        <f t="shared" si="100"/>
        <v>0</v>
      </c>
      <c r="BA76" s="997">
        <f>IFERROR(FV(S76/100/12,'נתוני יסוד'!$B$16*12,AX76,AG76)*(-1),0)</f>
        <v>0</v>
      </c>
      <c r="BB76" s="997">
        <f>IFERROR(FV(S76/100/12,'נתוני יסוד'!$B$16*12,0,AH76)*(-1),0)</f>
        <v>0</v>
      </c>
      <c r="BC76" s="997">
        <f>IFERROR(FV(S76/100/12,'נתוני יסוד'!$B$16*12,AY76,AI76)*(-1),0)</f>
        <v>0</v>
      </c>
      <c r="BD76" s="997">
        <f>IFERROR(FV(S76/100/12,'נתוני יסוד'!$B$16*12,0,AJ76)*(-1),0)</f>
        <v>0</v>
      </c>
      <c r="BE76" s="997">
        <f>IFERROR(FV(S76/100/12,'נתוני יסוד'!$B$16*12,AZ76,AK76)*(-1),0)</f>
        <v>0</v>
      </c>
      <c r="BF76" s="997">
        <f t="shared" si="101"/>
        <v>0</v>
      </c>
      <c r="BG76" s="997">
        <f>IFERROR(FV(S76/100/12,'נתוני יסוד'!$B$16*12,AF76,AL76)*(-1),0)</f>
        <v>0</v>
      </c>
      <c r="BH76" s="997">
        <f t="shared" si="102"/>
        <v>0</v>
      </c>
      <c r="BI76" s="997">
        <f t="shared" si="103"/>
        <v>0</v>
      </c>
      <c r="BJ76" s="997">
        <f t="shared" si="104"/>
        <v>0</v>
      </c>
      <c r="BK76" s="997">
        <f t="shared" si="105"/>
        <v>0</v>
      </c>
      <c r="BL76" s="997">
        <f t="shared" si="68"/>
        <v>0</v>
      </c>
      <c r="BM76" s="997">
        <f t="shared" si="69"/>
        <v>0</v>
      </c>
      <c r="BN76" s="997">
        <f t="shared" si="70"/>
        <v>0</v>
      </c>
      <c r="BO76" s="997">
        <f t="shared" si="106"/>
        <v>0</v>
      </c>
      <c r="BP76" s="997">
        <f t="shared" si="71"/>
        <v>0</v>
      </c>
      <c r="BS76">
        <f t="shared" si="72"/>
        <v>0</v>
      </c>
      <c r="BT76">
        <f t="shared" si="73"/>
        <v>0</v>
      </c>
      <c r="BU76">
        <f t="shared" si="74"/>
        <v>0</v>
      </c>
      <c r="BV76">
        <f t="shared" si="107"/>
        <v>0</v>
      </c>
      <c r="BW76">
        <f t="shared" si="75"/>
        <v>0</v>
      </c>
      <c r="BY76" s="997">
        <f t="shared" si="76"/>
        <v>0</v>
      </c>
      <c r="BZ76" s="997">
        <f t="shared" si="77"/>
        <v>0</v>
      </c>
      <c r="CA76" s="997">
        <f t="shared" si="78"/>
        <v>0</v>
      </c>
      <c r="CB76" s="997">
        <f t="shared" si="108"/>
        <v>0</v>
      </c>
      <c r="CC76" s="997">
        <f t="shared" si="79"/>
        <v>0</v>
      </c>
      <c r="CD76" s="997">
        <f t="shared" si="80"/>
        <v>0</v>
      </c>
      <c r="CE76" s="997">
        <f t="shared" si="81"/>
        <v>0</v>
      </c>
      <c r="CF76" s="997">
        <f t="shared" si="82"/>
        <v>0</v>
      </c>
      <c r="CG76" s="997">
        <f t="shared" si="83"/>
        <v>0</v>
      </c>
      <c r="CH76" s="997">
        <f t="shared" si="84"/>
        <v>0</v>
      </c>
      <c r="CI76" s="997">
        <f t="shared" si="85"/>
        <v>0</v>
      </c>
      <c r="CJ76" s="997">
        <f t="shared" si="86"/>
        <v>0</v>
      </c>
      <c r="CK76" s="997"/>
      <c r="CL76" s="997"/>
      <c r="CM76" s="997">
        <f t="shared" si="87"/>
        <v>0</v>
      </c>
      <c r="CN76" s="997">
        <f t="shared" si="88"/>
        <v>0</v>
      </c>
      <c r="CO76" s="997">
        <f t="shared" si="89"/>
        <v>0</v>
      </c>
      <c r="CP76" s="997">
        <f t="shared" si="109"/>
        <v>0</v>
      </c>
      <c r="CQ76" s="997">
        <f t="shared" si="90"/>
        <v>0</v>
      </c>
      <c r="CR76" s="997">
        <f>IFERROR(VLOOKUP($B76,SchumeiBituahYesodi!$C$6:$AA$100,8,FALSE),0)</f>
        <v>0</v>
      </c>
      <c r="CS76" s="997">
        <f>IFERROR(VLOOKUP($B76,PirteiKisuiBeMutzar_procerur!$C$6:$AA$100,2,FALSE),0)</f>
        <v>0</v>
      </c>
      <c r="CT76" s="997">
        <f>IFERROR(VLOOKUP($B76,PirteiKisuiBeMutzar_procerur!$C$6:$AA$100,3,FALSE),0)</f>
        <v>0</v>
      </c>
      <c r="CU76" s="997">
        <f>IFERROR(VLOOKUP($B76,PirteiKisuiBeMutzar_procerur!$C$6:$AA$100,4,FALSE),0)</f>
        <v>0</v>
      </c>
      <c r="CV76" s="997">
        <f>IFERROR(VLOOKUP($B76,PirteiKisuiBeMutzar_procerur!$C$6:$AA$100,5,FALSE),0)</f>
        <v>0</v>
      </c>
      <c r="CW76" s="997">
        <f>IFERROR(VLOOKUP($B76,PirteiKisuiBeMutzar_procerur!$C$6:$AA$100,6,FALSE),0)</f>
        <v>0</v>
      </c>
      <c r="CX76" s="997">
        <f>IFERROR(VLOOKUP($B76,PirteiKisuiBeMutzar_procerur!$C$6:$AA$100,7,FALSE),0)</f>
        <v>0</v>
      </c>
      <c r="CY76" s="997">
        <f>IFERROR(VLOOKUP($B76,PirteiKisuiBeMutzar_procerur!$C$6:$AA$100,8,FALSE),0)</f>
        <v>0</v>
      </c>
      <c r="CZ76" s="997">
        <f>IFERROR(VLOOKUP($B76,PirteiKisuiBeMutzar_procerur!$C$6:$AA$100,9,FALSE),0)</f>
        <v>0</v>
      </c>
      <c r="DA76" s="997">
        <f>IFERROR(VLOOKUP($B76,PirteiKisuiBeMutzar_procerur!$C$6:$AA$100,10,FALSE),0)</f>
        <v>0</v>
      </c>
      <c r="DB76" s="997">
        <f>IFERROR(VLOOKUP($B76,PirteiKisuiBeMutzar_procerur!$C$6:$AA$100,11,FALSE),0)</f>
        <v>0</v>
      </c>
      <c r="DC76" s="997">
        <f>IFERROR(VLOOKUP($B76,PirteiKisuiBeMutzarPrmia!$C$6:$Z$100,2,FALSE),0)</f>
        <v>0</v>
      </c>
      <c r="DD76" s="997">
        <f>IFERROR(VLOOKUP($B76,PirteiKisuiBeMutzarPrmia!$C$6:$Z$100,3,FALSE),0)</f>
        <v>0</v>
      </c>
      <c r="DE76" s="997">
        <f>IFERROR(VLOOKUP($B76,PirteiKisuiBeMutzarPrmia!$C$6:$Z$100,4,FALSE),0)</f>
        <v>0</v>
      </c>
      <c r="DF76" s="997">
        <f>IFERROR(VLOOKUP($B76,PirteiKisuiBeMutzarPrmia!$C$6:$Z$100,5,FALSE),0)</f>
        <v>0</v>
      </c>
      <c r="DG76" s="997">
        <f>IFERROR(VLOOKUP($B76,PirteiKisuiBeMutzarPrmia!$C$6:$Z$100,6,FALSE),0)</f>
        <v>0</v>
      </c>
      <c r="DH76" s="997">
        <f>IFERROR(VLOOKUP($B76,PirteiKisuiBeMutzarPrmia!$C$6:$Z$100,7,FALSE),0)</f>
        <v>0</v>
      </c>
      <c r="DI76" s="997">
        <f>IFERROR(VLOOKUP($B76,PirteiKisuiBeMutzarPrmia!$C$6:$Z$100,8,FALSE),0)</f>
        <v>0</v>
      </c>
      <c r="DJ76" s="997">
        <f>IFERROR(VLOOKUP($B76,PirteiKisuiBeMutzarPrmia!$C$6:$Z$100,9,FALSE),0)</f>
        <v>0</v>
      </c>
      <c r="DK76" s="997">
        <f>IFERROR(VLOOKUP($B76,PirteiKisuiBeMutzarPrmia!$C$6:$Z$100,10,FALSE),0)</f>
        <v>0</v>
      </c>
      <c r="DL76" s="997">
        <f>IFERROR(VLOOKUP($B76,PirteiKisuiBeMutzarPrmia!$C$6:$Z$100,11,FALSE),0)</f>
        <v>0</v>
      </c>
      <c r="DM76" s="997">
        <f t="shared" si="110"/>
        <v>0</v>
      </c>
      <c r="DN76" s="997">
        <f t="shared" si="91"/>
        <v>0</v>
      </c>
      <c r="DO76" s="997">
        <f t="shared" si="92"/>
        <v>0</v>
      </c>
      <c r="DP76" s="997">
        <f t="shared" si="67"/>
        <v>0</v>
      </c>
      <c r="DQ76" s="997">
        <f t="shared" si="93"/>
        <v>0</v>
      </c>
      <c r="DR76" s="997">
        <f>IF(OR(L76=1,L76=3),IFERROR(VLOOKUP($B76,PerutHafkadotMetchilatShanaAvgM!$C$6:$G$100,3,FALSE),0),0)</f>
        <v>0</v>
      </c>
      <c r="DS76" s="997">
        <f>IF(OR(L76=2,L76=4),IFERROR(VLOOKUP($B76,PerutHafkadotMetchilatShanaAvgM!$C$6:$G$100,3,FALSE),0),0)</f>
        <v>0</v>
      </c>
      <c r="DT76" s="997">
        <f>IFERROR(VLOOKUP($B76,PerutHafkadotMetchilatShanaAvgM!$C$6:$G$100,4,FALSE),0)</f>
        <v>0</v>
      </c>
      <c r="DU76" s="997">
        <f>IFERROR(VLOOKUP($B76,Kupa!$D$6:$AA$100,5,FALSE),0)</f>
        <v>0</v>
      </c>
      <c r="DV76" s="997">
        <f>IFERROR(VLOOKUP($B76,Kupa!$D$6:$AA$100,6,FALSE),0)</f>
        <v>0</v>
      </c>
      <c r="DW76" s="997">
        <f>IFERROR(VLOOKUP($B76,KisuiBKerenPensiaDBWithParams!$D$6:$AP$100,9,FALSE),0)</f>
        <v>0</v>
      </c>
      <c r="DX76" s="997">
        <f>IFERROR(VLOOKUP($B76,KisuiBKerenPensiaDBWithParams!$D$6:$AP$100,12,FALSE),0)</f>
        <v>0</v>
      </c>
      <c r="DY76" s="997">
        <f>IFERROR(VLOOKUP($B76,KisuiBKerenPensiaDBWithParams!$D$6:$AP$100,13,FALSE),0)</f>
        <v>0</v>
      </c>
      <c r="DZ76" s="997">
        <f>IFERROR(VLOOKUP($B76,KisuiBKerenPensiaDBWithParams!$D$6:$AP$100,7,FALSE),0)</f>
        <v>0</v>
      </c>
      <c r="EA76" s="997">
        <f>IFERROR(VLOOKUP($B76,KisuiBKerenPensiaDBWithParams!$D$6:$AP$100,17,FALSE),0)</f>
        <v>0</v>
      </c>
      <c r="EB76" s="997">
        <f>IFERROR(VLOOKUP($B76,KisuiBKerenPensiaDBWithParams!$D$6:$AP$100,20,FALSE),0)</f>
        <v>0</v>
      </c>
      <c r="EC76" s="997">
        <f>IFERROR(VLOOKUP($B76,KisuiBKerenPensiaDBWithParams!$D$6:$AP$100,21,FALSE),0)</f>
        <v>0</v>
      </c>
      <c r="ED76" s="997">
        <f t="shared" si="111"/>
        <v>0</v>
      </c>
      <c r="EE76" s="997"/>
      <c r="EF76" s="1020">
        <f>IFERROR(VLOOKUP($B76,KisuiBKerenPensiaDBWithParams!$D$6:$AP$100,21,FALSE),0)</f>
        <v>0</v>
      </c>
      <c r="EG76" s="1020">
        <f>IFERROR(VLOOKUP($B76,KisuiBKerenPensiaDBWithParams!$D$6:$AP$100,21,FALSE),0)</f>
        <v>0</v>
      </c>
      <c r="EH76">
        <f>IF(OR(G76=MyData!$J$51,G76=MyData!$J$52,G76=MyData!$J$53),1,IF(G76=MyData!$J$50,2,0))</f>
        <v>0</v>
      </c>
      <c r="EI76">
        <f>IFERROR(VLOOKUP($B76,CrosstabPerutYitrotDB!$C$6:$N$50,3,FALSE),0)</f>
        <v>0</v>
      </c>
      <c r="EJ76">
        <f>IFERROR(VLOOKUP($B76,CrosstabPerutYitrotDB!$C$6:$N$50,4,FALSE),0)</f>
        <v>0</v>
      </c>
      <c r="EK76">
        <f>IFERROR(VLOOKUP($B76,CrosstabPerutYitrotDB!$C$6:$N$50,5,FALSE),0)</f>
        <v>0</v>
      </c>
      <c r="EL76">
        <f>IFERROR(VLOOKUP($B76,CrosstabPerutYitrotDB!$C$6:$N$50,6,FALSE),0)</f>
        <v>0</v>
      </c>
      <c r="EM76">
        <f>IFERROR(VLOOKUP($B76,CrosstabPerutYitrotDB!$C$6:$N$50,7,FALSE),0)</f>
        <v>0</v>
      </c>
      <c r="EN76">
        <f>IFERROR(VLOOKUP($B76,CrosstabPerutYitrotDB!$C$6:$N$50,8,FALSE),0)</f>
        <v>0</v>
      </c>
      <c r="EO76">
        <f>IFERROR(VLOOKUP($B76,CrosstabPerutYitrotDB!$C$6:$N$50,9,FALSE),0)</f>
        <v>0</v>
      </c>
      <c r="EP76">
        <f>IFERROR(VLOOKUP($B76,CrosstabPerutYitrotDB!$C$6:$N$50,10,FALSE),0)</f>
        <v>0</v>
      </c>
      <c r="EQ76">
        <f>IFERROR(VLOOKUP($B76,CrosstabPerutYitrotDB!$C$6:$N$50,11,FALSE),0)</f>
        <v>0</v>
      </c>
    </row>
    <row r="77" spans="1:147" x14ac:dyDescent="0.2">
      <c r="A77">
        <f t="shared" si="112"/>
        <v>0</v>
      </c>
      <c r="B77" s="20">
        <f>RicusPolice!E74</f>
        <v>0</v>
      </c>
      <c r="C77" s="20">
        <f>RicusPolice!AL74</f>
        <v>0</v>
      </c>
      <c r="D77" s="20">
        <f>RicusPolice!F74</f>
        <v>0</v>
      </c>
      <c r="E77" s="20">
        <f>RicusPolice!R74</f>
        <v>0</v>
      </c>
      <c r="F77" s="20">
        <f>RicusPolice!N74</f>
        <v>0</v>
      </c>
      <c r="G77" s="20">
        <f>IFERROR(VLOOKUP($B77,PerutYitrot!$D$6:$P$100,4,FALSE),0)</f>
        <v>0</v>
      </c>
      <c r="H77" s="20">
        <f t="shared" si="94"/>
        <v>0</v>
      </c>
      <c r="I77" s="20">
        <f>RicusPolice!L74</f>
        <v>0</v>
      </c>
      <c r="J77" s="179">
        <f>IFERROR(VLOOKUP(TRIM(K77),MyData!$J$44:$K$50,2,FALSE),0)</f>
        <v>0</v>
      </c>
      <c r="K77" s="20">
        <f>RicusPolice!M74</f>
        <v>0</v>
      </c>
      <c r="L77" s="20">
        <f>RicusPolice!AM74</f>
        <v>0</v>
      </c>
      <c r="M77" s="20" t="str">
        <f>IF(B77&gt;0,RicusPolice!Y74," ")</f>
        <v xml:space="preserve"> </v>
      </c>
      <c r="N77" s="20" t="str">
        <f t="shared" si="95"/>
        <v/>
      </c>
      <c r="O77" s="20">
        <f>RicusPolice!N74</f>
        <v>0</v>
      </c>
      <c r="P77" s="20">
        <f>IFERROR(VLOOKUP(B77,PerutMasluleiHashkaa!$D$6:$R$100,4,FALSE),0)</f>
        <v>0</v>
      </c>
      <c r="Q77" s="19"/>
      <c r="R77" s="1011" t="str">
        <f>IF(B77&gt;0,RicusPolice!P76," ")</f>
        <v xml:space="preserve"> </v>
      </c>
      <c r="S77" s="20">
        <f>IFERROR(VLOOKUP($B77,'נתונים ידניים'!$B$9:$G$51,6,FALSE),0)</f>
        <v>0</v>
      </c>
      <c r="T77" s="21">
        <f>'נתונים ידניים'!J78</f>
        <v>0</v>
      </c>
      <c r="U77" s="21">
        <f>'נתונים ידניים'!K78</f>
        <v>0</v>
      </c>
      <c r="V77" s="20">
        <f>IFERROR(VLOOKUP($B77,PerutHafrashotLePolisa!$D$6:$N$50,2,FALSE),0)</f>
        <v>0</v>
      </c>
      <c r="W77" s="20">
        <f>IFERROR(VLOOKUP($B77,PerutHafrashotLePolisa!$D$6:$N$50,4,FALSE),0)</f>
        <v>0</v>
      </c>
      <c r="X77" s="20">
        <f>IFERROR(VLOOKUP($B77,PerutHafrashotLePolisa!$D$6:$N$50,3,FALSE),0)</f>
        <v>0</v>
      </c>
      <c r="Y77">
        <f t="shared" si="96"/>
        <v>0</v>
      </c>
      <c r="Z77">
        <f>RicusPolice!AP74</f>
        <v>0</v>
      </c>
      <c r="AA77">
        <f>IFERROR(VLOOKUP(B77,PirteiHaasaka!$D$6:$R$100,5,FALSE),0)</f>
        <v>0</v>
      </c>
      <c r="AC77">
        <f>IFERROR(VLOOKUP(B77,HafkadotMetchilatShanaAverages!$D$6:$E$100,2,FALSE),0)</f>
        <v>0</v>
      </c>
      <c r="AF77">
        <f>'נתונים ידניים'!L78</f>
        <v>0</v>
      </c>
      <c r="AG77">
        <f>IFERROR(VLOOKUP(B77,CrossTabYitraLeTkufa_till_2000!$D$6:$AB$100,6,FALSE),0)+IFERROR(VLOOKUP(B77,CrossTabYitraLeTkufa_after_2000!$D$6:$AB$100,6,FALSE),0)</f>
        <v>0</v>
      </c>
      <c r="AH77">
        <f>IFERROR(VLOOKUP(B77,CrossTabYitraLeTkufa_till_2000!$D$6:$AB$100,16,FALSE),0)</f>
        <v>0</v>
      </c>
      <c r="AI77">
        <f>IFERROR(VLOOKUP(B77,CrossTabYitraLeTkufa_after_2000!$D$6:$AB$100,16,FALSE),0)</f>
        <v>0</v>
      </c>
      <c r="AJ77">
        <f>IFERROR(VLOOKUP(B77,CrossTabYitraLeTkufa_till_2000!$D$6:$AB$100,17,FALSE),0)</f>
        <v>0</v>
      </c>
      <c r="AK77">
        <f>IFERROR(VLOOKUP(B77,CrossTabYitraLeTkufa_after_2000!$D$6:$AB$100,17,FALSE),0)</f>
        <v>0</v>
      </c>
      <c r="AL77" s="5">
        <f t="shared" si="97"/>
        <v>0</v>
      </c>
      <c r="AO77">
        <f>IFERROR(VLOOKUP(B77,PirteiKisuiBeMutzar_procerur!$C$6:$AA$100,2,FALSE),0)</f>
        <v>0</v>
      </c>
      <c r="AQ77">
        <f>IFERROR(VLOOKUP($B77,PirteiKisuiBeMutzar_procerur!$C$6:$AA$100,5,FALSE),0)</f>
        <v>0</v>
      </c>
      <c r="AR77">
        <f>IFERROR(VLOOKUP($B77,PirteiKisuiBeMutzar_procerur!$C$6:$AA$100,3,FALSE),0)</f>
        <v>0</v>
      </c>
      <c r="AS77">
        <f>IFERROR(VLOOKUP($B77,PirteiKisuiBeMutzar_procerur!$C$6:$AA$100,6,FALSE),0)</f>
        <v>0</v>
      </c>
      <c r="AT77">
        <f>IFERROR(VLOOKUP($B77,PirteiKisuiBeMutzar_procerur!$C$6:$AA$100,7,FALSE),0)</f>
        <v>0</v>
      </c>
      <c r="AX77" s="997">
        <f t="shared" si="98"/>
        <v>0</v>
      </c>
      <c r="AY77" s="997">
        <f t="shared" si="99"/>
        <v>0</v>
      </c>
      <c r="AZ77" s="997">
        <f t="shared" si="100"/>
        <v>0</v>
      </c>
      <c r="BA77" s="997">
        <f>IFERROR(FV(S77/100/12,'נתוני יסוד'!$B$16*12,AX77,AG77)*(-1),0)</f>
        <v>0</v>
      </c>
      <c r="BB77" s="997">
        <f>IFERROR(FV(S77/100/12,'נתוני יסוד'!$B$16*12,0,AH77)*(-1),0)</f>
        <v>0</v>
      </c>
      <c r="BC77" s="997">
        <f>IFERROR(FV(S77/100/12,'נתוני יסוד'!$B$16*12,AY77,AI77)*(-1),0)</f>
        <v>0</v>
      </c>
      <c r="BD77" s="997">
        <f>IFERROR(FV(S77/100/12,'נתוני יסוד'!$B$16*12,0,AJ77)*(-1),0)</f>
        <v>0</v>
      </c>
      <c r="BE77" s="997">
        <f>IFERROR(FV(S77/100/12,'נתוני יסוד'!$B$16*12,AZ77,AK77)*(-1),0)</f>
        <v>0</v>
      </c>
      <c r="BF77" s="997">
        <f t="shared" si="101"/>
        <v>0</v>
      </c>
      <c r="BG77" s="997">
        <f>IFERROR(FV(S77/100/12,'נתוני יסוד'!$B$16*12,AF77,AL77)*(-1),0)</f>
        <v>0</v>
      </c>
      <c r="BH77" s="997">
        <f t="shared" si="102"/>
        <v>0</v>
      </c>
      <c r="BI77" s="997">
        <f t="shared" si="103"/>
        <v>0</v>
      </c>
      <c r="BJ77" s="997">
        <f t="shared" si="104"/>
        <v>0</v>
      </c>
      <c r="BK77" s="997">
        <f t="shared" si="105"/>
        <v>0</v>
      </c>
      <c r="BL77" s="997">
        <f t="shared" si="68"/>
        <v>0</v>
      </c>
      <c r="BM77" s="997">
        <f t="shared" si="69"/>
        <v>0</v>
      </c>
      <c r="BN77" s="997">
        <f t="shared" si="70"/>
        <v>0</v>
      </c>
      <c r="BO77" s="997">
        <f t="shared" si="106"/>
        <v>0</v>
      </c>
      <c r="BP77" s="997">
        <f t="shared" si="71"/>
        <v>0</v>
      </c>
      <c r="BS77">
        <f t="shared" si="72"/>
        <v>0</v>
      </c>
      <c r="BT77">
        <f t="shared" si="73"/>
        <v>0</v>
      </c>
      <c r="BU77">
        <f t="shared" si="74"/>
        <v>0</v>
      </c>
      <c r="BV77">
        <f t="shared" si="107"/>
        <v>0</v>
      </c>
      <c r="BW77">
        <f t="shared" si="75"/>
        <v>0</v>
      </c>
      <c r="BY77" s="997">
        <f t="shared" si="76"/>
        <v>0</v>
      </c>
      <c r="BZ77" s="997">
        <f t="shared" si="77"/>
        <v>0</v>
      </c>
      <c r="CA77" s="997">
        <f t="shared" si="78"/>
        <v>0</v>
      </c>
      <c r="CB77" s="997">
        <f t="shared" si="108"/>
        <v>0</v>
      </c>
      <c r="CC77" s="997">
        <f t="shared" si="79"/>
        <v>0</v>
      </c>
      <c r="CD77" s="997">
        <f t="shared" si="80"/>
        <v>0</v>
      </c>
      <c r="CE77" s="997">
        <f t="shared" si="81"/>
        <v>0</v>
      </c>
      <c r="CF77" s="997">
        <f t="shared" si="82"/>
        <v>0</v>
      </c>
      <c r="CG77" s="997">
        <f t="shared" si="83"/>
        <v>0</v>
      </c>
      <c r="CH77" s="997">
        <f t="shared" si="84"/>
        <v>0</v>
      </c>
      <c r="CI77" s="997">
        <f t="shared" si="85"/>
        <v>0</v>
      </c>
      <c r="CJ77" s="997">
        <f t="shared" si="86"/>
        <v>0</v>
      </c>
      <c r="CK77" s="997"/>
      <c r="CL77" s="997"/>
      <c r="CM77" s="997">
        <f t="shared" si="87"/>
        <v>0</v>
      </c>
      <c r="CN77" s="997">
        <f t="shared" si="88"/>
        <v>0</v>
      </c>
      <c r="CO77" s="997">
        <f t="shared" si="89"/>
        <v>0</v>
      </c>
      <c r="CP77" s="997">
        <f t="shared" si="109"/>
        <v>0</v>
      </c>
      <c r="CQ77" s="997">
        <f t="shared" si="90"/>
        <v>0</v>
      </c>
      <c r="CR77" s="997">
        <f>IFERROR(VLOOKUP($B77,SchumeiBituahYesodi!$C$6:$AA$100,8,FALSE),0)</f>
        <v>0</v>
      </c>
      <c r="CS77" s="997">
        <f>IFERROR(VLOOKUP($B77,PirteiKisuiBeMutzar_procerur!$C$6:$AA$100,2,FALSE),0)</f>
        <v>0</v>
      </c>
      <c r="CT77" s="997">
        <f>IFERROR(VLOOKUP($B77,PirteiKisuiBeMutzar_procerur!$C$6:$AA$100,3,FALSE),0)</f>
        <v>0</v>
      </c>
      <c r="CU77" s="997">
        <f>IFERROR(VLOOKUP($B77,PirteiKisuiBeMutzar_procerur!$C$6:$AA$100,4,FALSE),0)</f>
        <v>0</v>
      </c>
      <c r="CV77" s="997">
        <f>IFERROR(VLOOKUP($B77,PirteiKisuiBeMutzar_procerur!$C$6:$AA$100,5,FALSE),0)</f>
        <v>0</v>
      </c>
      <c r="CW77" s="997">
        <f>IFERROR(VLOOKUP($B77,PirteiKisuiBeMutzar_procerur!$C$6:$AA$100,6,FALSE),0)</f>
        <v>0</v>
      </c>
      <c r="CX77" s="997">
        <f>IFERROR(VLOOKUP($B77,PirteiKisuiBeMutzar_procerur!$C$6:$AA$100,7,FALSE),0)</f>
        <v>0</v>
      </c>
      <c r="CY77" s="997">
        <f>IFERROR(VLOOKUP($B77,PirteiKisuiBeMutzar_procerur!$C$6:$AA$100,8,FALSE),0)</f>
        <v>0</v>
      </c>
      <c r="CZ77" s="997">
        <f>IFERROR(VLOOKUP($B77,PirteiKisuiBeMutzar_procerur!$C$6:$AA$100,9,FALSE),0)</f>
        <v>0</v>
      </c>
      <c r="DA77" s="997">
        <f>IFERROR(VLOOKUP($B77,PirteiKisuiBeMutzar_procerur!$C$6:$AA$100,10,FALSE),0)</f>
        <v>0</v>
      </c>
      <c r="DB77" s="997">
        <f>IFERROR(VLOOKUP($B77,PirteiKisuiBeMutzar_procerur!$C$6:$AA$100,11,FALSE),0)</f>
        <v>0</v>
      </c>
      <c r="DC77" s="997">
        <f>IFERROR(VLOOKUP($B77,PirteiKisuiBeMutzarPrmia!$C$6:$Z$100,2,FALSE),0)</f>
        <v>0</v>
      </c>
      <c r="DD77" s="997">
        <f>IFERROR(VLOOKUP($B77,PirteiKisuiBeMutzarPrmia!$C$6:$Z$100,3,FALSE),0)</f>
        <v>0</v>
      </c>
      <c r="DE77" s="997">
        <f>IFERROR(VLOOKUP($B77,PirteiKisuiBeMutzarPrmia!$C$6:$Z$100,4,FALSE),0)</f>
        <v>0</v>
      </c>
      <c r="DF77" s="997">
        <f>IFERROR(VLOOKUP($B77,PirteiKisuiBeMutzarPrmia!$C$6:$Z$100,5,FALSE),0)</f>
        <v>0</v>
      </c>
      <c r="DG77" s="997">
        <f>IFERROR(VLOOKUP($B77,PirteiKisuiBeMutzarPrmia!$C$6:$Z$100,6,FALSE),0)</f>
        <v>0</v>
      </c>
      <c r="DH77" s="997">
        <f>IFERROR(VLOOKUP($B77,PirteiKisuiBeMutzarPrmia!$C$6:$Z$100,7,FALSE),0)</f>
        <v>0</v>
      </c>
      <c r="DI77" s="997">
        <f>IFERROR(VLOOKUP($B77,PirteiKisuiBeMutzarPrmia!$C$6:$Z$100,8,FALSE),0)</f>
        <v>0</v>
      </c>
      <c r="DJ77" s="997">
        <f>IFERROR(VLOOKUP($B77,PirteiKisuiBeMutzarPrmia!$C$6:$Z$100,9,FALSE),0)</f>
        <v>0</v>
      </c>
      <c r="DK77" s="997">
        <f>IFERROR(VLOOKUP($B77,PirteiKisuiBeMutzarPrmia!$C$6:$Z$100,10,FALSE),0)</f>
        <v>0</v>
      </c>
      <c r="DL77" s="997">
        <f>IFERROR(VLOOKUP($B77,PirteiKisuiBeMutzarPrmia!$C$6:$Z$100,11,FALSE),0)</f>
        <v>0</v>
      </c>
      <c r="DM77" s="997">
        <f t="shared" si="110"/>
        <v>0</v>
      </c>
      <c r="DN77" s="997">
        <f t="shared" si="91"/>
        <v>0</v>
      </c>
      <c r="DO77" s="997">
        <f t="shared" si="92"/>
        <v>0</v>
      </c>
      <c r="DP77" s="997">
        <f t="shared" si="67"/>
        <v>0</v>
      </c>
      <c r="DQ77" s="997">
        <f t="shared" si="93"/>
        <v>0</v>
      </c>
      <c r="DR77" s="997">
        <f>IF(OR(L77=1,L77=3),IFERROR(VLOOKUP($B77,PerutHafkadotMetchilatShanaAvgM!$C$6:$G$100,3,FALSE),0),0)</f>
        <v>0</v>
      </c>
      <c r="DS77" s="997">
        <f>IF(OR(L77=2,L77=4),IFERROR(VLOOKUP($B77,PerutHafkadotMetchilatShanaAvgM!$C$6:$G$100,3,FALSE),0),0)</f>
        <v>0</v>
      </c>
      <c r="DT77" s="997">
        <f>IFERROR(VLOOKUP($B77,PerutHafkadotMetchilatShanaAvgM!$C$6:$G$100,4,FALSE),0)</f>
        <v>0</v>
      </c>
      <c r="DU77" s="997">
        <f>IFERROR(VLOOKUP($B77,Kupa!$D$6:$AA$100,5,FALSE),0)</f>
        <v>0</v>
      </c>
      <c r="DV77" s="997">
        <f>IFERROR(VLOOKUP($B77,Kupa!$D$6:$AA$100,6,FALSE),0)</f>
        <v>0</v>
      </c>
      <c r="DW77" s="997">
        <f>IFERROR(VLOOKUP($B77,KisuiBKerenPensiaDBWithParams!$D$6:$AP$100,9,FALSE),0)</f>
        <v>0</v>
      </c>
      <c r="DX77" s="997">
        <f>IFERROR(VLOOKUP($B77,KisuiBKerenPensiaDBWithParams!$D$6:$AP$100,12,FALSE),0)</f>
        <v>0</v>
      </c>
      <c r="DY77" s="997">
        <f>IFERROR(VLOOKUP($B77,KisuiBKerenPensiaDBWithParams!$D$6:$AP$100,13,FALSE),0)</f>
        <v>0</v>
      </c>
      <c r="DZ77" s="997">
        <f>IFERROR(VLOOKUP($B77,KisuiBKerenPensiaDBWithParams!$D$6:$AP$100,7,FALSE),0)</f>
        <v>0</v>
      </c>
      <c r="EA77" s="997">
        <f>IFERROR(VLOOKUP($B77,KisuiBKerenPensiaDBWithParams!$D$6:$AP$100,17,FALSE),0)</f>
        <v>0</v>
      </c>
      <c r="EB77" s="997">
        <f>IFERROR(VLOOKUP($B77,KisuiBKerenPensiaDBWithParams!$D$6:$AP$100,20,FALSE),0)</f>
        <v>0</v>
      </c>
      <c r="EC77" s="997">
        <f>IFERROR(VLOOKUP($B77,KisuiBKerenPensiaDBWithParams!$D$6:$AP$100,21,FALSE),0)</f>
        <v>0</v>
      </c>
      <c r="ED77" s="997">
        <f t="shared" si="111"/>
        <v>0</v>
      </c>
      <c r="EE77" s="997"/>
      <c r="EF77" s="1020">
        <f>IFERROR(VLOOKUP($B77,KisuiBKerenPensiaDBWithParams!$D$6:$AP$100,21,FALSE),0)</f>
        <v>0</v>
      </c>
      <c r="EG77" s="1020">
        <f>IFERROR(VLOOKUP($B77,KisuiBKerenPensiaDBWithParams!$D$6:$AP$100,21,FALSE),0)</f>
        <v>0</v>
      </c>
      <c r="EH77">
        <f>IF(OR(G77=MyData!$J$51,G77=MyData!$J$52,G77=MyData!$J$53),1,IF(G77=MyData!$J$50,2,0))</f>
        <v>0</v>
      </c>
      <c r="EI77">
        <f>IFERROR(VLOOKUP($B77,CrosstabPerutYitrotDB!$C$6:$N$50,3,FALSE),0)</f>
        <v>0</v>
      </c>
      <c r="EJ77">
        <f>IFERROR(VLOOKUP($B77,CrosstabPerutYitrotDB!$C$6:$N$50,4,FALSE),0)</f>
        <v>0</v>
      </c>
      <c r="EK77">
        <f>IFERROR(VLOOKUP($B77,CrosstabPerutYitrotDB!$C$6:$N$50,5,FALSE),0)</f>
        <v>0</v>
      </c>
      <c r="EL77">
        <f>IFERROR(VLOOKUP($B77,CrosstabPerutYitrotDB!$C$6:$N$50,6,FALSE),0)</f>
        <v>0</v>
      </c>
      <c r="EM77">
        <f>IFERROR(VLOOKUP($B77,CrosstabPerutYitrotDB!$C$6:$N$50,7,FALSE),0)</f>
        <v>0</v>
      </c>
      <c r="EN77">
        <f>IFERROR(VLOOKUP($B77,CrosstabPerutYitrotDB!$C$6:$N$50,8,FALSE),0)</f>
        <v>0</v>
      </c>
      <c r="EO77">
        <f>IFERROR(VLOOKUP($B77,CrosstabPerutYitrotDB!$C$6:$N$50,9,FALSE),0)</f>
        <v>0</v>
      </c>
      <c r="EP77">
        <f>IFERROR(VLOOKUP($B77,CrosstabPerutYitrotDB!$C$6:$N$50,10,FALSE),0)</f>
        <v>0</v>
      </c>
      <c r="EQ77">
        <f>IFERROR(VLOOKUP($B77,CrosstabPerutYitrotDB!$C$6:$N$50,11,FALSE),0)</f>
        <v>0</v>
      </c>
    </row>
    <row r="78" spans="1:147" x14ac:dyDescent="0.2">
      <c r="A78">
        <f t="shared" si="112"/>
        <v>0</v>
      </c>
      <c r="B78" s="20">
        <f>RicusPolice!E75</f>
        <v>0</v>
      </c>
      <c r="C78" s="20">
        <f>RicusPolice!AL75</f>
        <v>0</v>
      </c>
      <c r="D78" s="20">
        <f>RicusPolice!F75</f>
        <v>0</v>
      </c>
      <c r="E78" s="20">
        <f>RicusPolice!R75</f>
        <v>0</v>
      </c>
      <c r="F78" s="20">
        <f>RicusPolice!N75</f>
        <v>0</v>
      </c>
      <c r="G78" s="20">
        <f>IFERROR(VLOOKUP($B78,PerutYitrot!$D$6:$P$100,4,FALSE),0)</f>
        <v>0</v>
      </c>
      <c r="H78" s="20">
        <f t="shared" si="94"/>
        <v>0</v>
      </c>
      <c r="I78" s="20">
        <f>RicusPolice!L75</f>
        <v>0</v>
      </c>
      <c r="J78" s="179">
        <f>IFERROR(VLOOKUP(TRIM(K78),MyData!$J$44:$K$50,2,FALSE),0)</f>
        <v>0</v>
      </c>
      <c r="K78" s="20">
        <f>RicusPolice!M75</f>
        <v>0</v>
      </c>
      <c r="L78" s="20">
        <f>RicusPolice!AM75</f>
        <v>0</v>
      </c>
      <c r="M78" s="20" t="str">
        <f>IF(B78&gt;0,RicusPolice!Y75," ")</f>
        <v xml:space="preserve"> </v>
      </c>
      <c r="N78" s="20" t="str">
        <f t="shared" si="95"/>
        <v/>
      </c>
      <c r="O78" s="20">
        <f>RicusPolice!N75</f>
        <v>0</v>
      </c>
      <c r="P78" s="20">
        <f>IFERROR(VLOOKUP(B78,PerutMasluleiHashkaa!$D$6:$R$100,4,FALSE),0)</f>
        <v>0</v>
      </c>
      <c r="Q78" s="19"/>
      <c r="R78" s="1011" t="str">
        <f>IF(B78&gt;0,RicusPolice!P77," ")</f>
        <v xml:space="preserve"> </v>
      </c>
      <c r="S78" s="20">
        <f>IFERROR(VLOOKUP($B78,'נתונים ידניים'!$B$9:$G$51,6,FALSE),0)</f>
        <v>0</v>
      </c>
      <c r="T78" s="21">
        <f>'נתונים ידניים'!J79</f>
        <v>0</v>
      </c>
      <c r="U78" s="21">
        <f>'נתונים ידניים'!K79</f>
        <v>0</v>
      </c>
      <c r="V78" s="20">
        <f>IFERROR(VLOOKUP($B78,PerutHafrashotLePolisa!$D$6:$N$50,2,FALSE),0)</f>
        <v>0</v>
      </c>
      <c r="W78" s="20">
        <f>IFERROR(VLOOKUP($B78,PerutHafrashotLePolisa!$D$6:$N$50,4,FALSE),0)</f>
        <v>0</v>
      </c>
      <c r="X78" s="20">
        <f>IFERROR(VLOOKUP($B78,PerutHafrashotLePolisa!$D$6:$N$50,3,FALSE),0)</f>
        <v>0</v>
      </c>
      <c r="Y78">
        <f t="shared" si="96"/>
        <v>0</v>
      </c>
      <c r="Z78">
        <f>RicusPolice!AP75</f>
        <v>0</v>
      </c>
      <c r="AA78">
        <f>IFERROR(VLOOKUP(B78,PirteiHaasaka!$D$6:$R$100,5,FALSE),0)</f>
        <v>0</v>
      </c>
      <c r="AC78">
        <f>IFERROR(VLOOKUP(B78,HafkadotMetchilatShanaAverages!$D$6:$E$100,2,FALSE),0)</f>
        <v>0</v>
      </c>
      <c r="AF78">
        <f>'נתונים ידניים'!L79</f>
        <v>0</v>
      </c>
      <c r="AG78">
        <f>IFERROR(VLOOKUP(B78,CrossTabYitraLeTkufa_till_2000!$D$6:$AB$100,6,FALSE),0)+IFERROR(VLOOKUP(B78,CrossTabYitraLeTkufa_after_2000!$D$6:$AB$100,6,FALSE),0)</f>
        <v>0</v>
      </c>
      <c r="AH78">
        <f>IFERROR(VLOOKUP(B78,CrossTabYitraLeTkufa_till_2000!$D$6:$AB$100,16,FALSE),0)</f>
        <v>0</v>
      </c>
      <c r="AI78">
        <f>IFERROR(VLOOKUP(B78,CrossTabYitraLeTkufa_after_2000!$D$6:$AB$100,16,FALSE),0)</f>
        <v>0</v>
      </c>
      <c r="AJ78">
        <f>IFERROR(VLOOKUP(B78,CrossTabYitraLeTkufa_till_2000!$D$6:$AB$100,17,FALSE),0)</f>
        <v>0</v>
      </c>
      <c r="AK78">
        <f>IFERROR(VLOOKUP(B78,CrossTabYitraLeTkufa_after_2000!$D$6:$AB$100,17,FALSE),0)</f>
        <v>0</v>
      </c>
      <c r="AL78" s="5">
        <f t="shared" si="97"/>
        <v>0</v>
      </c>
      <c r="AO78">
        <f>IFERROR(VLOOKUP(B78,PirteiKisuiBeMutzar_procerur!$C$6:$AA$100,2,FALSE),0)</f>
        <v>0</v>
      </c>
      <c r="AQ78">
        <f>IFERROR(VLOOKUP($B78,PirteiKisuiBeMutzar_procerur!$C$6:$AA$100,5,FALSE),0)</f>
        <v>0</v>
      </c>
      <c r="AR78">
        <f>IFERROR(VLOOKUP($B78,PirteiKisuiBeMutzar_procerur!$C$6:$AA$100,3,FALSE),0)</f>
        <v>0</v>
      </c>
      <c r="AS78">
        <f>IFERROR(VLOOKUP($B78,PirteiKisuiBeMutzar_procerur!$C$6:$AA$100,6,FALSE),0)</f>
        <v>0</v>
      </c>
      <c r="AT78">
        <f>IFERROR(VLOOKUP($B78,PirteiKisuiBeMutzar_procerur!$C$6:$AA$100,7,FALSE),0)</f>
        <v>0</v>
      </c>
      <c r="AX78" s="997">
        <f t="shared" si="98"/>
        <v>0</v>
      </c>
      <c r="AY78" s="997">
        <f t="shared" si="99"/>
        <v>0</v>
      </c>
      <c r="AZ78" s="997">
        <f t="shared" si="100"/>
        <v>0</v>
      </c>
      <c r="BA78" s="997">
        <f>IFERROR(FV(S78/100/12,'נתוני יסוד'!$B$16*12,AX78,AG78)*(-1),0)</f>
        <v>0</v>
      </c>
      <c r="BB78" s="997">
        <f>IFERROR(FV(S78/100/12,'נתוני יסוד'!$B$16*12,0,AH78)*(-1),0)</f>
        <v>0</v>
      </c>
      <c r="BC78" s="997">
        <f>IFERROR(FV(S78/100/12,'נתוני יסוד'!$B$16*12,AY78,AI78)*(-1),0)</f>
        <v>0</v>
      </c>
      <c r="BD78" s="997">
        <f>IFERROR(FV(S78/100/12,'נתוני יסוד'!$B$16*12,0,AJ78)*(-1),0)</f>
        <v>0</v>
      </c>
      <c r="BE78" s="997">
        <f>IFERROR(FV(S78/100/12,'נתוני יסוד'!$B$16*12,AZ78,AK78)*(-1),0)</f>
        <v>0</v>
      </c>
      <c r="BF78" s="997">
        <f t="shared" si="101"/>
        <v>0</v>
      </c>
      <c r="BG78" s="997">
        <f>IFERROR(FV(S78/100/12,'נתוני יסוד'!$B$16*12,AF78,AL78)*(-1),0)</f>
        <v>0</v>
      </c>
      <c r="BH78" s="997">
        <f t="shared" si="102"/>
        <v>0</v>
      </c>
      <c r="BI78" s="997">
        <f t="shared" si="103"/>
        <v>0</v>
      </c>
      <c r="BJ78" s="997">
        <f t="shared" si="104"/>
        <v>0</v>
      </c>
      <c r="BK78" s="997">
        <f t="shared" si="105"/>
        <v>0</v>
      </c>
      <c r="BL78" s="997">
        <f t="shared" si="68"/>
        <v>0</v>
      </c>
      <c r="BM78" s="997">
        <f t="shared" si="69"/>
        <v>0</v>
      </c>
      <c r="BN78" s="997">
        <f t="shared" si="70"/>
        <v>0</v>
      </c>
      <c r="BO78" s="997">
        <f t="shared" si="106"/>
        <v>0</v>
      </c>
      <c r="BP78" s="997">
        <f t="shared" si="71"/>
        <v>0</v>
      </c>
      <c r="BS78">
        <f t="shared" si="72"/>
        <v>0</v>
      </c>
      <c r="BT78">
        <f t="shared" si="73"/>
        <v>0</v>
      </c>
      <c r="BU78">
        <f t="shared" si="74"/>
        <v>0</v>
      </c>
      <c r="BV78">
        <f t="shared" si="107"/>
        <v>0</v>
      </c>
      <c r="BW78">
        <f t="shared" si="75"/>
        <v>0</v>
      </c>
      <c r="BY78" s="997">
        <f t="shared" si="76"/>
        <v>0</v>
      </c>
      <c r="BZ78" s="997">
        <f t="shared" si="77"/>
        <v>0</v>
      </c>
      <c r="CA78" s="997">
        <f t="shared" si="78"/>
        <v>0</v>
      </c>
      <c r="CB78" s="997">
        <f t="shared" si="108"/>
        <v>0</v>
      </c>
      <c r="CC78" s="997">
        <f t="shared" si="79"/>
        <v>0</v>
      </c>
      <c r="CD78" s="997">
        <f t="shared" si="80"/>
        <v>0</v>
      </c>
      <c r="CE78" s="997">
        <f t="shared" si="81"/>
        <v>0</v>
      </c>
      <c r="CF78" s="997">
        <f t="shared" si="82"/>
        <v>0</v>
      </c>
      <c r="CG78" s="997">
        <f t="shared" si="83"/>
        <v>0</v>
      </c>
      <c r="CH78" s="997">
        <f t="shared" si="84"/>
        <v>0</v>
      </c>
      <c r="CI78" s="997">
        <f t="shared" si="85"/>
        <v>0</v>
      </c>
      <c r="CJ78" s="997">
        <f t="shared" si="86"/>
        <v>0</v>
      </c>
      <c r="CK78" s="997"/>
      <c r="CL78" s="997"/>
      <c r="CM78" s="997">
        <f t="shared" si="87"/>
        <v>0</v>
      </c>
      <c r="CN78" s="997">
        <f t="shared" si="88"/>
        <v>0</v>
      </c>
      <c r="CO78" s="997">
        <f t="shared" si="89"/>
        <v>0</v>
      </c>
      <c r="CP78" s="997">
        <f t="shared" si="109"/>
        <v>0</v>
      </c>
      <c r="CQ78" s="997">
        <f t="shared" si="90"/>
        <v>0</v>
      </c>
      <c r="CR78" s="997">
        <f>IFERROR(VLOOKUP($B78,SchumeiBituahYesodi!$C$6:$AA$100,8,FALSE),0)</f>
        <v>0</v>
      </c>
      <c r="CS78" s="997">
        <f>IFERROR(VLOOKUP($B78,PirteiKisuiBeMutzar_procerur!$C$6:$AA$100,2,FALSE),0)</f>
        <v>0</v>
      </c>
      <c r="CT78" s="997">
        <f>IFERROR(VLOOKUP($B78,PirteiKisuiBeMutzar_procerur!$C$6:$AA$100,3,FALSE),0)</f>
        <v>0</v>
      </c>
      <c r="CU78" s="997">
        <f>IFERROR(VLOOKUP($B78,PirteiKisuiBeMutzar_procerur!$C$6:$AA$100,4,FALSE),0)</f>
        <v>0</v>
      </c>
      <c r="CV78" s="997">
        <f>IFERROR(VLOOKUP($B78,PirteiKisuiBeMutzar_procerur!$C$6:$AA$100,5,FALSE),0)</f>
        <v>0</v>
      </c>
      <c r="CW78" s="997">
        <f>IFERROR(VLOOKUP($B78,PirteiKisuiBeMutzar_procerur!$C$6:$AA$100,6,FALSE),0)</f>
        <v>0</v>
      </c>
      <c r="CX78" s="997">
        <f>IFERROR(VLOOKUP($B78,PirteiKisuiBeMutzar_procerur!$C$6:$AA$100,7,FALSE),0)</f>
        <v>0</v>
      </c>
      <c r="CY78" s="997">
        <f>IFERROR(VLOOKUP($B78,PirteiKisuiBeMutzar_procerur!$C$6:$AA$100,8,FALSE),0)</f>
        <v>0</v>
      </c>
      <c r="CZ78" s="997">
        <f>IFERROR(VLOOKUP($B78,PirteiKisuiBeMutzar_procerur!$C$6:$AA$100,9,FALSE),0)</f>
        <v>0</v>
      </c>
      <c r="DA78" s="997">
        <f>IFERROR(VLOOKUP($B78,PirteiKisuiBeMutzar_procerur!$C$6:$AA$100,10,FALSE),0)</f>
        <v>0</v>
      </c>
      <c r="DB78" s="997">
        <f>IFERROR(VLOOKUP($B78,PirteiKisuiBeMutzar_procerur!$C$6:$AA$100,11,FALSE),0)</f>
        <v>0</v>
      </c>
      <c r="DC78" s="997">
        <f>IFERROR(VLOOKUP($B78,PirteiKisuiBeMutzarPrmia!$C$6:$Z$100,2,FALSE),0)</f>
        <v>0</v>
      </c>
      <c r="DD78" s="997">
        <f>IFERROR(VLOOKUP($B78,PirteiKisuiBeMutzarPrmia!$C$6:$Z$100,3,FALSE),0)</f>
        <v>0</v>
      </c>
      <c r="DE78" s="997">
        <f>IFERROR(VLOOKUP($B78,PirteiKisuiBeMutzarPrmia!$C$6:$Z$100,4,FALSE),0)</f>
        <v>0</v>
      </c>
      <c r="DF78" s="997">
        <f>IFERROR(VLOOKUP($B78,PirteiKisuiBeMutzarPrmia!$C$6:$Z$100,5,FALSE),0)</f>
        <v>0</v>
      </c>
      <c r="DG78" s="997">
        <f>IFERROR(VLOOKUP($B78,PirteiKisuiBeMutzarPrmia!$C$6:$Z$100,6,FALSE),0)</f>
        <v>0</v>
      </c>
      <c r="DH78" s="997">
        <f>IFERROR(VLOOKUP($B78,PirteiKisuiBeMutzarPrmia!$C$6:$Z$100,7,FALSE),0)</f>
        <v>0</v>
      </c>
      <c r="DI78" s="997">
        <f>IFERROR(VLOOKUP($B78,PirteiKisuiBeMutzarPrmia!$C$6:$Z$100,8,FALSE),0)</f>
        <v>0</v>
      </c>
      <c r="DJ78" s="997">
        <f>IFERROR(VLOOKUP($B78,PirteiKisuiBeMutzarPrmia!$C$6:$Z$100,9,FALSE),0)</f>
        <v>0</v>
      </c>
      <c r="DK78" s="997">
        <f>IFERROR(VLOOKUP($B78,PirteiKisuiBeMutzarPrmia!$C$6:$Z$100,10,FALSE),0)</f>
        <v>0</v>
      </c>
      <c r="DL78" s="997">
        <f>IFERROR(VLOOKUP($B78,PirteiKisuiBeMutzarPrmia!$C$6:$Z$100,11,FALSE),0)</f>
        <v>0</v>
      </c>
      <c r="DM78" s="997">
        <f t="shared" si="110"/>
        <v>0</v>
      </c>
      <c r="DN78" s="997">
        <f t="shared" si="91"/>
        <v>0</v>
      </c>
      <c r="DO78" s="997">
        <f t="shared" si="92"/>
        <v>0</v>
      </c>
      <c r="DP78" s="997">
        <f t="shared" si="67"/>
        <v>0</v>
      </c>
      <c r="DQ78" s="997">
        <f t="shared" si="93"/>
        <v>0</v>
      </c>
      <c r="DR78" s="997">
        <f>IF(OR(L78=1,L78=3),IFERROR(VLOOKUP($B78,PerutHafkadotMetchilatShanaAvgM!$C$6:$G$100,3,FALSE),0),0)</f>
        <v>0</v>
      </c>
      <c r="DS78" s="997">
        <f>IF(OR(L78=2,L78=4),IFERROR(VLOOKUP($B78,PerutHafkadotMetchilatShanaAvgM!$C$6:$G$100,3,FALSE),0),0)</f>
        <v>0</v>
      </c>
      <c r="DT78" s="997">
        <f>IFERROR(VLOOKUP($B78,PerutHafkadotMetchilatShanaAvgM!$C$6:$G$100,4,FALSE),0)</f>
        <v>0</v>
      </c>
      <c r="DU78" s="997">
        <f>IFERROR(VLOOKUP($B78,Kupa!$D$6:$AA$100,5,FALSE),0)</f>
        <v>0</v>
      </c>
      <c r="DV78" s="997">
        <f>IFERROR(VLOOKUP($B78,Kupa!$D$6:$AA$100,6,FALSE),0)</f>
        <v>0</v>
      </c>
      <c r="DW78" s="997">
        <f>IFERROR(VLOOKUP($B78,KisuiBKerenPensiaDBWithParams!$D$6:$AP$100,9,FALSE),0)</f>
        <v>0</v>
      </c>
      <c r="DX78" s="997">
        <f>IFERROR(VLOOKUP($B78,KisuiBKerenPensiaDBWithParams!$D$6:$AP$100,12,FALSE),0)</f>
        <v>0</v>
      </c>
      <c r="DY78" s="997">
        <f>IFERROR(VLOOKUP($B78,KisuiBKerenPensiaDBWithParams!$D$6:$AP$100,13,FALSE),0)</f>
        <v>0</v>
      </c>
      <c r="DZ78" s="997">
        <f>IFERROR(VLOOKUP($B78,KisuiBKerenPensiaDBWithParams!$D$6:$AP$100,7,FALSE),0)</f>
        <v>0</v>
      </c>
      <c r="EA78" s="997">
        <f>IFERROR(VLOOKUP($B78,KisuiBKerenPensiaDBWithParams!$D$6:$AP$100,17,FALSE),0)</f>
        <v>0</v>
      </c>
      <c r="EB78" s="997">
        <f>IFERROR(VLOOKUP($B78,KisuiBKerenPensiaDBWithParams!$D$6:$AP$100,20,FALSE),0)</f>
        <v>0</v>
      </c>
      <c r="EC78" s="997">
        <f>IFERROR(VLOOKUP($B78,KisuiBKerenPensiaDBWithParams!$D$6:$AP$100,21,FALSE),0)</f>
        <v>0</v>
      </c>
      <c r="ED78" s="997">
        <f t="shared" si="111"/>
        <v>0</v>
      </c>
      <c r="EE78" s="997"/>
      <c r="EF78" s="1020">
        <f>IFERROR(VLOOKUP($B78,KisuiBKerenPensiaDBWithParams!$D$6:$AP$100,21,FALSE),0)</f>
        <v>0</v>
      </c>
      <c r="EG78" s="1020">
        <f>IFERROR(VLOOKUP($B78,KisuiBKerenPensiaDBWithParams!$D$6:$AP$100,21,FALSE),0)</f>
        <v>0</v>
      </c>
      <c r="EH78">
        <f>IF(OR(G78=MyData!$J$51,G78=MyData!$J$52,G78=MyData!$J$53),1,IF(G78=MyData!$J$50,2,0))</f>
        <v>0</v>
      </c>
      <c r="EI78">
        <f>IFERROR(VLOOKUP($B78,CrosstabPerutYitrotDB!$C$6:$N$50,3,FALSE),0)</f>
        <v>0</v>
      </c>
      <c r="EJ78">
        <f>IFERROR(VLOOKUP($B78,CrosstabPerutYitrotDB!$C$6:$N$50,4,FALSE),0)</f>
        <v>0</v>
      </c>
      <c r="EK78">
        <f>IFERROR(VLOOKUP($B78,CrosstabPerutYitrotDB!$C$6:$N$50,5,FALSE),0)</f>
        <v>0</v>
      </c>
      <c r="EL78">
        <f>IFERROR(VLOOKUP($B78,CrosstabPerutYitrotDB!$C$6:$N$50,6,FALSE),0)</f>
        <v>0</v>
      </c>
      <c r="EM78">
        <f>IFERROR(VLOOKUP($B78,CrosstabPerutYitrotDB!$C$6:$N$50,7,FALSE),0)</f>
        <v>0</v>
      </c>
      <c r="EN78">
        <f>IFERROR(VLOOKUP($B78,CrosstabPerutYitrotDB!$C$6:$N$50,8,FALSE),0)</f>
        <v>0</v>
      </c>
      <c r="EO78">
        <f>IFERROR(VLOOKUP($B78,CrosstabPerutYitrotDB!$C$6:$N$50,9,FALSE),0)</f>
        <v>0</v>
      </c>
      <c r="EP78">
        <f>IFERROR(VLOOKUP($B78,CrosstabPerutYitrotDB!$C$6:$N$50,10,FALSE),0)</f>
        <v>0</v>
      </c>
      <c r="EQ78">
        <f>IFERROR(VLOOKUP($B78,CrosstabPerutYitrotDB!$C$6:$N$50,11,FALSE),0)</f>
        <v>0</v>
      </c>
    </row>
    <row r="79" spans="1:147" x14ac:dyDescent="0.2">
      <c r="A79">
        <f t="shared" si="112"/>
        <v>0</v>
      </c>
      <c r="B79" s="20">
        <f>RicusPolice!E76</f>
        <v>0</v>
      </c>
      <c r="C79" s="20">
        <f>RicusPolice!AL76</f>
        <v>0</v>
      </c>
      <c r="D79" s="20">
        <f>RicusPolice!F76</f>
        <v>0</v>
      </c>
      <c r="E79" s="20">
        <f>RicusPolice!R76</f>
        <v>0</v>
      </c>
      <c r="F79" s="20">
        <f>RicusPolice!N76</f>
        <v>0</v>
      </c>
      <c r="G79" s="20">
        <f>IFERROR(VLOOKUP($B79,PerutYitrot!$D$6:$P$100,4,FALSE),0)</f>
        <v>0</v>
      </c>
      <c r="H79" s="20">
        <f t="shared" si="94"/>
        <v>0</v>
      </c>
      <c r="I79" s="20">
        <f>RicusPolice!L76</f>
        <v>0</v>
      </c>
      <c r="J79" s="179">
        <f>IFERROR(VLOOKUP(TRIM(K79),MyData!$J$44:$K$50,2,FALSE),0)</f>
        <v>0</v>
      </c>
      <c r="K79" s="20">
        <f>RicusPolice!M76</f>
        <v>0</v>
      </c>
      <c r="L79" s="20">
        <f>RicusPolice!AM76</f>
        <v>0</v>
      </c>
      <c r="M79" s="20" t="str">
        <f>IF(B79&gt;0,RicusPolice!Y76," ")</f>
        <v xml:space="preserve"> </v>
      </c>
      <c r="N79" s="20" t="str">
        <f t="shared" si="95"/>
        <v/>
      </c>
      <c r="O79" s="20">
        <f>RicusPolice!N76</f>
        <v>0</v>
      </c>
      <c r="P79" s="20">
        <f>IFERROR(VLOOKUP(B79,PerutMasluleiHashkaa!$D$6:$R$100,4,FALSE),0)</f>
        <v>0</v>
      </c>
      <c r="Q79" s="19"/>
      <c r="R79" s="1011" t="str">
        <f>IF(B79&gt;0,RicusPolice!P78," ")</f>
        <v xml:space="preserve"> </v>
      </c>
      <c r="S79" s="20">
        <f>IFERROR(VLOOKUP($B79,'נתונים ידניים'!$B$9:$G$51,6,FALSE),0)</f>
        <v>0</v>
      </c>
      <c r="T79" s="21">
        <f>'נתונים ידניים'!J80</f>
        <v>0</v>
      </c>
      <c r="U79" s="21">
        <f>'נתונים ידניים'!K80</f>
        <v>0</v>
      </c>
      <c r="V79" s="20">
        <f>IFERROR(VLOOKUP($B79,PerutHafrashotLePolisa!$D$6:$N$50,2,FALSE),0)</f>
        <v>0</v>
      </c>
      <c r="W79" s="20">
        <f>IFERROR(VLOOKUP($B79,PerutHafrashotLePolisa!$D$6:$N$50,4,FALSE),0)</f>
        <v>0</v>
      </c>
      <c r="X79" s="20">
        <f>IFERROR(VLOOKUP($B79,PerutHafrashotLePolisa!$D$6:$N$50,3,FALSE),0)</f>
        <v>0</v>
      </c>
      <c r="Y79">
        <f t="shared" si="96"/>
        <v>0</v>
      </c>
      <c r="Z79">
        <f>RicusPolice!AP76</f>
        <v>0</v>
      </c>
      <c r="AA79">
        <f>IFERROR(VLOOKUP(B79,PirteiHaasaka!$D$6:$R$100,5,FALSE),0)</f>
        <v>0</v>
      </c>
      <c r="AC79">
        <f>IFERROR(VLOOKUP(B79,HafkadotMetchilatShanaAverages!$D$6:$E$100,2,FALSE),0)</f>
        <v>0</v>
      </c>
      <c r="AF79">
        <f>'נתונים ידניים'!L80</f>
        <v>0</v>
      </c>
      <c r="AG79">
        <f>IFERROR(VLOOKUP(B79,CrossTabYitraLeTkufa_till_2000!$D$6:$AB$100,6,FALSE),0)+IFERROR(VLOOKUP(B79,CrossTabYitraLeTkufa_after_2000!$D$6:$AB$100,6,FALSE),0)</f>
        <v>0</v>
      </c>
      <c r="AH79">
        <f>IFERROR(VLOOKUP(B79,CrossTabYitraLeTkufa_till_2000!$D$6:$AB$100,16,FALSE),0)</f>
        <v>0</v>
      </c>
      <c r="AI79">
        <f>IFERROR(VLOOKUP(B79,CrossTabYitraLeTkufa_after_2000!$D$6:$AB$100,16,FALSE),0)</f>
        <v>0</v>
      </c>
      <c r="AJ79">
        <f>IFERROR(VLOOKUP(B79,CrossTabYitraLeTkufa_till_2000!$D$6:$AB$100,17,FALSE),0)</f>
        <v>0</v>
      </c>
      <c r="AK79">
        <f>IFERROR(VLOOKUP(B79,CrossTabYitraLeTkufa_after_2000!$D$6:$AB$100,17,FALSE),0)</f>
        <v>0</v>
      </c>
      <c r="AL79" s="5">
        <f t="shared" si="97"/>
        <v>0</v>
      </c>
      <c r="AO79">
        <f>IFERROR(VLOOKUP(B79,PirteiKisuiBeMutzar_procerur!$C$6:$AA$100,2,FALSE),0)</f>
        <v>0</v>
      </c>
      <c r="AQ79">
        <f>IFERROR(VLOOKUP($B79,PirteiKisuiBeMutzar_procerur!$C$6:$AA$100,5,FALSE),0)</f>
        <v>0</v>
      </c>
      <c r="AR79">
        <f>IFERROR(VLOOKUP($B79,PirteiKisuiBeMutzar_procerur!$C$6:$AA$100,3,FALSE),0)</f>
        <v>0</v>
      </c>
      <c r="AS79">
        <f>IFERROR(VLOOKUP($B79,PirteiKisuiBeMutzar_procerur!$C$6:$AA$100,6,FALSE),0)</f>
        <v>0</v>
      </c>
      <c r="AT79">
        <f>IFERROR(VLOOKUP($B79,PirteiKisuiBeMutzar_procerur!$C$6:$AA$100,7,FALSE),0)</f>
        <v>0</v>
      </c>
      <c r="AX79" s="997">
        <f t="shared" si="98"/>
        <v>0</v>
      </c>
      <c r="AY79" s="997">
        <f t="shared" si="99"/>
        <v>0</v>
      </c>
      <c r="AZ79" s="997">
        <f t="shared" si="100"/>
        <v>0</v>
      </c>
      <c r="BA79" s="997">
        <f>IFERROR(FV(S79/100/12,'נתוני יסוד'!$B$16*12,AX79,AG79)*(-1),0)</f>
        <v>0</v>
      </c>
      <c r="BB79" s="997">
        <f>IFERROR(FV(S79/100/12,'נתוני יסוד'!$B$16*12,0,AH79)*(-1),0)</f>
        <v>0</v>
      </c>
      <c r="BC79" s="997">
        <f>IFERROR(FV(S79/100/12,'נתוני יסוד'!$B$16*12,AY79,AI79)*(-1),0)</f>
        <v>0</v>
      </c>
      <c r="BD79" s="997">
        <f>IFERROR(FV(S79/100/12,'נתוני יסוד'!$B$16*12,0,AJ79)*(-1),0)</f>
        <v>0</v>
      </c>
      <c r="BE79" s="997">
        <f>IFERROR(FV(S79/100/12,'נתוני יסוד'!$B$16*12,AZ79,AK79)*(-1),0)</f>
        <v>0</v>
      </c>
      <c r="BF79" s="997">
        <f t="shared" si="101"/>
        <v>0</v>
      </c>
      <c r="BG79" s="997">
        <f>IFERROR(FV(S79/100/12,'נתוני יסוד'!$B$16*12,AF79,AL79)*(-1),0)</f>
        <v>0</v>
      </c>
      <c r="BH79" s="997">
        <f t="shared" si="102"/>
        <v>0</v>
      </c>
      <c r="BI79" s="997">
        <f t="shared" si="103"/>
        <v>0</v>
      </c>
      <c r="BJ79" s="997">
        <f t="shared" si="104"/>
        <v>0</v>
      </c>
      <c r="BK79" s="997">
        <f t="shared" si="105"/>
        <v>0</v>
      </c>
      <c r="BL79" s="997">
        <f t="shared" si="68"/>
        <v>0</v>
      </c>
      <c r="BM79" s="997">
        <f t="shared" si="69"/>
        <v>0</v>
      </c>
      <c r="BN79" s="997">
        <f t="shared" si="70"/>
        <v>0</v>
      </c>
      <c r="BO79" s="997">
        <f t="shared" si="106"/>
        <v>0</v>
      </c>
      <c r="BP79" s="997">
        <f t="shared" si="71"/>
        <v>0</v>
      </c>
      <c r="BS79">
        <f t="shared" si="72"/>
        <v>0</v>
      </c>
      <c r="BT79">
        <f t="shared" si="73"/>
        <v>0</v>
      </c>
      <c r="BU79">
        <f t="shared" si="74"/>
        <v>0</v>
      </c>
      <c r="BV79">
        <f t="shared" si="107"/>
        <v>0</v>
      </c>
      <c r="BW79">
        <f t="shared" si="75"/>
        <v>0</v>
      </c>
      <c r="BY79" s="997">
        <f t="shared" si="76"/>
        <v>0</v>
      </c>
      <c r="BZ79" s="997">
        <f t="shared" si="77"/>
        <v>0</v>
      </c>
      <c r="CA79" s="997">
        <f t="shared" si="78"/>
        <v>0</v>
      </c>
      <c r="CB79" s="997">
        <f t="shared" si="108"/>
        <v>0</v>
      </c>
      <c r="CC79" s="997">
        <f t="shared" si="79"/>
        <v>0</v>
      </c>
      <c r="CD79" s="997">
        <f t="shared" si="80"/>
        <v>0</v>
      </c>
      <c r="CE79" s="997">
        <f t="shared" si="81"/>
        <v>0</v>
      </c>
      <c r="CF79" s="997">
        <f t="shared" si="82"/>
        <v>0</v>
      </c>
      <c r="CG79" s="997">
        <f t="shared" si="83"/>
        <v>0</v>
      </c>
      <c r="CH79" s="997">
        <f t="shared" si="84"/>
        <v>0</v>
      </c>
      <c r="CI79" s="997">
        <f t="shared" si="85"/>
        <v>0</v>
      </c>
      <c r="CJ79" s="997">
        <f t="shared" si="86"/>
        <v>0</v>
      </c>
      <c r="CK79" s="997"/>
      <c r="CL79" s="997"/>
      <c r="CM79" s="997">
        <f t="shared" si="87"/>
        <v>0</v>
      </c>
      <c r="CN79" s="997">
        <f t="shared" si="88"/>
        <v>0</v>
      </c>
      <c r="CO79" s="997">
        <f t="shared" si="89"/>
        <v>0</v>
      </c>
      <c r="CP79" s="997">
        <f t="shared" si="109"/>
        <v>0</v>
      </c>
      <c r="CQ79" s="997">
        <f t="shared" si="90"/>
        <v>0</v>
      </c>
      <c r="CR79" s="997">
        <f>IFERROR(VLOOKUP($B79,SchumeiBituahYesodi!$C$6:$AA$100,8,FALSE),0)</f>
        <v>0</v>
      </c>
      <c r="CS79" s="997">
        <f>IFERROR(VLOOKUP($B79,PirteiKisuiBeMutzar_procerur!$C$6:$AA$100,2,FALSE),0)</f>
        <v>0</v>
      </c>
      <c r="CT79" s="997">
        <f>IFERROR(VLOOKUP($B79,PirteiKisuiBeMutzar_procerur!$C$6:$AA$100,3,FALSE),0)</f>
        <v>0</v>
      </c>
      <c r="CU79" s="997">
        <f>IFERROR(VLOOKUP($B79,PirteiKisuiBeMutzar_procerur!$C$6:$AA$100,4,FALSE),0)</f>
        <v>0</v>
      </c>
      <c r="CV79" s="997">
        <f>IFERROR(VLOOKUP($B79,PirteiKisuiBeMutzar_procerur!$C$6:$AA$100,5,FALSE),0)</f>
        <v>0</v>
      </c>
      <c r="CW79" s="997">
        <f>IFERROR(VLOOKUP($B79,PirteiKisuiBeMutzar_procerur!$C$6:$AA$100,6,FALSE),0)</f>
        <v>0</v>
      </c>
      <c r="CX79" s="997">
        <f>IFERROR(VLOOKUP($B79,PirteiKisuiBeMutzar_procerur!$C$6:$AA$100,7,FALSE),0)</f>
        <v>0</v>
      </c>
      <c r="CY79" s="997">
        <f>IFERROR(VLOOKUP($B79,PirteiKisuiBeMutzar_procerur!$C$6:$AA$100,8,FALSE),0)</f>
        <v>0</v>
      </c>
      <c r="CZ79" s="997">
        <f>IFERROR(VLOOKUP($B79,PirteiKisuiBeMutzar_procerur!$C$6:$AA$100,9,FALSE),0)</f>
        <v>0</v>
      </c>
      <c r="DA79" s="997">
        <f>IFERROR(VLOOKUP($B79,PirteiKisuiBeMutzar_procerur!$C$6:$AA$100,10,FALSE),0)</f>
        <v>0</v>
      </c>
      <c r="DB79" s="997">
        <f>IFERROR(VLOOKUP($B79,PirteiKisuiBeMutzar_procerur!$C$6:$AA$100,11,FALSE),0)</f>
        <v>0</v>
      </c>
      <c r="DC79" s="997">
        <f>IFERROR(VLOOKUP($B79,PirteiKisuiBeMutzarPrmia!$C$6:$Z$100,2,FALSE),0)</f>
        <v>0</v>
      </c>
      <c r="DD79" s="997">
        <f>IFERROR(VLOOKUP($B79,PirteiKisuiBeMutzarPrmia!$C$6:$Z$100,3,FALSE),0)</f>
        <v>0</v>
      </c>
      <c r="DE79" s="997">
        <f>IFERROR(VLOOKUP($B79,PirteiKisuiBeMutzarPrmia!$C$6:$Z$100,4,FALSE),0)</f>
        <v>0</v>
      </c>
      <c r="DF79" s="997">
        <f>IFERROR(VLOOKUP($B79,PirteiKisuiBeMutzarPrmia!$C$6:$Z$100,5,FALSE),0)</f>
        <v>0</v>
      </c>
      <c r="DG79" s="997">
        <f>IFERROR(VLOOKUP($B79,PirteiKisuiBeMutzarPrmia!$C$6:$Z$100,6,FALSE),0)</f>
        <v>0</v>
      </c>
      <c r="DH79" s="997">
        <f>IFERROR(VLOOKUP($B79,PirteiKisuiBeMutzarPrmia!$C$6:$Z$100,7,FALSE),0)</f>
        <v>0</v>
      </c>
      <c r="DI79" s="997">
        <f>IFERROR(VLOOKUP($B79,PirteiKisuiBeMutzarPrmia!$C$6:$Z$100,8,FALSE),0)</f>
        <v>0</v>
      </c>
      <c r="DJ79" s="997">
        <f>IFERROR(VLOOKUP($B79,PirteiKisuiBeMutzarPrmia!$C$6:$Z$100,9,FALSE),0)</f>
        <v>0</v>
      </c>
      <c r="DK79" s="997">
        <f>IFERROR(VLOOKUP($B79,PirteiKisuiBeMutzarPrmia!$C$6:$Z$100,10,FALSE),0)</f>
        <v>0</v>
      </c>
      <c r="DL79" s="997">
        <f>IFERROR(VLOOKUP($B79,PirteiKisuiBeMutzarPrmia!$C$6:$Z$100,11,FALSE),0)</f>
        <v>0</v>
      </c>
      <c r="DM79" s="997">
        <f t="shared" si="110"/>
        <v>0</v>
      </c>
      <c r="DN79" s="997">
        <f t="shared" si="91"/>
        <v>0</v>
      </c>
      <c r="DO79" s="997">
        <f t="shared" si="92"/>
        <v>0</v>
      </c>
      <c r="DP79" s="997">
        <f t="shared" si="67"/>
        <v>0</v>
      </c>
      <c r="DQ79" s="997">
        <f t="shared" si="93"/>
        <v>0</v>
      </c>
      <c r="DR79" s="997">
        <f>IF(OR(L79=1,L79=3),IFERROR(VLOOKUP($B79,PerutHafkadotMetchilatShanaAvgM!$C$6:$G$100,3,FALSE),0),0)</f>
        <v>0</v>
      </c>
      <c r="DS79" s="997">
        <f>IF(OR(L79=2,L79=4),IFERROR(VLOOKUP($B79,PerutHafkadotMetchilatShanaAvgM!$C$6:$G$100,3,FALSE),0),0)</f>
        <v>0</v>
      </c>
      <c r="DT79" s="997">
        <f>IFERROR(VLOOKUP($B79,PerutHafkadotMetchilatShanaAvgM!$C$6:$G$100,4,FALSE),0)</f>
        <v>0</v>
      </c>
      <c r="DU79" s="997">
        <f>IFERROR(VLOOKUP($B79,Kupa!$D$6:$AA$100,5,FALSE),0)</f>
        <v>0</v>
      </c>
      <c r="DV79" s="997">
        <f>IFERROR(VLOOKUP($B79,Kupa!$D$6:$AA$100,6,FALSE),0)</f>
        <v>0</v>
      </c>
      <c r="DW79" s="997">
        <f>IFERROR(VLOOKUP($B79,KisuiBKerenPensiaDBWithParams!$D$6:$AP$100,9,FALSE),0)</f>
        <v>0</v>
      </c>
      <c r="DX79" s="997">
        <f>IFERROR(VLOOKUP($B79,KisuiBKerenPensiaDBWithParams!$D$6:$AP$100,12,FALSE),0)</f>
        <v>0</v>
      </c>
      <c r="DY79" s="997">
        <f>IFERROR(VLOOKUP($B79,KisuiBKerenPensiaDBWithParams!$D$6:$AP$100,13,FALSE),0)</f>
        <v>0</v>
      </c>
      <c r="DZ79" s="997">
        <f>IFERROR(VLOOKUP($B79,KisuiBKerenPensiaDBWithParams!$D$6:$AP$100,7,FALSE),0)</f>
        <v>0</v>
      </c>
      <c r="EA79" s="997">
        <f>IFERROR(VLOOKUP($B79,KisuiBKerenPensiaDBWithParams!$D$6:$AP$100,17,FALSE),0)</f>
        <v>0</v>
      </c>
      <c r="EB79" s="997">
        <f>IFERROR(VLOOKUP($B79,KisuiBKerenPensiaDBWithParams!$D$6:$AP$100,20,FALSE),0)</f>
        <v>0</v>
      </c>
      <c r="EC79" s="997">
        <f>IFERROR(VLOOKUP($B79,KisuiBKerenPensiaDBWithParams!$D$6:$AP$100,21,FALSE),0)</f>
        <v>0</v>
      </c>
      <c r="ED79" s="997">
        <f t="shared" si="111"/>
        <v>0</v>
      </c>
      <c r="EE79" s="997"/>
      <c r="EF79" s="1020">
        <f>IFERROR(VLOOKUP($B79,KisuiBKerenPensiaDBWithParams!$D$6:$AP$100,21,FALSE),0)</f>
        <v>0</v>
      </c>
      <c r="EG79" s="1020">
        <f>IFERROR(VLOOKUP($B79,KisuiBKerenPensiaDBWithParams!$D$6:$AP$100,21,FALSE),0)</f>
        <v>0</v>
      </c>
      <c r="EH79">
        <f>IF(OR(G79=MyData!$J$51,G79=MyData!$J$52,G79=MyData!$J$53),1,IF(G79=MyData!$J$50,2,0))</f>
        <v>0</v>
      </c>
      <c r="EI79">
        <f>IFERROR(VLOOKUP($B79,CrosstabPerutYitrotDB!$C$6:$N$50,3,FALSE),0)</f>
        <v>0</v>
      </c>
      <c r="EJ79">
        <f>IFERROR(VLOOKUP($B79,CrosstabPerutYitrotDB!$C$6:$N$50,4,FALSE),0)</f>
        <v>0</v>
      </c>
      <c r="EK79">
        <f>IFERROR(VLOOKUP($B79,CrosstabPerutYitrotDB!$C$6:$N$50,5,FALSE),0)</f>
        <v>0</v>
      </c>
      <c r="EL79">
        <f>IFERROR(VLOOKUP($B79,CrosstabPerutYitrotDB!$C$6:$N$50,6,FALSE),0)</f>
        <v>0</v>
      </c>
      <c r="EM79">
        <f>IFERROR(VLOOKUP($B79,CrosstabPerutYitrotDB!$C$6:$N$50,7,FALSE),0)</f>
        <v>0</v>
      </c>
      <c r="EN79">
        <f>IFERROR(VLOOKUP($B79,CrosstabPerutYitrotDB!$C$6:$N$50,8,FALSE),0)</f>
        <v>0</v>
      </c>
      <c r="EO79">
        <f>IFERROR(VLOOKUP($B79,CrosstabPerutYitrotDB!$C$6:$N$50,9,FALSE),0)</f>
        <v>0</v>
      </c>
      <c r="EP79">
        <f>IFERROR(VLOOKUP($B79,CrosstabPerutYitrotDB!$C$6:$N$50,10,FALSE),0)</f>
        <v>0</v>
      </c>
      <c r="EQ79">
        <f>IFERROR(VLOOKUP($B79,CrosstabPerutYitrotDB!$C$6:$N$50,11,FALSE),0)</f>
        <v>0</v>
      </c>
    </row>
    <row r="80" spans="1:147" x14ac:dyDescent="0.2">
      <c r="A80">
        <f t="shared" si="112"/>
        <v>0</v>
      </c>
      <c r="B80" s="20">
        <f>RicusPolice!E77</f>
        <v>0</v>
      </c>
      <c r="C80" s="20">
        <f>RicusPolice!AL77</f>
        <v>0</v>
      </c>
      <c r="D80" s="20">
        <f>RicusPolice!F77</f>
        <v>0</v>
      </c>
      <c r="E80" s="20">
        <f>RicusPolice!R77</f>
        <v>0</v>
      </c>
      <c r="F80" s="20">
        <f>RicusPolice!N77</f>
        <v>0</v>
      </c>
      <c r="G80" s="20">
        <f>IFERROR(VLOOKUP($B80,PerutYitrot!$D$6:$P$100,4,FALSE),0)</f>
        <v>0</v>
      </c>
      <c r="H80" s="20">
        <f t="shared" si="94"/>
        <v>0</v>
      </c>
      <c r="I80" s="20">
        <f>RicusPolice!L77</f>
        <v>0</v>
      </c>
      <c r="J80" s="179">
        <f>IFERROR(VLOOKUP(TRIM(K80),MyData!$J$44:$K$50,2,FALSE),0)</f>
        <v>0</v>
      </c>
      <c r="K80" s="20">
        <f>RicusPolice!M77</f>
        <v>0</v>
      </c>
      <c r="L80" s="20">
        <f>RicusPolice!AM77</f>
        <v>0</v>
      </c>
      <c r="M80" s="20" t="str">
        <f>IF(B80&gt;0,RicusPolice!Y77," ")</f>
        <v xml:space="preserve"> </v>
      </c>
      <c r="N80" s="20" t="str">
        <f t="shared" si="95"/>
        <v/>
      </c>
      <c r="O80" s="20">
        <f>RicusPolice!N77</f>
        <v>0</v>
      </c>
      <c r="P80" s="20">
        <f>IFERROR(VLOOKUP(B80,PerutMasluleiHashkaa!$D$6:$R$100,4,FALSE),0)</f>
        <v>0</v>
      </c>
      <c r="Q80" s="19"/>
      <c r="R80" s="1011" t="str">
        <f>IF(B80&gt;0,RicusPolice!P79," ")</f>
        <v xml:space="preserve"> </v>
      </c>
      <c r="S80" s="20">
        <f>IFERROR(VLOOKUP($B80,'נתונים ידניים'!$B$9:$G$51,6,FALSE),0)</f>
        <v>0</v>
      </c>
      <c r="T80" s="21">
        <f>'נתונים ידניים'!J81</f>
        <v>0</v>
      </c>
      <c r="U80" s="21">
        <f>'נתונים ידניים'!K81</f>
        <v>0</v>
      </c>
      <c r="V80" s="20">
        <f>IFERROR(VLOOKUP($B80,PerutHafrashotLePolisa!$D$6:$N$50,2,FALSE),0)</f>
        <v>0</v>
      </c>
      <c r="W80" s="20">
        <f>IFERROR(VLOOKUP($B80,PerutHafrashotLePolisa!$D$6:$N$50,4,FALSE),0)</f>
        <v>0</v>
      </c>
      <c r="X80" s="20">
        <f>IFERROR(VLOOKUP($B80,PerutHafrashotLePolisa!$D$6:$N$50,3,FALSE),0)</f>
        <v>0</v>
      </c>
      <c r="Y80">
        <f t="shared" si="96"/>
        <v>0</v>
      </c>
      <c r="Z80">
        <f>RicusPolice!AP77</f>
        <v>0</v>
      </c>
      <c r="AA80">
        <f>IFERROR(VLOOKUP(B80,PirteiHaasaka!$D$6:$R$100,5,FALSE),0)</f>
        <v>0</v>
      </c>
      <c r="AC80">
        <f>IFERROR(VLOOKUP(B80,HafkadotMetchilatShanaAverages!$D$6:$E$100,2,FALSE),0)</f>
        <v>0</v>
      </c>
      <c r="AF80">
        <f>'נתונים ידניים'!L81</f>
        <v>0</v>
      </c>
      <c r="AG80">
        <f>IFERROR(VLOOKUP(B80,CrossTabYitraLeTkufa_till_2000!$D$6:$AB$100,6,FALSE),0)+IFERROR(VLOOKUP(B80,CrossTabYitraLeTkufa_after_2000!$D$6:$AB$100,6,FALSE),0)</f>
        <v>0</v>
      </c>
      <c r="AH80">
        <f>IFERROR(VLOOKUP(B80,CrossTabYitraLeTkufa_till_2000!$D$6:$AB$100,16,FALSE),0)</f>
        <v>0</v>
      </c>
      <c r="AI80">
        <f>IFERROR(VLOOKUP(B80,CrossTabYitraLeTkufa_after_2000!$D$6:$AB$100,16,FALSE),0)</f>
        <v>0</v>
      </c>
      <c r="AJ80">
        <f>IFERROR(VLOOKUP(B80,CrossTabYitraLeTkufa_till_2000!$D$6:$AB$100,17,FALSE),0)</f>
        <v>0</v>
      </c>
      <c r="AK80">
        <f>IFERROR(VLOOKUP(B80,CrossTabYitraLeTkufa_after_2000!$D$6:$AB$100,17,FALSE),0)</f>
        <v>0</v>
      </c>
      <c r="AL80" s="5">
        <f t="shared" si="97"/>
        <v>0</v>
      </c>
      <c r="AO80">
        <f>IFERROR(VLOOKUP(B80,PirteiKisuiBeMutzar_procerur!$C$6:$AA$100,2,FALSE),0)</f>
        <v>0</v>
      </c>
      <c r="AQ80">
        <f>IFERROR(VLOOKUP($B80,PirteiKisuiBeMutzar_procerur!$C$6:$AA$100,5,FALSE),0)</f>
        <v>0</v>
      </c>
      <c r="AR80">
        <f>IFERROR(VLOOKUP($B80,PirteiKisuiBeMutzar_procerur!$C$6:$AA$100,3,FALSE),0)</f>
        <v>0</v>
      </c>
      <c r="AS80">
        <f>IFERROR(VLOOKUP($B80,PirteiKisuiBeMutzar_procerur!$C$6:$AA$100,6,FALSE),0)</f>
        <v>0</v>
      </c>
      <c r="AT80">
        <f>IFERROR(VLOOKUP($B80,PirteiKisuiBeMutzar_procerur!$C$6:$AA$100,7,FALSE),0)</f>
        <v>0</v>
      </c>
      <c r="AX80" s="997">
        <f t="shared" si="98"/>
        <v>0</v>
      </c>
      <c r="AY80" s="997">
        <f t="shared" si="99"/>
        <v>0</v>
      </c>
      <c r="AZ80" s="997">
        <f t="shared" si="100"/>
        <v>0</v>
      </c>
      <c r="BA80" s="997">
        <f>IFERROR(FV(S80/100/12,'נתוני יסוד'!$B$16*12,AX80,AG80)*(-1),0)</f>
        <v>0</v>
      </c>
      <c r="BB80" s="997">
        <f>IFERROR(FV(S80/100/12,'נתוני יסוד'!$B$16*12,0,AH80)*(-1),0)</f>
        <v>0</v>
      </c>
      <c r="BC80" s="997">
        <f>IFERROR(FV(S80/100/12,'נתוני יסוד'!$B$16*12,AY80,AI80)*(-1),0)</f>
        <v>0</v>
      </c>
      <c r="BD80" s="997">
        <f>IFERROR(FV(S80/100/12,'נתוני יסוד'!$B$16*12,0,AJ80)*(-1),0)</f>
        <v>0</v>
      </c>
      <c r="BE80" s="997">
        <f>IFERROR(FV(S80/100/12,'נתוני יסוד'!$B$16*12,AZ80,AK80)*(-1),0)</f>
        <v>0</v>
      </c>
      <c r="BF80" s="997">
        <f t="shared" si="101"/>
        <v>0</v>
      </c>
      <c r="BG80" s="997">
        <f>IFERROR(FV(S80/100/12,'נתוני יסוד'!$B$16*12,AF80,AL80)*(-1),0)</f>
        <v>0</v>
      </c>
      <c r="BH80" s="997">
        <f t="shared" si="102"/>
        <v>0</v>
      </c>
      <c r="BI80" s="997">
        <f t="shared" si="103"/>
        <v>0</v>
      </c>
      <c r="BJ80" s="997">
        <f t="shared" si="104"/>
        <v>0</v>
      </c>
      <c r="BK80" s="997">
        <f t="shared" si="105"/>
        <v>0</v>
      </c>
      <c r="BL80" s="997">
        <f t="shared" si="68"/>
        <v>0</v>
      </c>
      <c r="BM80" s="997">
        <f t="shared" si="69"/>
        <v>0</v>
      </c>
      <c r="BN80" s="997">
        <f t="shared" si="70"/>
        <v>0</v>
      </c>
      <c r="BO80" s="997">
        <f t="shared" si="106"/>
        <v>0</v>
      </c>
      <c r="BP80" s="997">
        <f t="shared" si="71"/>
        <v>0</v>
      </c>
      <c r="BS80">
        <f t="shared" si="72"/>
        <v>0</v>
      </c>
      <c r="BT80">
        <f t="shared" si="73"/>
        <v>0</v>
      </c>
      <c r="BU80">
        <f t="shared" si="74"/>
        <v>0</v>
      </c>
      <c r="BV80">
        <f t="shared" si="107"/>
        <v>0</v>
      </c>
      <c r="BW80">
        <f t="shared" si="75"/>
        <v>0</v>
      </c>
      <c r="BY80" s="997">
        <f t="shared" si="76"/>
        <v>0</v>
      </c>
      <c r="BZ80" s="997">
        <f t="shared" si="77"/>
        <v>0</v>
      </c>
      <c r="CA80" s="997">
        <f t="shared" si="78"/>
        <v>0</v>
      </c>
      <c r="CB80" s="997">
        <f t="shared" si="108"/>
        <v>0</v>
      </c>
      <c r="CC80" s="997">
        <f t="shared" si="79"/>
        <v>0</v>
      </c>
      <c r="CD80" s="997">
        <f t="shared" si="80"/>
        <v>0</v>
      </c>
      <c r="CE80" s="997">
        <f t="shared" si="81"/>
        <v>0</v>
      </c>
      <c r="CF80" s="997">
        <f t="shared" si="82"/>
        <v>0</v>
      </c>
      <c r="CG80" s="997">
        <f t="shared" si="83"/>
        <v>0</v>
      </c>
      <c r="CH80" s="997">
        <f t="shared" si="84"/>
        <v>0</v>
      </c>
      <c r="CI80" s="997">
        <f t="shared" si="85"/>
        <v>0</v>
      </c>
      <c r="CJ80" s="997">
        <f t="shared" si="86"/>
        <v>0</v>
      </c>
      <c r="CK80" s="997"/>
      <c r="CL80" s="997"/>
      <c r="CM80" s="997">
        <f t="shared" si="87"/>
        <v>0</v>
      </c>
      <c r="CN80" s="997">
        <f t="shared" si="88"/>
        <v>0</v>
      </c>
      <c r="CO80" s="997">
        <f t="shared" si="89"/>
        <v>0</v>
      </c>
      <c r="CP80" s="997">
        <f t="shared" si="109"/>
        <v>0</v>
      </c>
      <c r="CQ80" s="997">
        <f t="shared" si="90"/>
        <v>0</v>
      </c>
      <c r="CR80" s="997">
        <f>IFERROR(VLOOKUP($B80,SchumeiBituahYesodi!$C$6:$AA$100,8,FALSE),0)</f>
        <v>0</v>
      </c>
      <c r="CS80" s="997">
        <f>IFERROR(VLOOKUP($B80,PirteiKisuiBeMutzar_procerur!$C$6:$AA$100,2,FALSE),0)</f>
        <v>0</v>
      </c>
      <c r="CT80" s="997">
        <f>IFERROR(VLOOKUP($B80,PirteiKisuiBeMutzar_procerur!$C$6:$AA$100,3,FALSE),0)</f>
        <v>0</v>
      </c>
      <c r="CU80" s="997">
        <f>IFERROR(VLOOKUP($B80,PirteiKisuiBeMutzar_procerur!$C$6:$AA$100,4,FALSE),0)</f>
        <v>0</v>
      </c>
      <c r="CV80" s="997">
        <f>IFERROR(VLOOKUP($B80,PirteiKisuiBeMutzar_procerur!$C$6:$AA$100,5,FALSE),0)</f>
        <v>0</v>
      </c>
      <c r="CW80" s="997">
        <f>IFERROR(VLOOKUP($B80,PirteiKisuiBeMutzar_procerur!$C$6:$AA$100,6,FALSE),0)</f>
        <v>0</v>
      </c>
      <c r="CX80" s="997">
        <f>IFERROR(VLOOKUP($B80,PirteiKisuiBeMutzar_procerur!$C$6:$AA$100,7,FALSE),0)</f>
        <v>0</v>
      </c>
      <c r="CY80" s="997">
        <f>IFERROR(VLOOKUP($B80,PirteiKisuiBeMutzar_procerur!$C$6:$AA$100,8,FALSE),0)</f>
        <v>0</v>
      </c>
      <c r="CZ80" s="997">
        <f>IFERROR(VLOOKUP($B80,PirteiKisuiBeMutzar_procerur!$C$6:$AA$100,9,FALSE),0)</f>
        <v>0</v>
      </c>
      <c r="DA80" s="997">
        <f>IFERROR(VLOOKUP($B80,PirteiKisuiBeMutzar_procerur!$C$6:$AA$100,10,FALSE),0)</f>
        <v>0</v>
      </c>
      <c r="DB80" s="997">
        <f>IFERROR(VLOOKUP($B80,PirteiKisuiBeMutzar_procerur!$C$6:$AA$100,11,FALSE),0)</f>
        <v>0</v>
      </c>
      <c r="DC80" s="997">
        <f>IFERROR(VLOOKUP($B80,PirteiKisuiBeMutzarPrmia!$C$6:$Z$100,2,FALSE),0)</f>
        <v>0</v>
      </c>
      <c r="DD80" s="997">
        <f>IFERROR(VLOOKUP($B80,PirteiKisuiBeMutzarPrmia!$C$6:$Z$100,3,FALSE),0)</f>
        <v>0</v>
      </c>
      <c r="DE80" s="997">
        <f>IFERROR(VLOOKUP($B80,PirteiKisuiBeMutzarPrmia!$C$6:$Z$100,4,FALSE),0)</f>
        <v>0</v>
      </c>
      <c r="DF80" s="997">
        <f>IFERROR(VLOOKUP($B80,PirteiKisuiBeMutzarPrmia!$C$6:$Z$100,5,FALSE),0)</f>
        <v>0</v>
      </c>
      <c r="DG80" s="997">
        <f>IFERROR(VLOOKUP($B80,PirteiKisuiBeMutzarPrmia!$C$6:$Z$100,6,FALSE),0)</f>
        <v>0</v>
      </c>
      <c r="DH80" s="997">
        <f>IFERROR(VLOOKUP($B80,PirteiKisuiBeMutzarPrmia!$C$6:$Z$100,7,FALSE),0)</f>
        <v>0</v>
      </c>
      <c r="DI80" s="997">
        <f>IFERROR(VLOOKUP($B80,PirteiKisuiBeMutzarPrmia!$C$6:$Z$100,8,FALSE),0)</f>
        <v>0</v>
      </c>
      <c r="DJ80" s="997">
        <f>IFERROR(VLOOKUP($B80,PirteiKisuiBeMutzarPrmia!$C$6:$Z$100,9,FALSE),0)</f>
        <v>0</v>
      </c>
      <c r="DK80" s="997">
        <f>IFERROR(VLOOKUP($B80,PirteiKisuiBeMutzarPrmia!$C$6:$Z$100,10,FALSE),0)</f>
        <v>0</v>
      </c>
      <c r="DL80" s="997">
        <f>IFERROR(VLOOKUP($B80,PirteiKisuiBeMutzarPrmia!$C$6:$Z$100,11,FALSE),0)</f>
        <v>0</v>
      </c>
      <c r="DM80" s="997">
        <f t="shared" si="110"/>
        <v>0</v>
      </c>
      <c r="DN80" s="997">
        <f t="shared" si="91"/>
        <v>0</v>
      </c>
      <c r="DO80" s="997">
        <f t="shared" si="92"/>
        <v>0</v>
      </c>
      <c r="DP80" s="997">
        <f t="shared" si="67"/>
        <v>0</v>
      </c>
      <c r="DQ80" s="997">
        <f t="shared" si="93"/>
        <v>0</v>
      </c>
      <c r="DR80" s="997">
        <f>IF(OR(L80=1,L80=3),IFERROR(VLOOKUP($B80,PerutHafkadotMetchilatShanaAvgM!$C$6:$G$100,3,FALSE),0),0)</f>
        <v>0</v>
      </c>
      <c r="DS80" s="997">
        <f>IF(OR(L80=2,L80=4),IFERROR(VLOOKUP($B80,PerutHafkadotMetchilatShanaAvgM!$C$6:$G$100,3,FALSE),0),0)</f>
        <v>0</v>
      </c>
      <c r="DT80" s="997">
        <f>IFERROR(VLOOKUP($B80,PerutHafkadotMetchilatShanaAvgM!$C$6:$G$100,4,FALSE),0)</f>
        <v>0</v>
      </c>
      <c r="DU80" s="997">
        <f>IFERROR(VLOOKUP($B80,Kupa!$D$6:$AA$100,5,FALSE),0)</f>
        <v>0</v>
      </c>
      <c r="DV80" s="997">
        <f>IFERROR(VLOOKUP($B80,Kupa!$D$6:$AA$100,6,FALSE),0)</f>
        <v>0</v>
      </c>
      <c r="DW80" s="997">
        <f>IFERROR(VLOOKUP($B80,KisuiBKerenPensiaDBWithParams!$D$6:$AP$100,9,FALSE),0)</f>
        <v>0</v>
      </c>
      <c r="DX80" s="997">
        <f>IFERROR(VLOOKUP($B80,KisuiBKerenPensiaDBWithParams!$D$6:$AP$100,12,FALSE),0)</f>
        <v>0</v>
      </c>
      <c r="DY80" s="997">
        <f>IFERROR(VLOOKUP($B80,KisuiBKerenPensiaDBWithParams!$D$6:$AP$100,13,FALSE),0)</f>
        <v>0</v>
      </c>
      <c r="DZ80" s="997">
        <f>IFERROR(VLOOKUP($B80,KisuiBKerenPensiaDBWithParams!$D$6:$AP$100,7,FALSE),0)</f>
        <v>0</v>
      </c>
      <c r="EA80" s="997">
        <f>IFERROR(VLOOKUP($B80,KisuiBKerenPensiaDBWithParams!$D$6:$AP$100,17,FALSE),0)</f>
        <v>0</v>
      </c>
      <c r="EB80" s="997">
        <f>IFERROR(VLOOKUP($B80,KisuiBKerenPensiaDBWithParams!$D$6:$AP$100,20,FALSE),0)</f>
        <v>0</v>
      </c>
      <c r="EC80" s="997">
        <f>IFERROR(VLOOKUP($B80,KisuiBKerenPensiaDBWithParams!$D$6:$AP$100,21,FALSE),0)</f>
        <v>0</v>
      </c>
      <c r="ED80" s="997">
        <f t="shared" si="111"/>
        <v>0</v>
      </c>
      <c r="EE80" s="997"/>
      <c r="EF80" s="1020">
        <f>IFERROR(VLOOKUP($B80,KisuiBKerenPensiaDBWithParams!$D$6:$AP$100,21,FALSE),0)</f>
        <v>0</v>
      </c>
      <c r="EG80" s="1020">
        <f>IFERROR(VLOOKUP($B80,KisuiBKerenPensiaDBWithParams!$D$6:$AP$100,21,FALSE),0)</f>
        <v>0</v>
      </c>
      <c r="EH80">
        <f>IF(OR(G80=MyData!$J$51,G80=MyData!$J$52,G80=MyData!$J$53),1,IF(G80=MyData!$J$50,2,0))</f>
        <v>0</v>
      </c>
      <c r="EI80">
        <f>IFERROR(VLOOKUP($B80,CrosstabPerutYitrotDB!$C$6:$N$50,3,FALSE),0)</f>
        <v>0</v>
      </c>
      <c r="EJ80">
        <f>IFERROR(VLOOKUP($B80,CrosstabPerutYitrotDB!$C$6:$N$50,4,FALSE),0)</f>
        <v>0</v>
      </c>
      <c r="EK80">
        <f>IFERROR(VLOOKUP($B80,CrosstabPerutYitrotDB!$C$6:$N$50,5,FALSE),0)</f>
        <v>0</v>
      </c>
      <c r="EL80">
        <f>IFERROR(VLOOKUP($B80,CrosstabPerutYitrotDB!$C$6:$N$50,6,FALSE),0)</f>
        <v>0</v>
      </c>
      <c r="EM80">
        <f>IFERROR(VLOOKUP($B80,CrosstabPerutYitrotDB!$C$6:$N$50,7,FALSE),0)</f>
        <v>0</v>
      </c>
      <c r="EN80">
        <f>IFERROR(VLOOKUP($B80,CrosstabPerutYitrotDB!$C$6:$N$50,8,FALSE),0)</f>
        <v>0</v>
      </c>
      <c r="EO80">
        <f>IFERROR(VLOOKUP($B80,CrosstabPerutYitrotDB!$C$6:$N$50,9,FALSE),0)</f>
        <v>0</v>
      </c>
      <c r="EP80">
        <f>IFERROR(VLOOKUP($B80,CrosstabPerutYitrotDB!$C$6:$N$50,10,FALSE),0)</f>
        <v>0</v>
      </c>
      <c r="EQ80">
        <f>IFERROR(VLOOKUP($B80,CrosstabPerutYitrotDB!$C$6:$N$50,11,FALSE),0)</f>
        <v>0</v>
      </c>
    </row>
    <row r="81" spans="1:147" x14ac:dyDescent="0.2">
      <c r="A81">
        <f t="shared" si="112"/>
        <v>0</v>
      </c>
      <c r="B81" s="20">
        <f>RicusPolice!E78</f>
        <v>0</v>
      </c>
      <c r="C81" s="20">
        <f>RicusPolice!AL78</f>
        <v>0</v>
      </c>
      <c r="D81" s="20">
        <f>RicusPolice!F78</f>
        <v>0</v>
      </c>
      <c r="E81" s="20">
        <f>RicusPolice!R78</f>
        <v>0</v>
      </c>
      <c r="F81" s="20">
        <f>RicusPolice!N78</f>
        <v>0</v>
      </c>
      <c r="G81" s="20">
        <f>IFERROR(VLOOKUP($B81,PerutYitrot!$D$6:$P$100,4,FALSE),0)</f>
        <v>0</v>
      </c>
      <c r="H81" s="20">
        <f t="shared" si="94"/>
        <v>0</v>
      </c>
      <c r="I81" s="20">
        <f>RicusPolice!L78</f>
        <v>0</v>
      </c>
      <c r="J81" s="179">
        <f>IFERROR(VLOOKUP(TRIM(K81),MyData!$J$44:$K$50,2,FALSE),0)</f>
        <v>0</v>
      </c>
      <c r="K81" s="20">
        <f>RicusPolice!M78</f>
        <v>0</v>
      </c>
      <c r="L81" s="20">
        <f>RicusPolice!AM78</f>
        <v>0</v>
      </c>
      <c r="M81" s="20" t="str">
        <f>IF(B81&gt;0,RicusPolice!Y78," ")</f>
        <v xml:space="preserve"> </v>
      </c>
      <c r="N81" s="20" t="str">
        <f t="shared" si="95"/>
        <v/>
      </c>
      <c r="O81" s="20">
        <f>RicusPolice!N78</f>
        <v>0</v>
      </c>
      <c r="P81" s="20">
        <f>IFERROR(VLOOKUP(B81,PerutMasluleiHashkaa!$D$6:$R$100,4,FALSE),0)</f>
        <v>0</v>
      </c>
      <c r="Q81" s="19"/>
      <c r="R81" s="1011" t="str">
        <f>IF(B81&gt;0,RicusPolice!P80," ")</f>
        <v xml:space="preserve"> </v>
      </c>
      <c r="S81" s="20">
        <f>IFERROR(VLOOKUP($B81,'נתונים ידניים'!$B$9:$G$51,6,FALSE),0)</f>
        <v>0</v>
      </c>
      <c r="T81" s="21">
        <f>'נתונים ידניים'!J82</f>
        <v>0</v>
      </c>
      <c r="U81" s="21">
        <f>'נתונים ידניים'!K82</f>
        <v>0</v>
      </c>
      <c r="V81" s="20">
        <f>IFERROR(VLOOKUP($B81,PerutHafrashotLePolisa!$D$6:$N$50,2,FALSE),0)</f>
        <v>0</v>
      </c>
      <c r="W81" s="20">
        <f>IFERROR(VLOOKUP($B81,PerutHafrashotLePolisa!$D$6:$N$50,4,FALSE),0)</f>
        <v>0</v>
      </c>
      <c r="X81" s="20">
        <f>IFERROR(VLOOKUP($B81,PerutHafrashotLePolisa!$D$6:$N$50,3,FALSE),0)</f>
        <v>0</v>
      </c>
      <c r="Y81">
        <f t="shared" si="96"/>
        <v>0</v>
      </c>
      <c r="Z81">
        <f>RicusPolice!AP78</f>
        <v>0</v>
      </c>
      <c r="AA81">
        <f>IFERROR(VLOOKUP(B81,PirteiHaasaka!$D$6:$R$100,5,FALSE),0)</f>
        <v>0</v>
      </c>
      <c r="AC81">
        <f>IFERROR(VLOOKUP(B81,HafkadotMetchilatShanaAverages!$D$6:$E$100,2,FALSE),0)</f>
        <v>0</v>
      </c>
      <c r="AF81">
        <f>'נתונים ידניים'!L82</f>
        <v>0</v>
      </c>
      <c r="AG81">
        <f>IFERROR(VLOOKUP(B81,CrossTabYitraLeTkufa_till_2000!$D$6:$AB$100,6,FALSE),0)+IFERROR(VLOOKUP(B81,CrossTabYitraLeTkufa_after_2000!$D$6:$AB$100,6,FALSE),0)</f>
        <v>0</v>
      </c>
      <c r="AH81">
        <f>IFERROR(VLOOKUP(B81,CrossTabYitraLeTkufa_till_2000!$D$6:$AB$100,16,FALSE),0)</f>
        <v>0</v>
      </c>
      <c r="AI81">
        <f>IFERROR(VLOOKUP(B81,CrossTabYitraLeTkufa_after_2000!$D$6:$AB$100,16,FALSE),0)</f>
        <v>0</v>
      </c>
      <c r="AJ81">
        <f>IFERROR(VLOOKUP(B81,CrossTabYitraLeTkufa_till_2000!$D$6:$AB$100,17,FALSE),0)</f>
        <v>0</v>
      </c>
      <c r="AK81">
        <f>IFERROR(VLOOKUP(B81,CrossTabYitraLeTkufa_after_2000!$D$6:$AB$100,17,FALSE),0)</f>
        <v>0</v>
      </c>
      <c r="AL81" s="5">
        <f t="shared" si="97"/>
        <v>0</v>
      </c>
      <c r="AO81">
        <f>IFERROR(VLOOKUP(B81,PirteiKisuiBeMutzar_procerur!$C$6:$AA$100,2,FALSE),0)</f>
        <v>0</v>
      </c>
      <c r="AQ81">
        <f>IFERROR(VLOOKUP($B81,PirteiKisuiBeMutzar_procerur!$C$6:$AA$100,5,FALSE),0)</f>
        <v>0</v>
      </c>
      <c r="AR81">
        <f>IFERROR(VLOOKUP($B81,PirteiKisuiBeMutzar_procerur!$C$6:$AA$100,3,FALSE),0)</f>
        <v>0</v>
      </c>
      <c r="AS81">
        <f>IFERROR(VLOOKUP($B81,PirteiKisuiBeMutzar_procerur!$C$6:$AA$100,6,FALSE),0)</f>
        <v>0</v>
      </c>
      <c r="AT81">
        <f>IFERROR(VLOOKUP($B81,PirteiKisuiBeMutzar_procerur!$C$6:$AA$100,7,FALSE),0)</f>
        <v>0</v>
      </c>
      <c r="AX81" s="997">
        <f t="shared" si="98"/>
        <v>0</v>
      </c>
      <c r="AY81" s="997">
        <f t="shared" si="99"/>
        <v>0</v>
      </c>
      <c r="AZ81" s="997">
        <f t="shared" si="100"/>
        <v>0</v>
      </c>
      <c r="BA81" s="997">
        <f>IFERROR(FV(S81/100/12,'נתוני יסוד'!$B$16*12,AX81,AG81)*(-1),0)</f>
        <v>0</v>
      </c>
      <c r="BB81" s="997">
        <f>IFERROR(FV(S81/100/12,'נתוני יסוד'!$B$16*12,0,AH81)*(-1),0)</f>
        <v>0</v>
      </c>
      <c r="BC81" s="997">
        <f>IFERROR(FV(S81/100/12,'נתוני יסוד'!$B$16*12,AY81,AI81)*(-1),0)</f>
        <v>0</v>
      </c>
      <c r="BD81" s="997">
        <f>IFERROR(FV(S81/100/12,'נתוני יסוד'!$B$16*12,0,AJ81)*(-1),0)</f>
        <v>0</v>
      </c>
      <c r="BE81" s="997">
        <f>IFERROR(FV(S81/100/12,'נתוני יסוד'!$B$16*12,AZ81,AK81)*(-1),0)</f>
        <v>0</v>
      </c>
      <c r="BF81" s="997">
        <f t="shared" si="101"/>
        <v>0</v>
      </c>
      <c r="BG81" s="997">
        <f>IFERROR(FV(S81/100/12,'נתוני יסוד'!$B$16*12,AF81,AL81)*(-1),0)</f>
        <v>0</v>
      </c>
      <c r="BH81" s="997">
        <f t="shared" si="102"/>
        <v>0</v>
      </c>
      <c r="BI81" s="997">
        <f t="shared" si="103"/>
        <v>0</v>
      </c>
      <c r="BJ81" s="997">
        <f t="shared" si="104"/>
        <v>0</v>
      </c>
      <c r="BK81" s="997">
        <f t="shared" si="105"/>
        <v>0</v>
      </c>
      <c r="BL81" s="997">
        <f t="shared" si="68"/>
        <v>0</v>
      </c>
      <c r="BM81" s="997">
        <f t="shared" si="69"/>
        <v>0</v>
      </c>
      <c r="BN81" s="997">
        <f t="shared" si="70"/>
        <v>0</v>
      </c>
      <c r="BO81" s="997">
        <f t="shared" si="106"/>
        <v>0</v>
      </c>
      <c r="BP81" s="997">
        <f t="shared" si="71"/>
        <v>0</v>
      </c>
      <c r="BS81">
        <f t="shared" si="72"/>
        <v>0</v>
      </c>
      <c r="BT81">
        <f t="shared" si="73"/>
        <v>0</v>
      </c>
      <c r="BU81">
        <f t="shared" si="74"/>
        <v>0</v>
      </c>
      <c r="BV81">
        <f t="shared" si="107"/>
        <v>0</v>
      </c>
      <c r="BW81">
        <f t="shared" si="75"/>
        <v>0</v>
      </c>
      <c r="BY81" s="997">
        <f t="shared" si="76"/>
        <v>0</v>
      </c>
      <c r="BZ81" s="997">
        <f t="shared" si="77"/>
        <v>0</v>
      </c>
      <c r="CA81" s="997">
        <f t="shared" si="78"/>
        <v>0</v>
      </c>
      <c r="CB81" s="997">
        <f t="shared" si="108"/>
        <v>0</v>
      </c>
      <c r="CC81" s="997">
        <f t="shared" si="79"/>
        <v>0</v>
      </c>
      <c r="CD81" s="997">
        <f t="shared" si="80"/>
        <v>0</v>
      </c>
      <c r="CE81" s="997">
        <f t="shared" si="81"/>
        <v>0</v>
      </c>
      <c r="CF81" s="997">
        <f t="shared" si="82"/>
        <v>0</v>
      </c>
      <c r="CG81" s="997">
        <f t="shared" si="83"/>
        <v>0</v>
      </c>
      <c r="CH81" s="997">
        <f t="shared" si="84"/>
        <v>0</v>
      </c>
      <c r="CI81" s="997">
        <f t="shared" si="85"/>
        <v>0</v>
      </c>
      <c r="CJ81" s="997">
        <f t="shared" si="86"/>
        <v>0</v>
      </c>
      <c r="CK81" s="997"/>
      <c r="CL81" s="997"/>
      <c r="CM81" s="997">
        <f t="shared" si="87"/>
        <v>0</v>
      </c>
      <c r="CN81" s="997">
        <f t="shared" si="88"/>
        <v>0</v>
      </c>
      <c r="CO81" s="997">
        <f t="shared" si="89"/>
        <v>0</v>
      </c>
      <c r="CP81" s="997">
        <f t="shared" si="109"/>
        <v>0</v>
      </c>
      <c r="CQ81" s="997">
        <f t="shared" si="90"/>
        <v>0</v>
      </c>
      <c r="CR81" s="997">
        <f>IFERROR(VLOOKUP($B81,SchumeiBituahYesodi!$C$6:$AA$100,8,FALSE),0)</f>
        <v>0</v>
      </c>
      <c r="CS81" s="997">
        <f>IFERROR(VLOOKUP($B81,PirteiKisuiBeMutzar_procerur!$C$6:$AA$100,2,FALSE),0)</f>
        <v>0</v>
      </c>
      <c r="CT81" s="997">
        <f>IFERROR(VLOOKUP($B81,PirteiKisuiBeMutzar_procerur!$C$6:$AA$100,3,FALSE),0)</f>
        <v>0</v>
      </c>
      <c r="CU81" s="997">
        <f>IFERROR(VLOOKUP($B81,PirteiKisuiBeMutzar_procerur!$C$6:$AA$100,4,FALSE),0)</f>
        <v>0</v>
      </c>
      <c r="CV81" s="997">
        <f>IFERROR(VLOOKUP($B81,PirteiKisuiBeMutzar_procerur!$C$6:$AA$100,5,FALSE),0)</f>
        <v>0</v>
      </c>
      <c r="CW81" s="997">
        <f>IFERROR(VLOOKUP($B81,PirteiKisuiBeMutzar_procerur!$C$6:$AA$100,6,FALSE),0)</f>
        <v>0</v>
      </c>
      <c r="CX81" s="997">
        <f>IFERROR(VLOOKUP($B81,PirteiKisuiBeMutzar_procerur!$C$6:$AA$100,7,FALSE),0)</f>
        <v>0</v>
      </c>
      <c r="CY81" s="997">
        <f>IFERROR(VLOOKUP($B81,PirteiKisuiBeMutzar_procerur!$C$6:$AA$100,8,FALSE),0)</f>
        <v>0</v>
      </c>
      <c r="CZ81" s="997">
        <f>IFERROR(VLOOKUP($B81,PirteiKisuiBeMutzar_procerur!$C$6:$AA$100,9,FALSE),0)</f>
        <v>0</v>
      </c>
      <c r="DA81" s="997">
        <f>IFERROR(VLOOKUP($B81,PirteiKisuiBeMutzar_procerur!$C$6:$AA$100,10,FALSE),0)</f>
        <v>0</v>
      </c>
      <c r="DB81" s="997">
        <f>IFERROR(VLOOKUP($B81,PirteiKisuiBeMutzar_procerur!$C$6:$AA$100,11,FALSE),0)</f>
        <v>0</v>
      </c>
      <c r="DC81" s="997">
        <f>IFERROR(VLOOKUP($B81,PirteiKisuiBeMutzarPrmia!$C$6:$Z$100,2,FALSE),0)</f>
        <v>0</v>
      </c>
      <c r="DD81" s="997">
        <f>IFERROR(VLOOKUP($B81,PirteiKisuiBeMutzarPrmia!$C$6:$Z$100,3,FALSE),0)</f>
        <v>0</v>
      </c>
      <c r="DE81" s="997">
        <f>IFERROR(VLOOKUP($B81,PirteiKisuiBeMutzarPrmia!$C$6:$Z$100,4,FALSE),0)</f>
        <v>0</v>
      </c>
      <c r="DF81" s="997">
        <f>IFERROR(VLOOKUP($B81,PirteiKisuiBeMutzarPrmia!$C$6:$Z$100,5,FALSE),0)</f>
        <v>0</v>
      </c>
      <c r="DG81" s="997">
        <f>IFERROR(VLOOKUP($B81,PirteiKisuiBeMutzarPrmia!$C$6:$Z$100,6,FALSE),0)</f>
        <v>0</v>
      </c>
      <c r="DH81" s="997">
        <f>IFERROR(VLOOKUP($B81,PirteiKisuiBeMutzarPrmia!$C$6:$Z$100,7,FALSE),0)</f>
        <v>0</v>
      </c>
      <c r="DI81" s="997">
        <f>IFERROR(VLOOKUP($B81,PirteiKisuiBeMutzarPrmia!$C$6:$Z$100,8,FALSE),0)</f>
        <v>0</v>
      </c>
      <c r="DJ81" s="997">
        <f>IFERROR(VLOOKUP($B81,PirteiKisuiBeMutzarPrmia!$C$6:$Z$100,9,FALSE),0)</f>
        <v>0</v>
      </c>
      <c r="DK81" s="997">
        <f>IFERROR(VLOOKUP($B81,PirteiKisuiBeMutzarPrmia!$C$6:$Z$100,10,FALSE),0)</f>
        <v>0</v>
      </c>
      <c r="DL81" s="997">
        <f>IFERROR(VLOOKUP($B81,PirteiKisuiBeMutzarPrmia!$C$6:$Z$100,11,FALSE),0)</f>
        <v>0</v>
      </c>
      <c r="DM81" s="997">
        <f t="shared" si="110"/>
        <v>0</v>
      </c>
      <c r="DN81" s="997">
        <f t="shared" si="91"/>
        <v>0</v>
      </c>
      <c r="DO81" s="997">
        <f t="shared" si="92"/>
        <v>0</v>
      </c>
      <c r="DP81" s="997">
        <f t="shared" si="67"/>
        <v>0</v>
      </c>
      <c r="DQ81" s="997">
        <f t="shared" si="93"/>
        <v>0</v>
      </c>
      <c r="DR81" s="997">
        <f>IF(OR(L81=1,L81=3),IFERROR(VLOOKUP($B81,PerutHafkadotMetchilatShanaAvgM!$C$6:$G$100,3,FALSE),0),0)</f>
        <v>0</v>
      </c>
      <c r="DS81" s="997">
        <f>IF(OR(L81=2,L81=4),IFERROR(VLOOKUP($B81,PerutHafkadotMetchilatShanaAvgM!$C$6:$G$100,3,FALSE),0),0)</f>
        <v>0</v>
      </c>
      <c r="DT81" s="997">
        <f>IFERROR(VLOOKUP($B81,PerutHafkadotMetchilatShanaAvgM!$C$6:$G$100,4,FALSE),0)</f>
        <v>0</v>
      </c>
      <c r="DU81" s="997">
        <f>IFERROR(VLOOKUP($B81,Kupa!$D$6:$AA$100,5,FALSE),0)</f>
        <v>0</v>
      </c>
      <c r="DV81" s="997">
        <f>IFERROR(VLOOKUP($B81,Kupa!$D$6:$AA$100,6,FALSE),0)</f>
        <v>0</v>
      </c>
      <c r="DW81" s="997">
        <f>IFERROR(VLOOKUP($B81,KisuiBKerenPensiaDBWithParams!$D$6:$AP$100,9,FALSE),0)</f>
        <v>0</v>
      </c>
      <c r="DX81" s="997">
        <f>IFERROR(VLOOKUP($B81,KisuiBKerenPensiaDBWithParams!$D$6:$AP$100,12,FALSE),0)</f>
        <v>0</v>
      </c>
      <c r="DY81" s="997">
        <f>IFERROR(VLOOKUP($B81,KisuiBKerenPensiaDBWithParams!$D$6:$AP$100,13,FALSE),0)</f>
        <v>0</v>
      </c>
      <c r="DZ81" s="997">
        <f>IFERROR(VLOOKUP($B81,KisuiBKerenPensiaDBWithParams!$D$6:$AP$100,7,FALSE),0)</f>
        <v>0</v>
      </c>
      <c r="EA81" s="997">
        <f>IFERROR(VLOOKUP($B81,KisuiBKerenPensiaDBWithParams!$D$6:$AP$100,17,FALSE),0)</f>
        <v>0</v>
      </c>
      <c r="EB81" s="997">
        <f>IFERROR(VLOOKUP($B81,KisuiBKerenPensiaDBWithParams!$D$6:$AP$100,20,FALSE),0)</f>
        <v>0</v>
      </c>
      <c r="EC81" s="997">
        <f>IFERROR(VLOOKUP($B81,KisuiBKerenPensiaDBWithParams!$D$6:$AP$100,21,FALSE),0)</f>
        <v>0</v>
      </c>
      <c r="ED81" s="997">
        <f t="shared" si="111"/>
        <v>0</v>
      </c>
      <c r="EE81" s="997"/>
      <c r="EF81" s="1020">
        <f>IFERROR(VLOOKUP($B81,KisuiBKerenPensiaDBWithParams!$D$6:$AP$100,21,FALSE),0)</f>
        <v>0</v>
      </c>
      <c r="EG81" s="1020">
        <f>IFERROR(VLOOKUP($B81,KisuiBKerenPensiaDBWithParams!$D$6:$AP$100,21,FALSE),0)</f>
        <v>0</v>
      </c>
      <c r="EH81">
        <f>IF(OR(G81=MyData!$J$51,G81=MyData!$J$52,G81=MyData!$J$53),1,IF(G81=MyData!$J$50,2,0))</f>
        <v>0</v>
      </c>
      <c r="EI81">
        <f>IFERROR(VLOOKUP($B81,CrosstabPerutYitrotDB!$C$6:$N$50,3,FALSE),0)</f>
        <v>0</v>
      </c>
      <c r="EJ81">
        <f>IFERROR(VLOOKUP($B81,CrosstabPerutYitrotDB!$C$6:$N$50,4,FALSE),0)</f>
        <v>0</v>
      </c>
      <c r="EK81">
        <f>IFERROR(VLOOKUP($B81,CrosstabPerutYitrotDB!$C$6:$N$50,5,FALSE),0)</f>
        <v>0</v>
      </c>
      <c r="EL81">
        <f>IFERROR(VLOOKUP($B81,CrosstabPerutYitrotDB!$C$6:$N$50,6,FALSE),0)</f>
        <v>0</v>
      </c>
      <c r="EM81">
        <f>IFERROR(VLOOKUP($B81,CrosstabPerutYitrotDB!$C$6:$N$50,7,FALSE),0)</f>
        <v>0</v>
      </c>
      <c r="EN81">
        <f>IFERROR(VLOOKUP($B81,CrosstabPerutYitrotDB!$C$6:$N$50,8,FALSE),0)</f>
        <v>0</v>
      </c>
      <c r="EO81">
        <f>IFERROR(VLOOKUP($B81,CrosstabPerutYitrotDB!$C$6:$N$50,9,FALSE),0)</f>
        <v>0</v>
      </c>
      <c r="EP81">
        <f>IFERROR(VLOOKUP($B81,CrosstabPerutYitrotDB!$C$6:$N$50,10,FALSE),0)</f>
        <v>0</v>
      </c>
      <c r="EQ81">
        <f>IFERROR(VLOOKUP($B81,CrosstabPerutYitrotDB!$C$6:$N$50,11,FALSE),0)</f>
        <v>0</v>
      </c>
    </row>
    <row r="82" spans="1:147" x14ac:dyDescent="0.2">
      <c r="A82">
        <f t="shared" si="112"/>
        <v>0</v>
      </c>
      <c r="B82" s="20">
        <f>RicusPolice!E79</f>
        <v>0</v>
      </c>
      <c r="C82" s="20">
        <f>RicusPolice!AL79</f>
        <v>0</v>
      </c>
      <c r="D82" s="20">
        <f>RicusPolice!F79</f>
        <v>0</v>
      </c>
      <c r="E82" s="20">
        <f>RicusPolice!R79</f>
        <v>0</v>
      </c>
      <c r="F82" s="20">
        <f>RicusPolice!N79</f>
        <v>0</v>
      </c>
      <c r="G82" s="20">
        <f>IFERROR(VLOOKUP($B82,PerutYitrot!$D$6:$P$100,4,FALSE),0)</f>
        <v>0</v>
      </c>
      <c r="H82" s="20">
        <f t="shared" si="94"/>
        <v>0</v>
      </c>
      <c r="I82" s="20">
        <f>RicusPolice!L79</f>
        <v>0</v>
      </c>
      <c r="J82" s="179">
        <f>IFERROR(VLOOKUP(TRIM(K82),MyData!$J$44:$K$50,2,FALSE),0)</f>
        <v>0</v>
      </c>
      <c r="K82" s="20">
        <f>RicusPolice!M79</f>
        <v>0</v>
      </c>
      <c r="L82" s="20">
        <f>RicusPolice!AM79</f>
        <v>0</v>
      </c>
      <c r="M82" s="20" t="str">
        <f>IF(B82&gt;0,RicusPolice!Y79," ")</f>
        <v xml:space="preserve"> </v>
      </c>
      <c r="N82" s="20" t="str">
        <f t="shared" si="95"/>
        <v/>
      </c>
      <c r="O82" s="20">
        <f>RicusPolice!N79</f>
        <v>0</v>
      </c>
      <c r="P82" s="20">
        <f>IFERROR(VLOOKUP(B82,PerutMasluleiHashkaa!$D$6:$R$100,4,FALSE),0)</f>
        <v>0</v>
      </c>
      <c r="Q82" s="19"/>
      <c r="R82" s="1011" t="str">
        <f>IF(B82&gt;0,RicusPolice!P81," ")</f>
        <v xml:space="preserve"> </v>
      </c>
      <c r="S82" s="20">
        <f>IFERROR(VLOOKUP($B82,'נתונים ידניים'!$B$9:$G$51,6,FALSE),0)</f>
        <v>0</v>
      </c>
      <c r="T82" s="21">
        <f>'נתונים ידניים'!J83</f>
        <v>0</v>
      </c>
      <c r="U82" s="21">
        <f>'נתונים ידניים'!K83</f>
        <v>0</v>
      </c>
      <c r="V82" s="20">
        <f>IFERROR(VLOOKUP($B82,PerutHafrashotLePolisa!$D$6:$N$50,2,FALSE),0)</f>
        <v>0</v>
      </c>
      <c r="W82" s="20">
        <f>IFERROR(VLOOKUP($B82,PerutHafrashotLePolisa!$D$6:$N$50,4,FALSE),0)</f>
        <v>0</v>
      </c>
      <c r="X82" s="20">
        <f>IFERROR(VLOOKUP($B82,PerutHafrashotLePolisa!$D$6:$N$50,3,FALSE),0)</f>
        <v>0</v>
      </c>
      <c r="Y82">
        <f t="shared" si="96"/>
        <v>0</v>
      </c>
      <c r="Z82">
        <f>RicusPolice!AP79</f>
        <v>0</v>
      </c>
      <c r="AA82">
        <f>IFERROR(VLOOKUP(B82,PirteiHaasaka!$D$6:$R$100,5,FALSE),0)</f>
        <v>0</v>
      </c>
      <c r="AC82">
        <f>IFERROR(VLOOKUP(B82,HafkadotMetchilatShanaAverages!$D$6:$E$100,2,FALSE),0)</f>
        <v>0</v>
      </c>
      <c r="AF82">
        <f>'נתונים ידניים'!L83</f>
        <v>0</v>
      </c>
      <c r="AG82">
        <f>IFERROR(VLOOKUP(B82,CrossTabYitraLeTkufa_till_2000!$D$6:$AB$100,6,FALSE),0)+IFERROR(VLOOKUP(B82,CrossTabYitraLeTkufa_after_2000!$D$6:$AB$100,6,FALSE),0)</f>
        <v>0</v>
      </c>
      <c r="AH82">
        <f>IFERROR(VLOOKUP(B82,CrossTabYitraLeTkufa_till_2000!$D$6:$AB$100,16,FALSE),0)</f>
        <v>0</v>
      </c>
      <c r="AI82">
        <f>IFERROR(VLOOKUP(B82,CrossTabYitraLeTkufa_after_2000!$D$6:$AB$100,16,FALSE),0)</f>
        <v>0</v>
      </c>
      <c r="AJ82">
        <f>IFERROR(VLOOKUP(B82,CrossTabYitraLeTkufa_till_2000!$D$6:$AB$100,17,FALSE),0)</f>
        <v>0</v>
      </c>
      <c r="AK82">
        <f>IFERROR(VLOOKUP(B82,CrossTabYitraLeTkufa_after_2000!$D$6:$AB$100,17,FALSE),0)</f>
        <v>0</v>
      </c>
      <c r="AL82" s="5">
        <f t="shared" si="97"/>
        <v>0</v>
      </c>
      <c r="AO82">
        <f>IFERROR(VLOOKUP(B82,PirteiKisuiBeMutzar_procerur!$C$6:$AA$100,2,FALSE),0)</f>
        <v>0</v>
      </c>
      <c r="AQ82">
        <f>IFERROR(VLOOKUP($B82,PirteiKisuiBeMutzar_procerur!$C$6:$AA$100,5,FALSE),0)</f>
        <v>0</v>
      </c>
      <c r="AR82">
        <f>IFERROR(VLOOKUP($B82,PirteiKisuiBeMutzar_procerur!$C$6:$AA$100,3,FALSE),0)</f>
        <v>0</v>
      </c>
      <c r="AS82">
        <f>IFERROR(VLOOKUP($B82,PirteiKisuiBeMutzar_procerur!$C$6:$AA$100,6,FALSE),0)</f>
        <v>0</v>
      </c>
      <c r="AT82">
        <f>IFERROR(VLOOKUP($B82,PirteiKisuiBeMutzar_procerur!$C$6:$AA$100,7,FALSE),0)</f>
        <v>0</v>
      </c>
      <c r="AX82" s="997">
        <f t="shared" si="98"/>
        <v>0</v>
      </c>
      <c r="AY82" s="997">
        <f t="shared" si="99"/>
        <v>0</v>
      </c>
      <c r="AZ82" s="997">
        <f t="shared" si="100"/>
        <v>0</v>
      </c>
      <c r="BA82" s="997">
        <f>IFERROR(FV(S82/100/12,'נתוני יסוד'!$B$16*12,AX82,AG82)*(-1),0)</f>
        <v>0</v>
      </c>
      <c r="BB82" s="997">
        <f>IFERROR(FV(S82/100/12,'נתוני יסוד'!$B$16*12,0,AH82)*(-1),0)</f>
        <v>0</v>
      </c>
      <c r="BC82" s="997">
        <f>IFERROR(FV(S82/100/12,'נתוני יסוד'!$B$16*12,AY82,AI82)*(-1),0)</f>
        <v>0</v>
      </c>
      <c r="BD82" s="997">
        <f>IFERROR(FV(S82/100/12,'נתוני יסוד'!$B$16*12,0,AJ82)*(-1),0)</f>
        <v>0</v>
      </c>
      <c r="BE82" s="997">
        <f>IFERROR(FV(S82/100/12,'נתוני יסוד'!$B$16*12,AZ82,AK82)*(-1),0)</f>
        <v>0</v>
      </c>
      <c r="BF82" s="997">
        <f t="shared" si="101"/>
        <v>0</v>
      </c>
      <c r="BG82" s="997">
        <f>IFERROR(FV(S82/100/12,'נתוני יסוד'!$B$16*12,AF82,AL82)*(-1),0)</f>
        <v>0</v>
      </c>
      <c r="BH82" s="997">
        <f t="shared" si="102"/>
        <v>0</v>
      </c>
      <c r="BI82" s="997">
        <f t="shared" si="103"/>
        <v>0</v>
      </c>
      <c r="BJ82" s="997">
        <f t="shared" si="104"/>
        <v>0</v>
      </c>
      <c r="BK82" s="997">
        <f t="shared" si="105"/>
        <v>0</v>
      </c>
      <c r="BL82" s="997">
        <f t="shared" si="68"/>
        <v>0</v>
      </c>
      <c r="BM82" s="997">
        <f t="shared" si="69"/>
        <v>0</v>
      </c>
      <c r="BN82" s="997">
        <f t="shared" si="70"/>
        <v>0</v>
      </c>
      <c r="BO82" s="997">
        <f t="shared" si="106"/>
        <v>0</v>
      </c>
      <c r="BP82" s="997">
        <f t="shared" si="71"/>
        <v>0</v>
      </c>
      <c r="BS82">
        <f t="shared" si="72"/>
        <v>0</v>
      </c>
      <c r="BT82">
        <f t="shared" si="73"/>
        <v>0</v>
      </c>
      <c r="BU82">
        <f t="shared" si="74"/>
        <v>0</v>
      </c>
      <c r="BV82">
        <f t="shared" si="107"/>
        <v>0</v>
      </c>
      <c r="BW82">
        <f t="shared" si="75"/>
        <v>0</v>
      </c>
      <c r="BY82" s="997">
        <f t="shared" si="76"/>
        <v>0</v>
      </c>
      <c r="BZ82" s="997">
        <f t="shared" si="77"/>
        <v>0</v>
      </c>
      <c r="CA82" s="997">
        <f t="shared" si="78"/>
        <v>0</v>
      </c>
      <c r="CB82" s="997">
        <f t="shared" si="108"/>
        <v>0</v>
      </c>
      <c r="CC82" s="997">
        <f t="shared" si="79"/>
        <v>0</v>
      </c>
      <c r="CD82" s="997">
        <f t="shared" si="80"/>
        <v>0</v>
      </c>
      <c r="CE82" s="997">
        <f t="shared" si="81"/>
        <v>0</v>
      </c>
      <c r="CF82" s="997">
        <f t="shared" si="82"/>
        <v>0</v>
      </c>
      <c r="CG82" s="997">
        <f t="shared" si="83"/>
        <v>0</v>
      </c>
      <c r="CH82" s="997">
        <f t="shared" si="84"/>
        <v>0</v>
      </c>
      <c r="CI82" s="997">
        <f t="shared" si="85"/>
        <v>0</v>
      </c>
      <c r="CJ82" s="997">
        <f t="shared" si="86"/>
        <v>0</v>
      </c>
      <c r="CK82" s="997"/>
      <c r="CL82" s="997"/>
      <c r="CM82" s="997">
        <f t="shared" si="87"/>
        <v>0</v>
      </c>
      <c r="CN82" s="997">
        <f t="shared" si="88"/>
        <v>0</v>
      </c>
      <c r="CO82" s="997">
        <f t="shared" si="89"/>
        <v>0</v>
      </c>
      <c r="CP82" s="997">
        <f t="shared" si="109"/>
        <v>0</v>
      </c>
      <c r="CQ82" s="997">
        <f t="shared" si="90"/>
        <v>0</v>
      </c>
      <c r="CR82" s="997">
        <f>IFERROR(VLOOKUP($B82,SchumeiBituahYesodi!$C$6:$AA$100,8,FALSE),0)</f>
        <v>0</v>
      </c>
      <c r="CS82" s="997">
        <f>IFERROR(VLOOKUP($B82,PirteiKisuiBeMutzar_procerur!$C$6:$AA$100,2,FALSE),0)</f>
        <v>0</v>
      </c>
      <c r="CT82" s="997">
        <f>IFERROR(VLOOKUP($B82,PirteiKisuiBeMutzar_procerur!$C$6:$AA$100,3,FALSE),0)</f>
        <v>0</v>
      </c>
      <c r="CU82" s="997">
        <f>IFERROR(VLOOKUP($B82,PirteiKisuiBeMutzar_procerur!$C$6:$AA$100,4,FALSE),0)</f>
        <v>0</v>
      </c>
      <c r="CV82" s="997">
        <f>IFERROR(VLOOKUP($B82,PirteiKisuiBeMutzar_procerur!$C$6:$AA$100,5,FALSE),0)</f>
        <v>0</v>
      </c>
      <c r="CW82" s="997">
        <f>IFERROR(VLOOKUP($B82,PirteiKisuiBeMutzar_procerur!$C$6:$AA$100,6,FALSE),0)</f>
        <v>0</v>
      </c>
      <c r="CX82" s="997">
        <f>IFERROR(VLOOKUP($B82,PirteiKisuiBeMutzar_procerur!$C$6:$AA$100,7,FALSE),0)</f>
        <v>0</v>
      </c>
      <c r="CY82" s="997">
        <f>IFERROR(VLOOKUP($B82,PirteiKisuiBeMutzar_procerur!$C$6:$AA$100,8,FALSE),0)</f>
        <v>0</v>
      </c>
      <c r="CZ82" s="997">
        <f>IFERROR(VLOOKUP($B82,PirteiKisuiBeMutzar_procerur!$C$6:$AA$100,9,FALSE),0)</f>
        <v>0</v>
      </c>
      <c r="DA82" s="997">
        <f>IFERROR(VLOOKUP($B82,PirteiKisuiBeMutzar_procerur!$C$6:$AA$100,10,FALSE),0)</f>
        <v>0</v>
      </c>
      <c r="DB82" s="997">
        <f>IFERROR(VLOOKUP($B82,PirteiKisuiBeMutzar_procerur!$C$6:$AA$100,11,FALSE),0)</f>
        <v>0</v>
      </c>
      <c r="DC82" s="997">
        <f>IFERROR(VLOOKUP($B82,PirteiKisuiBeMutzarPrmia!$C$6:$Z$100,2,FALSE),0)</f>
        <v>0</v>
      </c>
      <c r="DD82" s="997">
        <f>IFERROR(VLOOKUP($B82,PirteiKisuiBeMutzarPrmia!$C$6:$Z$100,3,FALSE),0)</f>
        <v>0</v>
      </c>
      <c r="DE82" s="997">
        <f>IFERROR(VLOOKUP($B82,PirteiKisuiBeMutzarPrmia!$C$6:$Z$100,4,FALSE),0)</f>
        <v>0</v>
      </c>
      <c r="DF82" s="997">
        <f>IFERROR(VLOOKUP($B82,PirteiKisuiBeMutzarPrmia!$C$6:$Z$100,5,FALSE),0)</f>
        <v>0</v>
      </c>
      <c r="DG82" s="997">
        <f>IFERROR(VLOOKUP($B82,PirteiKisuiBeMutzarPrmia!$C$6:$Z$100,6,FALSE),0)</f>
        <v>0</v>
      </c>
      <c r="DH82" s="997">
        <f>IFERROR(VLOOKUP($B82,PirteiKisuiBeMutzarPrmia!$C$6:$Z$100,7,FALSE),0)</f>
        <v>0</v>
      </c>
      <c r="DI82" s="997">
        <f>IFERROR(VLOOKUP($B82,PirteiKisuiBeMutzarPrmia!$C$6:$Z$100,8,FALSE),0)</f>
        <v>0</v>
      </c>
      <c r="DJ82" s="997">
        <f>IFERROR(VLOOKUP($B82,PirteiKisuiBeMutzarPrmia!$C$6:$Z$100,9,FALSE),0)</f>
        <v>0</v>
      </c>
      <c r="DK82" s="997">
        <f>IFERROR(VLOOKUP($B82,PirteiKisuiBeMutzarPrmia!$C$6:$Z$100,10,FALSE),0)</f>
        <v>0</v>
      </c>
      <c r="DL82" s="997">
        <f>IFERROR(VLOOKUP($B82,PirteiKisuiBeMutzarPrmia!$C$6:$Z$100,11,FALSE),0)</f>
        <v>0</v>
      </c>
      <c r="DM82" s="997">
        <f t="shared" si="110"/>
        <v>0</v>
      </c>
      <c r="DN82" s="997">
        <f t="shared" si="91"/>
        <v>0</v>
      </c>
      <c r="DO82" s="997">
        <f t="shared" si="92"/>
        <v>0</v>
      </c>
      <c r="DP82" s="997">
        <f t="shared" si="67"/>
        <v>0</v>
      </c>
      <c r="DQ82" s="997">
        <f t="shared" si="93"/>
        <v>0</v>
      </c>
      <c r="DR82" s="997">
        <f>IF(OR(L82=1,L82=3),IFERROR(VLOOKUP($B82,PerutHafkadotMetchilatShanaAvgM!$C$6:$G$100,3,FALSE),0),0)</f>
        <v>0</v>
      </c>
      <c r="DS82" s="997">
        <f>IF(OR(L82=2,L82=4),IFERROR(VLOOKUP($B82,PerutHafkadotMetchilatShanaAvgM!$C$6:$G$100,3,FALSE),0),0)</f>
        <v>0</v>
      </c>
      <c r="DT82" s="997">
        <f>IFERROR(VLOOKUP($B82,PerutHafkadotMetchilatShanaAvgM!$C$6:$G$100,4,FALSE),0)</f>
        <v>0</v>
      </c>
      <c r="DU82" s="997">
        <f>IFERROR(VLOOKUP($B82,Kupa!$D$6:$AA$100,5,FALSE),0)</f>
        <v>0</v>
      </c>
      <c r="DV82" s="997">
        <f>IFERROR(VLOOKUP($B82,Kupa!$D$6:$AA$100,6,FALSE),0)</f>
        <v>0</v>
      </c>
      <c r="DW82" s="997">
        <f>IFERROR(VLOOKUP($B82,KisuiBKerenPensiaDBWithParams!$D$6:$AP$100,9,FALSE),0)</f>
        <v>0</v>
      </c>
      <c r="DX82" s="997">
        <f>IFERROR(VLOOKUP($B82,KisuiBKerenPensiaDBWithParams!$D$6:$AP$100,12,FALSE),0)</f>
        <v>0</v>
      </c>
      <c r="DY82" s="997">
        <f>IFERROR(VLOOKUP($B82,KisuiBKerenPensiaDBWithParams!$D$6:$AP$100,13,FALSE),0)</f>
        <v>0</v>
      </c>
      <c r="DZ82" s="997">
        <f>IFERROR(VLOOKUP($B82,KisuiBKerenPensiaDBWithParams!$D$6:$AP$100,7,FALSE),0)</f>
        <v>0</v>
      </c>
      <c r="EA82" s="997">
        <f>IFERROR(VLOOKUP($B82,KisuiBKerenPensiaDBWithParams!$D$6:$AP$100,17,FALSE),0)</f>
        <v>0</v>
      </c>
      <c r="EB82" s="997">
        <f>IFERROR(VLOOKUP($B82,KisuiBKerenPensiaDBWithParams!$D$6:$AP$100,20,FALSE),0)</f>
        <v>0</v>
      </c>
      <c r="EC82" s="997">
        <f>IFERROR(VLOOKUP($B82,KisuiBKerenPensiaDBWithParams!$D$6:$AP$100,21,FALSE),0)</f>
        <v>0</v>
      </c>
      <c r="ED82" s="997">
        <f t="shared" si="111"/>
        <v>0</v>
      </c>
      <c r="EE82" s="997"/>
      <c r="EF82" s="1020">
        <f>IFERROR(VLOOKUP($B82,KisuiBKerenPensiaDBWithParams!$D$6:$AP$100,21,FALSE),0)</f>
        <v>0</v>
      </c>
      <c r="EG82" s="1020">
        <f>IFERROR(VLOOKUP($B82,KisuiBKerenPensiaDBWithParams!$D$6:$AP$100,21,FALSE),0)</f>
        <v>0</v>
      </c>
      <c r="EH82">
        <f>IF(OR(G82=MyData!$J$51,G82=MyData!$J$52,G82=MyData!$J$53),1,IF(G82=MyData!$J$50,2,0))</f>
        <v>0</v>
      </c>
      <c r="EI82">
        <f>IFERROR(VLOOKUP($B82,CrosstabPerutYitrotDB!$C$6:$N$50,3,FALSE),0)</f>
        <v>0</v>
      </c>
      <c r="EJ82">
        <f>IFERROR(VLOOKUP($B82,CrosstabPerutYitrotDB!$C$6:$N$50,4,FALSE),0)</f>
        <v>0</v>
      </c>
      <c r="EK82">
        <f>IFERROR(VLOOKUP($B82,CrosstabPerutYitrotDB!$C$6:$N$50,5,FALSE),0)</f>
        <v>0</v>
      </c>
      <c r="EL82">
        <f>IFERROR(VLOOKUP($B82,CrosstabPerutYitrotDB!$C$6:$N$50,6,FALSE),0)</f>
        <v>0</v>
      </c>
      <c r="EM82">
        <f>IFERROR(VLOOKUP($B82,CrosstabPerutYitrotDB!$C$6:$N$50,7,FALSE),0)</f>
        <v>0</v>
      </c>
      <c r="EN82">
        <f>IFERROR(VLOOKUP($B82,CrosstabPerutYitrotDB!$C$6:$N$50,8,FALSE),0)</f>
        <v>0</v>
      </c>
      <c r="EO82">
        <f>IFERROR(VLOOKUP($B82,CrosstabPerutYitrotDB!$C$6:$N$50,9,FALSE),0)</f>
        <v>0</v>
      </c>
      <c r="EP82">
        <f>IFERROR(VLOOKUP($B82,CrosstabPerutYitrotDB!$C$6:$N$50,10,FALSE),0)</f>
        <v>0</v>
      </c>
      <c r="EQ82">
        <f>IFERROR(VLOOKUP($B82,CrosstabPerutYitrotDB!$C$6:$N$50,11,FALSE),0)</f>
        <v>0</v>
      </c>
    </row>
    <row r="83" spans="1:147" x14ac:dyDescent="0.2">
      <c r="A83">
        <f t="shared" si="112"/>
        <v>0</v>
      </c>
      <c r="B83" s="20">
        <f>RicusPolice!E80</f>
        <v>0</v>
      </c>
      <c r="C83" s="20">
        <f>RicusPolice!AL80</f>
        <v>0</v>
      </c>
      <c r="D83" s="20">
        <f>RicusPolice!F80</f>
        <v>0</v>
      </c>
      <c r="E83" s="20">
        <f>RicusPolice!R80</f>
        <v>0</v>
      </c>
      <c r="F83" s="20">
        <f>RicusPolice!N80</f>
        <v>0</v>
      </c>
      <c r="G83" s="20">
        <f>IFERROR(VLOOKUP($B83,PerutYitrot!$D$6:$P$100,4,FALSE),0)</f>
        <v>0</v>
      </c>
      <c r="H83" s="20">
        <f t="shared" si="94"/>
        <v>0</v>
      </c>
      <c r="I83" s="20">
        <f>RicusPolice!L80</f>
        <v>0</v>
      </c>
      <c r="J83" s="179">
        <f>IFERROR(VLOOKUP(TRIM(K83),MyData!$J$44:$K$50,2,FALSE),0)</f>
        <v>0</v>
      </c>
      <c r="K83" s="20">
        <f>RicusPolice!M80</f>
        <v>0</v>
      </c>
      <c r="L83" s="20">
        <f>RicusPolice!AM80</f>
        <v>0</v>
      </c>
      <c r="M83" s="20" t="str">
        <f>IF(B83&gt;0,RicusPolice!Y80," ")</f>
        <v xml:space="preserve"> </v>
      </c>
      <c r="N83" s="20" t="str">
        <f t="shared" si="95"/>
        <v/>
      </c>
      <c r="O83" s="20">
        <f>RicusPolice!N80</f>
        <v>0</v>
      </c>
      <c r="P83" s="20">
        <f>IFERROR(VLOOKUP(B83,PerutMasluleiHashkaa!$D$6:$R$100,4,FALSE),0)</f>
        <v>0</v>
      </c>
      <c r="Q83" s="19"/>
      <c r="R83" s="1011" t="str">
        <f>IF(B83&gt;0,RicusPolice!P82," ")</f>
        <v xml:space="preserve"> </v>
      </c>
      <c r="S83" s="20">
        <f>IFERROR(VLOOKUP($B83,'נתונים ידניים'!$B$9:$G$51,6,FALSE),0)</f>
        <v>0</v>
      </c>
      <c r="T83" s="21">
        <f>'נתונים ידניים'!J84</f>
        <v>0</v>
      </c>
      <c r="U83" s="21">
        <f>'נתונים ידניים'!K84</f>
        <v>0</v>
      </c>
      <c r="V83" s="20">
        <f>IFERROR(VLOOKUP($B83,PerutHafrashotLePolisa!$D$6:$N$50,2,FALSE),0)</f>
        <v>0</v>
      </c>
      <c r="W83" s="20">
        <f>IFERROR(VLOOKUP($B83,PerutHafrashotLePolisa!$D$6:$N$50,4,FALSE),0)</f>
        <v>0</v>
      </c>
      <c r="X83" s="20">
        <f>IFERROR(VLOOKUP($B83,PerutHafrashotLePolisa!$D$6:$N$50,3,FALSE),0)</f>
        <v>0</v>
      </c>
      <c r="Y83">
        <f t="shared" si="96"/>
        <v>0</v>
      </c>
      <c r="Z83">
        <f>RicusPolice!AP80</f>
        <v>0</v>
      </c>
      <c r="AA83">
        <f>IFERROR(VLOOKUP(B83,PirteiHaasaka!$D$6:$R$100,5,FALSE),0)</f>
        <v>0</v>
      </c>
      <c r="AC83">
        <f>IFERROR(VLOOKUP(B83,HafkadotMetchilatShanaAverages!$D$6:$E$100,2,FALSE),0)</f>
        <v>0</v>
      </c>
      <c r="AF83">
        <f>'נתונים ידניים'!L84</f>
        <v>0</v>
      </c>
      <c r="AG83">
        <f>IFERROR(VLOOKUP(B83,CrossTabYitraLeTkufa_till_2000!$D$6:$AB$100,6,FALSE),0)+IFERROR(VLOOKUP(B83,CrossTabYitraLeTkufa_after_2000!$D$6:$AB$100,6,FALSE),0)</f>
        <v>0</v>
      </c>
      <c r="AH83">
        <f>IFERROR(VLOOKUP(B83,CrossTabYitraLeTkufa_till_2000!$D$6:$AB$100,16,FALSE),0)</f>
        <v>0</v>
      </c>
      <c r="AI83">
        <f>IFERROR(VLOOKUP(B83,CrossTabYitraLeTkufa_after_2000!$D$6:$AB$100,16,FALSE),0)</f>
        <v>0</v>
      </c>
      <c r="AJ83">
        <f>IFERROR(VLOOKUP(B83,CrossTabYitraLeTkufa_till_2000!$D$6:$AB$100,17,FALSE),0)</f>
        <v>0</v>
      </c>
      <c r="AK83">
        <f>IFERROR(VLOOKUP(B83,CrossTabYitraLeTkufa_after_2000!$D$6:$AB$100,17,FALSE),0)</f>
        <v>0</v>
      </c>
      <c r="AL83" s="5">
        <f t="shared" si="97"/>
        <v>0</v>
      </c>
      <c r="AO83">
        <f>IFERROR(VLOOKUP(B83,PirteiKisuiBeMutzar_procerur!$C$6:$AA$100,2,FALSE),0)</f>
        <v>0</v>
      </c>
      <c r="AQ83">
        <f>IFERROR(VLOOKUP($B83,PirteiKisuiBeMutzar_procerur!$C$6:$AA$100,5,FALSE),0)</f>
        <v>0</v>
      </c>
      <c r="AR83">
        <f>IFERROR(VLOOKUP($B83,PirteiKisuiBeMutzar_procerur!$C$6:$AA$100,3,FALSE),0)</f>
        <v>0</v>
      </c>
      <c r="AS83">
        <f>IFERROR(VLOOKUP($B83,PirteiKisuiBeMutzar_procerur!$C$6:$AA$100,6,FALSE),0)</f>
        <v>0</v>
      </c>
      <c r="AT83">
        <f>IFERROR(VLOOKUP($B83,PirteiKisuiBeMutzar_procerur!$C$6:$AA$100,7,FALSE),0)</f>
        <v>0</v>
      </c>
      <c r="AX83" s="997">
        <f t="shared" si="98"/>
        <v>0</v>
      </c>
      <c r="AY83" s="997">
        <f t="shared" si="99"/>
        <v>0</v>
      </c>
      <c r="AZ83" s="997">
        <f t="shared" si="100"/>
        <v>0</v>
      </c>
      <c r="BA83" s="997">
        <f>IFERROR(FV(S83/100/12,'נתוני יסוד'!$B$16*12,AX83,AG83)*(-1),0)</f>
        <v>0</v>
      </c>
      <c r="BB83" s="997">
        <f>IFERROR(FV(S83/100/12,'נתוני יסוד'!$B$16*12,0,AH83)*(-1),0)</f>
        <v>0</v>
      </c>
      <c r="BC83" s="997">
        <f>IFERROR(FV(S83/100/12,'נתוני יסוד'!$B$16*12,AY83,AI83)*(-1),0)</f>
        <v>0</v>
      </c>
      <c r="BD83" s="997">
        <f>IFERROR(FV(S83/100/12,'נתוני יסוד'!$B$16*12,0,AJ83)*(-1),0)</f>
        <v>0</v>
      </c>
      <c r="BE83" s="997">
        <f>IFERROR(FV(S83/100/12,'נתוני יסוד'!$B$16*12,AZ83,AK83)*(-1),0)</f>
        <v>0</v>
      </c>
      <c r="BF83" s="997">
        <f t="shared" si="101"/>
        <v>0</v>
      </c>
      <c r="BG83" s="997">
        <f>IFERROR(FV(S83/100/12,'נתוני יסוד'!$B$16*12,AF83,AL83)*(-1),0)</f>
        <v>0</v>
      </c>
      <c r="BH83" s="997">
        <f t="shared" si="102"/>
        <v>0</v>
      </c>
      <c r="BI83" s="997">
        <f t="shared" si="103"/>
        <v>0</v>
      </c>
      <c r="BJ83" s="997">
        <f t="shared" si="104"/>
        <v>0</v>
      </c>
      <c r="BK83" s="997">
        <f t="shared" si="105"/>
        <v>0</v>
      </c>
      <c r="BL83" s="997">
        <f t="shared" si="68"/>
        <v>0</v>
      </c>
      <c r="BM83" s="997">
        <f t="shared" si="69"/>
        <v>0</v>
      </c>
      <c r="BN83" s="997">
        <f t="shared" si="70"/>
        <v>0</v>
      </c>
      <c r="BO83" s="997">
        <f t="shared" si="106"/>
        <v>0</v>
      </c>
      <c r="BP83" s="997">
        <f t="shared" si="71"/>
        <v>0</v>
      </c>
      <c r="BS83">
        <f t="shared" si="72"/>
        <v>0</v>
      </c>
      <c r="BT83">
        <f t="shared" si="73"/>
        <v>0</v>
      </c>
      <c r="BU83">
        <f t="shared" si="74"/>
        <v>0</v>
      </c>
      <c r="BV83">
        <f t="shared" si="107"/>
        <v>0</v>
      </c>
      <c r="BW83">
        <f t="shared" si="75"/>
        <v>0</v>
      </c>
      <c r="BY83" s="997">
        <f t="shared" si="76"/>
        <v>0</v>
      </c>
      <c r="BZ83" s="997">
        <f t="shared" si="77"/>
        <v>0</v>
      </c>
      <c r="CA83" s="997">
        <f t="shared" si="78"/>
        <v>0</v>
      </c>
      <c r="CB83" s="997">
        <f t="shared" si="108"/>
        <v>0</v>
      </c>
      <c r="CC83" s="997">
        <f t="shared" si="79"/>
        <v>0</v>
      </c>
      <c r="CD83" s="997">
        <f t="shared" si="80"/>
        <v>0</v>
      </c>
      <c r="CE83" s="997">
        <f t="shared" si="81"/>
        <v>0</v>
      </c>
      <c r="CF83" s="997">
        <f t="shared" si="82"/>
        <v>0</v>
      </c>
      <c r="CG83" s="997">
        <f t="shared" si="83"/>
        <v>0</v>
      </c>
      <c r="CH83" s="997">
        <f t="shared" si="84"/>
        <v>0</v>
      </c>
      <c r="CI83" s="997">
        <f t="shared" si="85"/>
        <v>0</v>
      </c>
      <c r="CJ83" s="997">
        <f t="shared" si="86"/>
        <v>0</v>
      </c>
      <c r="CK83" s="997"/>
      <c r="CL83" s="997"/>
      <c r="CM83" s="997">
        <f t="shared" si="87"/>
        <v>0</v>
      </c>
      <c r="CN83" s="997">
        <f t="shared" si="88"/>
        <v>0</v>
      </c>
      <c r="CO83" s="997">
        <f t="shared" si="89"/>
        <v>0</v>
      </c>
      <c r="CP83" s="997">
        <f t="shared" si="109"/>
        <v>0</v>
      </c>
      <c r="CQ83" s="997">
        <f t="shared" si="90"/>
        <v>0</v>
      </c>
      <c r="CR83" s="997">
        <f>IFERROR(VLOOKUP($B83,SchumeiBituahYesodi!$C$6:$AA$100,8,FALSE),0)</f>
        <v>0</v>
      </c>
      <c r="CS83" s="997">
        <f>IFERROR(VLOOKUP($B83,PirteiKisuiBeMutzar_procerur!$C$6:$AA$100,2,FALSE),0)</f>
        <v>0</v>
      </c>
      <c r="CT83" s="997">
        <f>IFERROR(VLOOKUP($B83,PirteiKisuiBeMutzar_procerur!$C$6:$AA$100,3,FALSE),0)</f>
        <v>0</v>
      </c>
      <c r="CU83" s="997">
        <f>IFERROR(VLOOKUP($B83,PirteiKisuiBeMutzar_procerur!$C$6:$AA$100,4,FALSE),0)</f>
        <v>0</v>
      </c>
      <c r="CV83" s="997">
        <f>IFERROR(VLOOKUP($B83,PirteiKisuiBeMutzar_procerur!$C$6:$AA$100,5,FALSE),0)</f>
        <v>0</v>
      </c>
      <c r="CW83" s="997">
        <f>IFERROR(VLOOKUP($B83,PirteiKisuiBeMutzar_procerur!$C$6:$AA$100,6,FALSE),0)</f>
        <v>0</v>
      </c>
      <c r="CX83" s="997">
        <f>IFERROR(VLOOKUP($B83,PirteiKisuiBeMutzar_procerur!$C$6:$AA$100,7,FALSE),0)</f>
        <v>0</v>
      </c>
      <c r="CY83" s="997">
        <f>IFERROR(VLOOKUP($B83,PirteiKisuiBeMutzar_procerur!$C$6:$AA$100,8,FALSE),0)</f>
        <v>0</v>
      </c>
      <c r="CZ83" s="997">
        <f>IFERROR(VLOOKUP($B83,PirteiKisuiBeMutzar_procerur!$C$6:$AA$100,9,FALSE),0)</f>
        <v>0</v>
      </c>
      <c r="DA83" s="997">
        <f>IFERROR(VLOOKUP($B83,PirteiKisuiBeMutzar_procerur!$C$6:$AA$100,10,FALSE),0)</f>
        <v>0</v>
      </c>
      <c r="DB83" s="997">
        <f>IFERROR(VLOOKUP($B83,PirteiKisuiBeMutzar_procerur!$C$6:$AA$100,11,FALSE),0)</f>
        <v>0</v>
      </c>
      <c r="DC83" s="997">
        <f>IFERROR(VLOOKUP($B83,PirteiKisuiBeMutzarPrmia!$C$6:$Z$100,2,FALSE),0)</f>
        <v>0</v>
      </c>
      <c r="DD83" s="997">
        <f>IFERROR(VLOOKUP($B83,PirteiKisuiBeMutzarPrmia!$C$6:$Z$100,3,FALSE),0)</f>
        <v>0</v>
      </c>
      <c r="DE83" s="997">
        <f>IFERROR(VLOOKUP($B83,PirteiKisuiBeMutzarPrmia!$C$6:$Z$100,4,FALSE),0)</f>
        <v>0</v>
      </c>
      <c r="DF83" s="997">
        <f>IFERROR(VLOOKUP($B83,PirteiKisuiBeMutzarPrmia!$C$6:$Z$100,5,FALSE),0)</f>
        <v>0</v>
      </c>
      <c r="DG83" s="997">
        <f>IFERROR(VLOOKUP($B83,PirteiKisuiBeMutzarPrmia!$C$6:$Z$100,6,FALSE),0)</f>
        <v>0</v>
      </c>
      <c r="DH83" s="997">
        <f>IFERROR(VLOOKUP($B83,PirteiKisuiBeMutzarPrmia!$C$6:$Z$100,7,FALSE),0)</f>
        <v>0</v>
      </c>
      <c r="DI83" s="997">
        <f>IFERROR(VLOOKUP($B83,PirteiKisuiBeMutzarPrmia!$C$6:$Z$100,8,FALSE),0)</f>
        <v>0</v>
      </c>
      <c r="DJ83" s="997">
        <f>IFERROR(VLOOKUP($B83,PirteiKisuiBeMutzarPrmia!$C$6:$Z$100,9,FALSE),0)</f>
        <v>0</v>
      </c>
      <c r="DK83" s="997">
        <f>IFERROR(VLOOKUP($B83,PirteiKisuiBeMutzarPrmia!$C$6:$Z$100,10,FALSE),0)</f>
        <v>0</v>
      </c>
      <c r="DL83" s="997">
        <f>IFERROR(VLOOKUP($B83,PirteiKisuiBeMutzarPrmia!$C$6:$Z$100,11,FALSE),0)</f>
        <v>0</v>
      </c>
      <c r="DM83" s="997">
        <f t="shared" si="110"/>
        <v>0</v>
      </c>
      <c r="DN83" s="997">
        <f t="shared" si="91"/>
        <v>0</v>
      </c>
      <c r="DO83" s="997">
        <f t="shared" si="92"/>
        <v>0</v>
      </c>
      <c r="DP83" s="997">
        <f t="shared" si="67"/>
        <v>0</v>
      </c>
      <c r="DQ83" s="997">
        <f t="shared" si="93"/>
        <v>0</v>
      </c>
      <c r="DR83" s="997">
        <f>IF(OR(L83=1,L83=3),IFERROR(VLOOKUP($B83,PerutHafkadotMetchilatShanaAvgM!$C$6:$G$100,3,FALSE),0),0)</f>
        <v>0</v>
      </c>
      <c r="DS83" s="997">
        <f>IF(OR(L83=2,L83=4),IFERROR(VLOOKUP($B83,PerutHafkadotMetchilatShanaAvgM!$C$6:$G$100,3,FALSE),0),0)</f>
        <v>0</v>
      </c>
      <c r="DT83" s="997">
        <f>IFERROR(VLOOKUP($B83,PerutHafkadotMetchilatShanaAvgM!$C$6:$G$100,4,FALSE),0)</f>
        <v>0</v>
      </c>
      <c r="DU83" s="997">
        <f>IFERROR(VLOOKUP($B83,Kupa!$D$6:$AA$100,5,FALSE),0)</f>
        <v>0</v>
      </c>
      <c r="DV83" s="997">
        <f>IFERROR(VLOOKUP($B83,Kupa!$D$6:$AA$100,6,FALSE),0)</f>
        <v>0</v>
      </c>
      <c r="DW83" s="997">
        <f>IFERROR(VLOOKUP($B83,KisuiBKerenPensiaDBWithParams!$D$6:$AP$100,9,FALSE),0)</f>
        <v>0</v>
      </c>
      <c r="DX83" s="997">
        <f>IFERROR(VLOOKUP($B83,KisuiBKerenPensiaDBWithParams!$D$6:$AP$100,12,FALSE),0)</f>
        <v>0</v>
      </c>
      <c r="DY83" s="997">
        <f>IFERROR(VLOOKUP($B83,KisuiBKerenPensiaDBWithParams!$D$6:$AP$100,13,FALSE),0)</f>
        <v>0</v>
      </c>
      <c r="DZ83" s="997">
        <f>IFERROR(VLOOKUP($B83,KisuiBKerenPensiaDBWithParams!$D$6:$AP$100,7,FALSE),0)</f>
        <v>0</v>
      </c>
      <c r="EA83" s="997">
        <f>IFERROR(VLOOKUP($B83,KisuiBKerenPensiaDBWithParams!$D$6:$AP$100,17,FALSE),0)</f>
        <v>0</v>
      </c>
      <c r="EB83" s="997">
        <f>IFERROR(VLOOKUP($B83,KisuiBKerenPensiaDBWithParams!$D$6:$AP$100,20,FALSE),0)</f>
        <v>0</v>
      </c>
      <c r="EC83" s="997">
        <f>IFERROR(VLOOKUP($B83,KisuiBKerenPensiaDBWithParams!$D$6:$AP$100,21,FALSE),0)</f>
        <v>0</v>
      </c>
      <c r="ED83" s="997">
        <f t="shared" si="111"/>
        <v>0</v>
      </c>
      <c r="EE83" s="997"/>
      <c r="EF83" s="1020">
        <f>IFERROR(VLOOKUP($B83,KisuiBKerenPensiaDBWithParams!$D$6:$AP$100,21,FALSE),0)</f>
        <v>0</v>
      </c>
      <c r="EG83" s="1020">
        <f>IFERROR(VLOOKUP($B83,KisuiBKerenPensiaDBWithParams!$D$6:$AP$100,21,FALSE),0)</f>
        <v>0</v>
      </c>
      <c r="EH83">
        <f>IF(OR(G83=MyData!$J$51,G83=MyData!$J$52,G83=MyData!$J$53),1,IF(G83=MyData!$J$50,2,0))</f>
        <v>0</v>
      </c>
      <c r="EI83">
        <f>IFERROR(VLOOKUP($B83,CrosstabPerutYitrotDB!$C$6:$N$50,3,FALSE),0)</f>
        <v>0</v>
      </c>
      <c r="EJ83">
        <f>IFERROR(VLOOKUP($B83,CrosstabPerutYitrotDB!$C$6:$N$50,4,FALSE),0)</f>
        <v>0</v>
      </c>
      <c r="EK83">
        <f>IFERROR(VLOOKUP($B83,CrosstabPerutYitrotDB!$C$6:$N$50,5,FALSE),0)</f>
        <v>0</v>
      </c>
      <c r="EL83">
        <f>IFERROR(VLOOKUP($B83,CrosstabPerutYitrotDB!$C$6:$N$50,6,FALSE),0)</f>
        <v>0</v>
      </c>
      <c r="EM83">
        <f>IFERROR(VLOOKUP($B83,CrosstabPerutYitrotDB!$C$6:$N$50,7,FALSE),0)</f>
        <v>0</v>
      </c>
      <c r="EN83">
        <f>IFERROR(VLOOKUP($B83,CrosstabPerutYitrotDB!$C$6:$N$50,8,FALSE),0)</f>
        <v>0</v>
      </c>
      <c r="EO83">
        <f>IFERROR(VLOOKUP($B83,CrosstabPerutYitrotDB!$C$6:$N$50,9,FALSE),0)</f>
        <v>0</v>
      </c>
      <c r="EP83">
        <f>IFERROR(VLOOKUP($B83,CrosstabPerutYitrotDB!$C$6:$N$50,10,FALSE),0)</f>
        <v>0</v>
      </c>
      <c r="EQ83">
        <f>IFERROR(VLOOKUP($B83,CrosstabPerutYitrotDB!$C$6:$N$50,11,FALSE),0)</f>
        <v>0</v>
      </c>
    </row>
    <row r="84" spans="1:147" x14ac:dyDescent="0.2">
      <c r="A84">
        <f t="shared" si="112"/>
        <v>0</v>
      </c>
      <c r="B84" s="20">
        <f>RicusPolice!E81</f>
        <v>0</v>
      </c>
      <c r="C84" s="20">
        <f>RicusPolice!AL81</f>
        <v>0</v>
      </c>
      <c r="D84" s="20">
        <f>RicusPolice!F81</f>
        <v>0</v>
      </c>
      <c r="E84" s="20">
        <f>RicusPolice!R81</f>
        <v>0</v>
      </c>
      <c r="F84" s="20">
        <f>RicusPolice!N81</f>
        <v>0</v>
      </c>
      <c r="G84" s="20">
        <f>IFERROR(VLOOKUP($B84,PerutYitrot!$D$6:$P$100,4,FALSE),0)</f>
        <v>0</v>
      </c>
      <c r="H84" s="20">
        <f t="shared" si="94"/>
        <v>0</v>
      </c>
      <c r="I84" s="20">
        <f>RicusPolice!L81</f>
        <v>0</v>
      </c>
      <c r="J84" s="179">
        <f>IFERROR(VLOOKUP(TRIM(K84),MyData!$J$44:$K$50,2,FALSE),0)</f>
        <v>0</v>
      </c>
      <c r="K84" s="20">
        <f>RicusPolice!M81</f>
        <v>0</v>
      </c>
      <c r="L84" s="20">
        <f>RicusPolice!AM81</f>
        <v>0</v>
      </c>
      <c r="M84" s="20" t="str">
        <f>IF(B84&gt;0,RicusPolice!Y81," ")</f>
        <v xml:space="preserve"> </v>
      </c>
      <c r="N84" s="20" t="str">
        <f t="shared" si="95"/>
        <v/>
      </c>
      <c r="O84" s="20">
        <f>RicusPolice!N81</f>
        <v>0</v>
      </c>
      <c r="P84" s="20">
        <f>IFERROR(VLOOKUP(B84,PerutMasluleiHashkaa!$D$6:$R$100,4,FALSE),0)</f>
        <v>0</v>
      </c>
      <c r="Q84" s="19"/>
      <c r="R84" s="1011" t="str">
        <f>IF(B84&gt;0,RicusPolice!P83," ")</f>
        <v xml:space="preserve"> </v>
      </c>
      <c r="S84" s="20">
        <f>IFERROR(VLOOKUP($B84,'נתונים ידניים'!$B$9:$G$51,6,FALSE),0)</f>
        <v>0</v>
      </c>
      <c r="T84" s="21">
        <f>'נתונים ידניים'!J85</f>
        <v>0</v>
      </c>
      <c r="U84" s="21">
        <f>'נתונים ידניים'!K85</f>
        <v>0</v>
      </c>
      <c r="V84" s="20">
        <f>IFERROR(VLOOKUP($B84,PerutHafrashotLePolisa!$D$6:$N$50,2,FALSE),0)</f>
        <v>0</v>
      </c>
      <c r="W84" s="20">
        <f>IFERROR(VLOOKUP($B84,PerutHafrashotLePolisa!$D$6:$N$50,4,FALSE),0)</f>
        <v>0</v>
      </c>
      <c r="X84" s="20">
        <f>IFERROR(VLOOKUP($B84,PerutHafrashotLePolisa!$D$6:$N$50,3,FALSE),0)</f>
        <v>0</v>
      </c>
      <c r="Y84">
        <f t="shared" si="96"/>
        <v>0</v>
      </c>
      <c r="Z84">
        <f>RicusPolice!AP81</f>
        <v>0</v>
      </c>
      <c r="AA84">
        <f>IFERROR(VLOOKUP(B84,PirteiHaasaka!$D$6:$R$100,5,FALSE),0)</f>
        <v>0</v>
      </c>
      <c r="AC84">
        <f>IFERROR(VLOOKUP(B84,HafkadotMetchilatShanaAverages!$D$6:$E$100,2,FALSE),0)</f>
        <v>0</v>
      </c>
      <c r="AF84">
        <f>'נתונים ידניים'!L85</f>
        <v>0</v>
      </c>
      <c r="AG84">
        <f>IFERROR(VLOOKUP(B84,CrossTabYitraLeTkufa_till_2000!$D$6:$AB$100,6,FALSE),0)+IFERROR(VLOOKUP(B84,CrossTabYitraLeTkufa_after_2000!$D$6:$AB$100,6,FALSE),0)</f>
        <v>0</v>
      </c>
      <c r="AH84">
        <f>IFERROR(VLOOKUP(B84,CrossTabYitraLeTkufa_till_2000!$D$6:$AB$100,16,FALSE),0)</f>
        <v>0</v>
      </c>
      <c r="AI84">
        <f>IFERROR(VLOOKUP(B84,CrossTabYitraLeTkufa_after_2000!$D$6:$AB$100,16,FALSE),0)</f>
        <v>0</v>
      </c>
      <c r="AJ84">
        <f>IFERROR(VLOOKUP(B84,CrossTabYitraLeTkufa_till_2000!$D$6:$AB$100,17,FALSE),0)</f>
        <v>0</v>
      </c>
      <c r="AK84">
        <f>IFERROR(VLOOKUP(B84,CrossTabYitraLeTkufa_after_2000!$D$6:$AB$100,17,FALSE),0)</f>
        <v>0</v>
      </c>
      <c r="AL84" s="5">
        <f t="shared" si="97"/>
        <v>0</v>
      </c>
      <c r="AO84">
        <f>IFERROR(VLOOKUP(B84,PirteiKisuiBeMutzar_procerur!$C$6:$AA$100,2,FALSE),0)</f>
        <v>0</v>
      </c>
      <c r="AQ84">
        <f>IFERROR(VLOOKUP($B84,PirteiKisuiBeMutzar_procerur!$C$6:$AA$100,5,FALSE),0)</f>
        <v>0</v>
      </c>
      <c r="AR84">
        <f>IFERROR(VLOOKUP($B84,PirteiKisuiBeMutzar_procerur!$C$6:$AA$100,3,FALSE),0)</f>
        <v>0</v>
      </c>
      <c r="AS84">
        <f>IFERROR(VLOOKUP($B84,PirteiKisuiBeMutzar_procerur!$C$6:$AA$100,6,FALSE),0)</f>
        <v>0</v>
      </c>
      <c r="AT84">
        <f>IFERROR(VLOOKUP($B84,PirteiKisuiBeMutzar_procerur!$C$6:$AA$100,7,FALSE),0)</f>
        <v>0</v>
      </c>
      <c r="AX84" s="997">
        <f t="shared" si="98"/>
        <v>0</v>
      </c>
      <c r="AY84" s="997">
        <f t="shared" si="99"/>
        <v>0</v>
      </c>
      <c r="AZ84" s="997">
        <f t="shared" si="100"/>
        <v>0</v>
      </c>
      <c r="BA84" s="997">
        <f>IFERROR(FV(S84/100/12,'נתוני יסוד'!$B$16*12,AX84,AG84)*(-1),0)</f>
        <v>0</v>
      </c>
      <c r="BB84" s="997">
        <f>IFERROR(FV(S84/100/12,'נתוני יסוד'!$B$16*12,0,AH84)*(-1),0)</f>
        <v>0</v>
      </c>
      <c r="BC84" s="997">
        <f>IFERROR(FV(S84/100/12,'נתוני יסוד'!$B$16*12,AY84,AI84)*(-1),0)</f>
        <v>0</v>
      </c>
      <c r="BD84" s="997">
        <f>IFERROR(FV(S84/100/12,'נתוני יסוד'!$B$16*12,0,AJ84)*(-1),0)</f>
        <v>0</v>
      </c>
      <c r="BE84" s="997">
        <f>IFERROR(FV(S84/100/12,'נתוני יסוד'!$B$16*12,AZ84,AK84)*(-1),0)</f>
        <v>0</v>
      </c>
      <c r="BF84" s="997">
        <f t="shared" si="101"/>
        <v>0</v>
      </c>
      <c r="BG84" s="997">
        <f>IFERROR(FV(S84/100/12,'נתוני יסוד'!$B$16*12,AF84,AL84)*(-1),0)</f>
        <v>0</v>
      </c>
      <c r="BH84" s="997">
        <f t="shared" si="102"/>
        <v>0</v>
      </c>
      <c r="BI84" s="997">
        <f t="shared" si="103"/>
        <v>0</v>
      </c>
      <c r="BJ84" s="997">
        <f t="shared" si="104"/>
        <v>0</v>
      </c>
      <c r="BK84" s="997">
        <f t="shared" si="105"/>
        <v>0</v>
      </c>
      <c r="BL84" s="997">
        <f t="shared" si="68"/>
        <v>0</v>
      </c>
      <c r="BM84" s="997">
        <f t="shared" si="69"/>
        <v>0</v>
      </c>
      <c r="BN84" s="997">
        <f t="shared" si="70"/>
        <v>0</v>
      </c>
      <c r="BO84" s="997">
        <f t="shared" si="106"/>
        <v>0</v>
      </c>
      <c r="BP84" s="997">
        <f t="shared" si="71"/>
        <v>0</v>
      </c>
      <c r="BS84">
        <f t="shared" si="72"/>
        <v>0</v>
      </c>
      <c r="BT84">
        <f t="shared" si="73"/>
        <v>0</v>
      </c>
      <c r="BU84">
        <f t="shared" si="74"/>
        <v>0</v>
      </c>
      <c r="BV84">
        <f t="shared" si="107"/>
        <v>0</v>
      </c>
      <c r="BW84">
        <f t="shared" si="75"/>
        <v>0</v>
      </c>
      <c r="BY84" s="997">
        <f t="shared" si="76"/>
        <v>0</v>
      </c>
      <c r="BZ84" s="997">
        <f t="shared" si="77"/>
        <v>0</v>
      </c>
      <c r="CA84" s="997">
        <f t="shared" si="78"/>
        <v>0</v>
      </c>
      <c r="CB84" s="997">
        <f t="shared" si="108"/>
        <v>0</v>
      </c>
      <c r="CC84" s="997">
        <f t="shared" si="79"/>
        <v>0</v>
      </c>
      <c r="CD84" s="997">
        <f t="shared" si="80"/>
        <v>0</v>
      </c>
      <c r="CE84" s="997">
        <f t="shared" si="81"/>
        <v>0</v>
      </c>
      <c r="CF84" s="997">
        <f t="shared" si="82"/>
        <v>0</v>
      </c>
      <c r="CG84" s="997">
        <f t="shared" si="83"/>
        <v>0</v>
      </c>
      <c r="CH84" s="997">
        <f t="shared" si="84"/>
        <v>0</v>
      </c>
      <c r="CI84" s="997">
        <f t="shared" si="85"/>
        <v>0</v>
      </c>
      <c r="CJ84" s="997">
        <f t="shared" si="86"/>
        <v>0</v>
      </c>
      <c r="CK84" s="997"/>
      <c r="CL84" s="997"/>
      <c r="CM84" s="997">
        <f t="shared" si="87"/>
        <v>0</v>
      </c>
      <c r="CN84" s="997">
        <f t="shared" si="88"/>
        <v>0</v>
      </c>
      <c r="CO84" s="997">
        <f t="shared" si="89"/>
        <v>0</v>
      </c>
      <c r="CP84" s="997">
        <f t="shared" si="109"/>
        <v>0</v>
      </c>
      <c r="CQ84" s="997">
        <f t="shared" si="90"/>
        <v>0</v>
      </c>
      <c r="CR84" s="997">
        <f>IFERROR(VLOOKUP($B84,SchumeiBituahYesodi!$C$6:$AA$100,8,FALSE),0)</f>
        <v>0</v>
      </c>
      <c r="CS84" s="997">
        <f>IFERROR(VLOOKUP($B84,PirteiKisuiBeMutzar_procerur!$C$6:$AA$100,2,FALSE),0)</f>
        <v>0</v>
      </c>
      <c r="CT84" s="997">
        <f>IFERROR(VLOOKUP($B84,PirteiKisuiBeMutzar_procerur!$C$6:$AA$100,3,FALSE),0)</f>
        <v>0</v>
      </c>
      <c r="CU84" s="997">
        <f>IFERROR(VLOOKUP($B84,PirteiKisuiBeMutzar_procerur!$C$6:$AA$100,4,FALSE),0)</f>
        <v>0</v>
      </c>
      <c r="CV84" s="997">
        <f>IFERROR(VLOOKUP($B84,PirteiKisuiBeMutzar_procerur!$C$6:$AA$100,5,FALSE),0)</f>
        <v>0</v>
      </c>
      <c r="CW84" s="997">
        <f>IFERROR(VLOOKUP($B84,PirteiKisuiBeMutzar_procerur!$C$6:$AA$100,6,FALSE),0)</f>
        <v>0</v>
      </c>
      <c r="CX84" s="997">
        <f>IFERROR(VLOOKUP($B84,PirteiKisuiBeMutzar_procerur!$C$6:$AA$100,7,FALSE),0)</f>
        <v>0</v>
      </c>
      <c r="CY84" s="997">
        <f>IFERROR(VLOOKUP($B84,PirteiKisuiBeMutzar_procerur!$C$6:$AA$100,8,FALSE),0)</f>
        <v>0</v>
      </c>
      <c r="CZ84" s="997">
        <f>IFERROR(VLOOKUP($B84,PirteiKisuiBeMutzar_procerur!$C$6:$AA$100,9,FALSE),0)</f>
        <v>0</v>
      </c>
      <c r="DA84" s="997">
        <f>IFERROR(VLOOKUP($B84,PirteiKisuiBeMutzar_procerur!$C$6:$AA$100,10,FALSE),0)</f>
        <v>0</v>
      </c>
      <c r="DB84" s="997">
        <f>IFERROR(VLOOKUP($B84,PirteiKisuiBeMutzar_procerur!$C$6:$AA$100,11,FALSE),0)</f>
        <v>0</v>
      </c>
      <c r="DC84" s="997">
        <f>IFERROR(VLOOKUP($B84,PirteiKisuiBeMutzarPrmia!$C$6:$Z$100,2,FALSE),0)</f>
        <v>0</v>
      </c>
      <c r="DD84" s="997">
        <f>IFERROR(VLOOKUP($B84,PirteiKisuiBeMutzarPrmia!$C$6:$Z$100,3,FALSE),0)</f>
        <v>0</v>
      </c>
      <c r="DE84" s="997">
        <f>IFERROR(VLOOKUP($B84,PirteiKisuiBeMutzarPrmia!$C$6:$Z$100,4,FALSE),0)</f>
        <v>0</v>
      </c>
      <c r="DF84" s="997">
        <f>IFERROR(VLOOKUP($B84,PirteiKisuiBeMutzarPrmia!$C$6:$Z$100,5,FALSE),0)</f>
        <v>0</v>
      </c>
      <c r="DG84" s="997">
        <f>IFERROR(VLOOKUP($B84,PirteiKisuiBeMutzarPrmia!$C$6:$Z$100,6,FALSE),0)</f>
        <v>0</v>
      </c>
      <c r="DH84" s="997">
        <f>IFERROR(VLOOKUP($B84,PirteiKisuiBeMutzarPrmia!$C$6:$Z$100,7,FALSE),0)</f>
        <v>0</v>
      </c>
      <c r="DI84" s="997">
        <f>IFERROR(VLOOKUP($B84,PirteiKisuiBeMutzarPrmia!$C$6:$Z$100,8,FALSE),0)</f>
        <v>0</v>
      </c>
      <c r="DJ84" s="997">
        <f>IFERROR(VLOOKUP($B84,PirteiKisuiBeMutzarPrmia!$C$6:$Z$100,9,FALSE),0)</f>
        <v>0</v>
      </c>
      <c r="DK84" s="997">
        <f>IFERROR(VLOOKUP($B84,PirteiKisuiBeMutzarPrmia!$C$6:$Z$100,10,FALSE),0)</f>
        <v>0</v>
      </c>
      <c r="DL84" s="997">
        <f>IFERROR(VLOOKUP($B84,PirteiKisuiBeMutzarPrmia!$C$6:$Z$100,11,FALSE),0)</f>
        <v>0</v>
      </c>
      <c r="DM84" s="997">
        <f t="shared" si="110"/>
        <v>0</v>
      </c>
      <c r="DN84" s="997">
        <f t="shared" si="91"/>
        <v>0</v>
      </c>
      <c r="DO84" s="997">
        <f t="shared" si="92"/>
        <v>0</v>
      </c>
      <c r="DP84" s="997">
        <f t="shared" si="67"/>
        <v>0</v>
      </c>
      <c r="DQ84" s="997">
        <f t="shared" si="93"/>
        <v>0</v>
      </c>
      <c r="DR84" s="997">
        <f>IF(OR(L84=1,L84=3),IFERROR(VLOOKUP($B84,PerutHafkadotMetchilatShanaAvgM!$C$6:$G$100,3,FALSE),0),0)</f>
        <v>0</v>
      </c>
      <c r="DS84" s="997">
        <f>IF(OR(L84=2,L84=4),IFERROR(VLOOKUP($B84,PerutHafkadotMetchilatShanaAvgM!$C$6:$G$100,3,FALSE),0),0)</f>
        <v>0</v>
      </c>
      <c r="DT84" s="997">
        <f>IFERROR(VLOOKUP($B84,PerutHafkadotMetchilatShanaAvgM!$C$6:$G$100,4,FALSE),0)</f>
        <v>0</v>
      </c>
      <c r="DU84" s="997">
        <f>IFERROR(VLOOKUP($B84,Kupa!$D$6:$AA$100,5,FALSE),0)</f>
        <v>0</v>
      </c>
      <c r="DV84" s="997">
        <f>IFERROR(VLOOKUP($B84,Kupa!$D$6:$AA$100,6,FALSE),0)</f>
        <v>0</v>
      </c>
      <c r="DW84" s="997">
        <f>IFERROR(VLOOKUP($B84,KisuiBKerenPensiaDBWithParams!$D$6:$AP$100,9,FALSE),0)</f>
        <v>0</v>
      </c>
      <c r="DX84" s="997">
        <f>IFERROR(VLOOKUP($B84,KisuiBKerenPensiaDBWithParams!$D$6:$AP$100,12,FALSE),0)</f>
        <v>0</v>
      </c>
      <c r="DY84" s="997">
        <f>IFERROR(VLOOKUP($B84,KisuiBKerenPensiaDBWithParams!$D$6:$AP$100,13,FALSE),0)</f>
        <v>0</v>
      </c>
      <c r="DZ84" s="997">
        <f>IFERROR(VLOOKUP($B84,KisuiBKerenPensiaDBWithParams!$D$6:$AP$100,7,FALSE),0)</f>
        <v>0</v>
      </c>
      <c r="EA84" s="997">
        <f>IFERROR(VLOOKUP($B84,KisuiBKerenPensiaDBWithParams!$D$6:$AP$100,17,FALSE),0)</f>
        <v>0</v>
      </c>
      <c r="EB84" s="997">
        <f>IFERROR(VLOOKUP($B84,KisuiBKerenPensiaDBWithParams!$D$6:$AP$100,20,FALSE),0)</f>
        <v>0</v>
      </c>
      <c r="EC84" s="997">
        <f>IFERROR(VLOOKUP($B84,KisuiBKerenPensiaDBWithParams!$D$6:$AP$100,21,FALSE),0)</f>
        <v>0</v>
      </c>
      <c r="ED84" s="997">
        <f t="shared" si="111"/>
        <v>0</v>
      </c>
      <c r="EE84" s="997"/>
      <c r="EF84" s="1020">
        <f>IFERROR(VLOOKUP($B84,KisuiBKerenPensiaDBWithParams!$D$6:$AP$100,21,FALSE),0)</f>
        <v>0</v>
      </c>
      <c r="EG84" s="1020">
        <f>IFERROR(VLOOKUP($B84,KisuiBKerenPensiaDBWithParams!$D$6:$AP$100,21,FALSE),0)</f>
        <v>0</v>
      </c>
      <c r="EH84">
        <f>IF(OR(G84=MyData!$J$51,G84=MyData!$J$52,G84=MyData!$J$53),1,IF(G84=MyData!$J$50,2,0))</f>
        <v>0</v>
      </c>
      <c r="EI84">
        <f>IFERROR(VLOOKUP($B84,CrosstabPerutYitrotDB!$C$6:$N$50,3,FALSE),0)</f>
        <v>0</v>
      </c>
      <c r="EJ84">
        <f>IFERROR(VLOOKUP($B84,CrosstabPerutYitrotDB!$C$6:$N$50,4,FALSE),0)</f>
        <v>0</v>
      </c>
      <c r="EK84">
        <f>IFERROR(VLOOKUP($B84,CrosstabPerutYitrotDB!$C$6:$N$50,5,FALSE),0)</f>
        <v>0</v>
      </c>
      <c r="EL84">
        <f>IFERROR(VLOOKUP($B84,CrosstabPerutYitrotDB!$C$6:$N$50,6,FALSE),0)</f>
        <v>0</v>
      </c>
      <c r="EM84">
        <f>IFERROR(VLOOKUP($B84,CrosstabPerutYitrotDB!$C$6:$N$50,7,FALSE),0)</f>
        <v>0</v>
      </c>
      <c r="EN84">
        <f>IFERROR(VLOOKUP($B84,CrosstabPerutYitrotDB!$C$6:$N$50,8,FALSE),0)</f>
        <v>0</v>
      </c>
      <c r="EO84">
        <f>IFERROR(VLOOKUP($B84,CrosstabPerutYitrotDB!$C$6:$N$50,9,FALSE),0)</f>
        <v>0</v>
      </c>
      <c r="EP84">
        <f>IFERROR(VLOOKUP($B84,CrosstabPerutYitrotDB!$C$6:$N$50,10,FALSE),0)</f>
        <v>0</v>
      </c>
      <c r="EQ84">
        <f>IFERROR(VLOOKUP($B84,CrosstabPerutYitrotDB!$C$6:$N$50,11,FALSE),0)</f>
        <v>0</v>
      </c>
    </row>
    <row r="85" spans="1:147" x14ac:dyDescent="0.2">
      <c r="A85">
        <f t="shared" si="112"/>
        <v>0</v>
      </c>
      <c r="B85" s="20">
        <f>RicusPolice!E82</f>
        <v>0</v>
      </c>
      <c r="C85" s="20">
        <f>RicusPolice!AL82</f>
        <v>0</v>
      </c>
      <c r="D85" s="20">
        <f>RicusPolice!F82</f>
        <v>0</v>
      </c>
      <c r="E85" s="20">
        <f>RicusPolice!R82</f>
        <v>0</v>
      </c>
      <c r="F85" s="20">
        <f>RicusPolice!N82</f>
        <v>0</v>
      </c>
      <c r="G85" s="20">
        <f>IFERROR(VLOOKUP($B85,PerutYitrot!$D$6:$P$100,4,FALSE),0)</f>
        <v>0</v>
      </c>
      <c r="H85" s="20">
        <f t="shared" si="94"/>
        <v>0</v>
      </c>
      <c r="I85" s="20">
        <f>RicusPolice!L82</f>
        <v>0</v>
      </c>
      <c r="J85" s="179">
        <f>IFERROR(VLOOKUP(TRIM(K85),MyData!$J$44:$K$50,2,FALSE),0)</f>
        <v>0</v>
      </c>
      <c r="K85" s="20">
        <f>RicusPolice!M82</f>
        <v>0</v>
      </c>
      <c r="L85" s="20">
        <f>RicusPolice!AM82</f>
        <v>0</v>
      </c>
      <c r="M85" s="20" t="str">
        <f>IF(B85&gt;0,RicusPolice!Y82," ")</f>
        <v xml:space="preserve"> </v>
      </c>
      <c r="N85" s="20" t="str">
        <f t="shared" si="95"/>
        <v/>
      </c>
      <c r="O85" s="20">
        <f>RicusPolice!N82</f>
        <v>0</v>
      </c>
      <c r="P85" s="20">
        <f>IFERROR(VLOOKUP(B85,PerutMasluleiHashkaa!$D$6:$R$100,4,FALSE),0)</f>
        <v>0</v>
      </c>
      <c r="Q85" s="19"/>
      <c r="R85" s="1011" t="str">
        <f>IF(B85&gt;0,RicusPolice!P84," ")</f>
        <v xml:space="preserve"> </v>
      </c>
      <c r="S85" s="20">
        <f>IFERROR(VLOOKUP($B85,'נתונים ידניים'!$B$9:$G$51,6,FALSE),0)</f>
        <v>0</v>
      </c>
      <c r="T85" s="21">
        <f>'נתונים ידניים'!J86</f>
        <v>0</v>
      </c>
      <c r="U85" s="21">
        <f>'נתונים ידניים'!K86</f>
        <v>0</v>
      </c>
      <c r="V85" s="20">
        <f>IFERROR(VLOOKUP($B85,PerutHafrashotLePolisa!$D$6:$N$50,2,FALSE),0)</f>
        <v>0</v>
      </c>
      <c r="W85" s="20">
        <f>IFERROR(VLOOKUP($B85,PerutHafrashotLePolisa!$D$6:$N$50,4,FALSE),0)</f>
        <v>0</v>
      </c>
      <c r="X85" s="20">
        <f>IFERROR(VLOOKUP($B85,PerutHafrashotLePolisa!$D$6:$N$50,3,FALSE),0)</f>
        <v>0</v>
      </c>
      <c r="Y85">
        <f t="shared" si="96"/>
        <v>0</v>
      </c>
      <c r="Z85">
        <f>RicusPolice!AP82</f>
        <v>0</v>
      </c>
      <c r="AA85">
        <f>IFERROR(VLOOKUP(B85,PirteiHaasaka!$D$6:$R$100,5,FALSE),0)</f>
        <v>0</v>
      </c>
      <c r="AC85">
        <f>IFERROR(VLOOKUP(B85,HafkadotMetchilatShanaAverages!$D$6:$E$100,2,FALSE),0)</f>
        <v>0</v>
      </c>
      <c r="AF85">
        <f>'נתונים ידניים'!L86</f>
        <v>0</v>
      </c>
      <c r="AG85">
        <f>IFERROR(VLOOKUP(B85,CrossTabYitraLeTkufa_till_2000!$D$6:$AB$100,6,FALSE),0)+IFERROR(VLOOKUP(B85,CrossTabYitraLeTkufa_after_2000!$D$6:$AB$100,6,FALSE),0)</f>
        <v>0</v>
      </c>
      <c r="AH85">
        <f>IFERROR(VLOOKUP(B85,CrossTabYitraLeTkufa_till_2000!$D$6:$AB$100,16,FALSE),0)</f>
        <v>0</v>
      </c>
      <c r="AI85">
        <f>IFERROR(VLOOKUP(B85,CrossTabYitraLeTkufa_after_2000!$D$6:$AB$100,16,FALSE),0)</f>
        <v>0</v>
      </c>
      <c r="AJ85">
        <f>IFERROR(VLOOKUP(B85,CrossTabYitraLeTkufa_till_2000!$D$6:$AB$100,17,FALSE),0)</f>
        <v>0</v>
      </c>
      <c r="AK85">
        <f>IFERROR(VLOOKUP(B85,CrossTabYitraLeTkufa_after_2000!$D$6:$AB$100,17,FALSE),0)</f>
        <v>0</v>
      </c>
      <c r="AL85" s="5">
        <f t="shared" si="97"/>
        <v>0</v>
      </c>
      <c r="AO85">
        <f>IFERROR(VLOOKUP(B85,PirteiKisuiBeMutzar_procerur!$C$6:$AA$100,2,FALSE),0)</f>
        <v>0</v>
      </c>
      <c r="AQ85">
        <f>IFERROR(VLOOKUP($B85,PirteiKisuiBeMutzar_procerur!$C$6:$AA$100,5,FALSE),0)</f>
        <v>0</v>
      </c>
      <c r="AR85">
        <f>IFERROR(VLOOKUP($B85,PirteiKisuiBeMutzar_procerur!$C$6:$AA$100,3,FALSE),0)</f>
        <v>0</v>
      </c>
      <c r="AS85">
        <f>IFERROR(VLOOKUP($B85,PirteiKisuiBeMutzar_procerur!$C$6:$AA$100,6,FALSE),0)</f>
        <v>0</v>
      </c>
      <c r="AT85">
        <f>IFERROR(VLOOKUP($B85,PirteiKisuiBeMutzar_procerur!$C$6:$AA$100,7,FALSE),0)</f>
        <v>0</v>
      </c>
      <c r="AX85" s="997">
        <f t="shared" si="98"/>
        <v>0</v>
      </c>
      <c r="AY85" s="997">
        <f t="shared" si="99"/>
        <v>0</v>
      </c>
      <c r="AZ85" s="997">
        <f t="shared" si="100"/>
        <v>0</v>
      </c>
      <c r="BA85" s="997">
        <f>IFERROR(FV(S85/100/12,'נתוני יסוד'!$B$16*12,AX85,AG85)*(-1),0)</f>
        <v>0</v>
      </c>
      <c r="BB85" s="997">
        <f>IFERROR(FV(S85/100/12,'נתוני יסוד'!$B$16*12,0,AH85)*(-1),0)</f>
        <v>0</v>
      </c>
      <c r="BC85" s="997">
        <f>IFERROR(FV(S85/100/12,'נתוני יסוד'!$B$16*12,AY85,AI85)*(-1),0)</f>
        <v>0</v>
      </c>
      <c r="BD85" s="997">
        <f>IFERROR(FV(S85/100/12,'נתוני יסוד'!$B$16*12,0,AJ85)*(-1),0)</f>
        <v>0</v>
      </c>
      <c r="BE85" s="997">
        <f>IFERROR(FV(S85/100/12,'נתוני יסוד'!$B$16*12,AZ85,AK85)*(-1),0)</f>
        <v>0</v>
      </c>
      <c r="BF85" s="997">
        <f t="shared" si="101"/>
        <v>0</v>
      </c>
      <c r="BG85" s="997">
        <f>IFERROR(FV(S85/100/12,'נתוני יסוד'!$B$16*12,AF85,AL85)*(-1),0)</f>
        <v>0</v>
      </c>
      <c r="BH85" s="997">
        <f t="shared" si="102"/>
        <v>0</v>
      </c>
      <c r="BI85" s="997">
        <f t="shared" si="103"/>
        <v>0</v>
      </c>
      <c r="BJ85" s="997">
        <f t="shared" si="104"/>
        <v>0</v>
      </c>
      <c r="BK85" s="997">
        <f t="shared" si="105"/>
        <v>0</v>
      </c>
      <c r="BL85" s="997">
        <f t="shared" si="68"/>
        <v>0</v>
      </c>
      <c r="BM85" s="997">
        <f t="shared" si="69"/>
        <v>0</v>
      </c>
      <c r="BN85" s="997">
        <f t="shared" si="70"/>
        <v>0</v>
      </c>
      <c r="BO85" s="997">
        <f t="shared" si="106"/>
        <v>0</v>
      </c>
      <c r="BP85" s="997">
        <f t="shared" si="71"/>
        <v>0</v>
      </c>
      <c r="BS85">
        <f t="shared" si="72"/>
        <v>0</v>
      </c>
      <c r="BT85">
        <f t="shared" si="73"/>
        <v>0</v>
      </c>
      <c r="BU85">
        <f t="shared" si="74"/>
        <v>0</v>
      </c>
      <c r="BV85">
        <f t="shared" si="107"/>
        <v>0</v>
      </c>
      <c r="BW85">
        <f t="shared" si="75"/>
        <v>0</v>
      </c>
      <c r="BY85" s="997">
        <f t="shared" si="76"/>
        <v>0</v>
      </c>
      <c r="BZ85" s="997">
        <f t="shared" si="77"/>
        <v>0</v>
      </c>
      <c r="CA85" s="997">
        <f t="shared" si="78"/>
        <v>0</v>
      </c>
      <c r="CB85" s="997">
        <f t="shared" si="108"/>
        <v>0</v>
      </c>
      <c r="CC85" s="997">
        <f t="shared" si="79"/>
        <v>0</v>
      </c>
      <c r="CD85" s="997">
        <f t="shared" si="80"/>
        <v>0</v>
      </c>
      <c r="CE85" s="997">
        <f t="shared" si="81"/>
        <v>0</v>
      </c>
      <c r="CF85" s="997">
        <f t="shared" si="82"/>
        <v>0</v>
      </c>
      <c r="CG85" s="997">
        <f t="shared" si="83"/>
        <v>0</v>
      </c>
      <c r="CH85" s="997">
        <f t="shared" si="84"/>
        <v>0</v>
      </c>
      <c r="CI85" s="997">
        <f t="shared" si="85"/>
        <v>0</v>
      </c>
      <c r="CJ85" s="997">
        <f t="shared" si="86"/>
        <v>0</v>
      </c>
      <c r="CK85" s="997"/>
      <c r="CL85" s="997"/>
      <c r="CM85" s="997">
        <f t="shared" si="87"/>
        <v>0</v>
      </c>
      <c r="CN85" s="997">
        <f t="shared" si="88"/>
        <v>0</v>
      </c>
      <c r="CO85" s="997">
        <f t="shared" si="89"/>
        <v>0</v>
      </c>
      <c r="CP85" s="997">
        <f t="shared" si="109"/>
        <v>0</v>
      </c>
      <c r="CQ85" s="997">
        <f t="shared" si="90"/>
        <v>0</v>
      </c>
      <c r="CR85" s="997">
        <f>IFERROR(VLOOKUP($B85,SchumeiBituahYesodi!$C$6:$AA$100,8,FALSE),0)</f>
        <v>0</v>
      </c>
      <c r="CS85" s="997">
        <f>IFERROR(VLOOKUP($B85,PirteiKisuiBeMutzar_procerur!$C$6:$AA$100,2,FALSE),0)</f>
        <v>0</v>
      </c>
      <c r="CT85" s="997">
        <f>IFERROR(VLOOKUP($B85,PirteiKisuiBeMutzar_procerur!$C$6:$AA$100,3,FALSE),0)</f>
        <v>0</v>
      </c>
      <c r="CU85" s="997">
        <f>IFERROR(VLOOKUP($B85,PirteiKisuiBeMutzar_procerur!$C$6:$AA$100,4,FALSE),0)</f>
        <v>0</v>
      </c>
      <c r="CV85" s="997">
        <f>IFERROR(VLOOKUP($B85,PirteiKisuiBeMutzar_procerur!$C$6:$AA$100,5,FALSE),0)</f>
        <v>0</v>
      </c>
      <c r="CW85" s="997">
        <f>IFERROR(VLOOKUP($B85,PirteiKisuiBeMutzar_procerur!$C$6:$AA$100,6,FALSE),0)</f>
        <v>0</v>
      </c>
      <c r="CX85" s="997">
        <f>IFERROR(VLOOKUP($B85,PirteiKisuiBeMutzar_procerur!$C$6:$AA$100,7,FALSE),0)</f>
        <v>0</v>
      </c>
      <c r="CY85" s="997">
        <f>IFERROR(VLOOKUP($B85,PirteiKisuiBeMutzar_procerur!$C$6:$AA$100,8,FALSE),0)</f>
        <v>0</v>
      </c>
      <c r="CZ85" s="997">
        <f>IFERROR(VLOOKUP($B85,PirteiKisuiBeMutzar_procerur!$C$6:$AA$100,9,FALSE),0)</f>
        <v>0</v>
      </c>
      <c r="DA85" s="997">
        <f>IFERROR(VLOOKUP($B85,PirteiKisuiBeMutzar_procerur!$C$6:$AA$100,10,FALSE),0)</f>
        <v>0</v>
      </c>
      <c r="DB85" s="997">
        <f>IFERROR(VLOOKUP($B85,PirteiKisuiBeMutzar_procerur!$C$6:$AA$100,11,FALSE),0)</f>
        <v>0</v>
      </c>
      <c r="DC85" s="997">
        <f>IFERROR(VLOOKUP($B85,PirteiKisuiBeMutzarPrmia!$C$6:$Z$100,2,FALSE),0)</f>
        <v>0</v>
      </c>
      <c r="DD85" s="997">
        <f>IFERROR(VLOOKUP($B85,PirteiKisuiBeMutzarPrmia!$C$6:$Z$100,3,FALSE),0)</f>
        <v>0</v>
      </c>
      <c r="DE85" s="997">
        <f>IFERROR(VLOOKUP($B85,PirteiKisuiBeMutzarPrmia!$C$6:$Z$100,4,FALSE),0)</f>
        <v>0</v>
      </c>
      <c r="DF85" s="997">
        <f>IFERROR(VLOOKUP($B85,PirteiKisuiBeMutzarPrmia!$C$6:$Z$100,5,FALSE),0)</f>
        <v>0</v>
      </c>
      <c r="DG85" s="997">
        <f>IFERROR(VLOOKUP($B85,PirteiKisuiBeMutzarPrmia!$C$6:$Z$100,6,FALSE),0)</f>
        <v>0</v>
      </c>
      <c r="DH85" s="997">
        <f>IFERROR(VLOOKUP($B85,PirteiKisuiBeMutzarPrmia!$C$6:$Z$100,7,FALSE),0)</f>
        <v>0</v>
      </c>
      <c r="DI85" s="997">
        <f>IFERROR(VLOOKUP($B85,PirteiKisuiBeMutzarPrmia!$C$6:$Z$100,8,FALSE),0)</f>
        <v>0</v>
      </c>
      <c r="DJ85" s="997">
        <f>IFERROR(VLOOKUP($B85,PirteiKisuiBeMutzarPrmia!$C$6:$Z$100,9,FALSE),0)</f>
        <v>0</v>
      </c>
      <c r="DK85" s="997">
        <f>IFERROR(VLOOKUP($B85,PirteiKisuiBeMutzarPrmia!$C$6:$Z$100,10,FALSE),0)</f>
        <v>0</v>
      </c>
      <c r="DL85" s="997">
        <f>IFERROR(VLOOKUP($B85,PirteiKisuiBeMutzarPrmia!$C$6:$Z$100,11,FALSE),0)</f>
        <v>0</v>
      </c>
      <c r="DM85" s="997">
        <f t="shared" si="110"/>
        <v>0</v>
      </c>
      <c r="DN85" s="997">
        <f t="shared" si="91"/>
        <v>0</v>
      </c>
      <c r="DO85" s="997">
        <f t="shared" si="92"/>
        <v>0</v>
      </c>
      <c r="DP85" s="997">
        <f t="shared" si="67"/>
        <v>0</v>
      </c>
      <c r="DQ85" s="997">
        <f t="shared" si="93"/>
        <v>0</v>
      </c>
      <c r="DR85" s="997">
        <f>IF(OR(L85=1,L85=3),IFERROR(VLOOKUP($B85,PerutHafkadotMetchilatShanaAvgM!$C$6:$G$100,3,FALSE),0),0)</f>
        <v>0</v>
      </c>
      <c r="DS85" s="997">
        <f>IF(OR(L85=2,L85=4),IFERROR(VLOOKUP($B85,PerutHafkadotMetchilatShanaAvgM!$C$6:$G$100,3,FALSE),0),0)</f>
        <v>0</v>
      </c>
      <c r="DT85" s="997">
        <f>IFERROR(VLOOKUP($B85,PerutHafkadotMetchilatShanaAvgM!$C$6:$G$100,4,FALSE),0)</f>
        <v>0</v>
      </c>
      <c r="DU85" s="997">
        <f>IFERROR(VLOOKUP($B85,Kupa!$D$6:$AA$100,5,FALSE),0)</f>
        <v>0</v>
      </c>
      <c r="DV85" s="997">
        <f>IFERROR(VLOOKUP($B85,Kupa!$D$6:$AA$100,6,FALSE),0)</f>
        <v>0</v>
      </c>
      <c r="DW85" s="997">
        <f>IFERROR(VLOOKUP($B85,KisuiBKerenPensiaDBWithParams!$D$6:$AP$100,9,FALSE),0)</f>
        <v>0</v>
      </c>
      <c r="DX85" s="997">
        <f>IFERROR(VLOOKUP($B85,KisuiBKerenPensiaDBWithParams!$D$6:$AP$100,12,FALSE),0)</f>
        <v>0</v>
      </c>
      <c r="DY85" s="997">
        <f>IFERROR(VLOOKUP($B85,KisuiBKerenPensiaDBWithParams!$D$6:$AP$100,13,FALSE),0)</f>
        <v>0</v>
      </c>
      <c r="DZ85" s="997">
        <f>IFERROR(VLOOKUP($B85,KisuiBKerenPensiaDBWithParams!$D$6:$AP$100,7,FALSE),0)</f>
        <v>0</v>
      </c>
      <c r="EA85" s="997">
        <f>IFERROR(VLOOKUP($B85,KisuiBKerenPensiaDBWithParams!$D$6:$AP$100,17,FALSE),0)</f>
        <v>0</v>
      </c>
      <c r="EB85" s="997">
        <f>IFERROR(VLOOKUP($B85,KisuiBKerenPensiaDBWithParams!$D$6:$AP$100,20,FALSE),0)</f>
        <v>0</v>
      </c>
      <c r="EC85" s="997">
        <f>IFERROR(VLOOKUP($B85,KisuiBKerenPensiaDBWithParams!$D$6:$AP$100,21,FALSE),0)</f>
        <v>0</v>
      </c>
      <c r="ED85" s="997">
        <f t="shared" si="111"/>
        <v>0</v>
      </c>
      <c r="EE85" s="997"/>
      <c r="EF85" s="1020">
        <f>IFERROR(VLOOKUP($B85,KisuiBKerenPensiaDBWithParams!$D$6:$AP$100,21,FALSE),0)</f>
        <v>0</v>
      </c>
      <c r="EG85" s="1020">
        <f>IFERROR(VLOOKUP($B85,KisuiBKerenPensiaDBWithParams!$D$6:$AP$100,21,FALSE),0)</f>
        <v>0</v>
      </c>
      <c r="EH85">
        <f>IF(OR(G85=MyData!$J$51,G85=MyData!$J$52,G85=MyData!$J$53),1,IF(G85=MyData!$J$50,2,0))</f>
        <v>0</v>
      </c>
    </row>
    <row r="86" spans="1:147" x14ac:dyDescent="0.2">
      <c r="A86">
        <f t="shared" si="112"/>
        <v>0</v>
      </c>
      <c r="B86" s="20">
        <f>RicusPolice!E83</f>
        <v>0</v>
      </c>
      <c r="C86" s="20">
        <f>RicusPolice!AL83</f>
        <v>0</v>
      </c>
      <c r="D86" s="20">
        <f>RicusPolice!F83</f>
        <v>0</v>
      </c>
      <c r="E86" s="20">
        <f>RicusPolice!R83</f>
        <v>0</v>
      </c>
      <c r="F86" s="20">
        <f>RicusPolice!N83</f>
        <v>0</v>
      </c>
      <c r="G86" s="20">
        <f>IFERROR(VLOOKUP($B86,PerutYitrot!$D$6:$P$100,4,FALSE),0)</f>
        <v>0</v>
      </c>
      <c r="H86" s="20">
        <f t="shared" si="94"/>
        <v>0</v>
      </c>
      <c r="I86" s="20">
        <f>RicusPolice!L83</f>
        <v>0</v>
      </c>
      <c r="J86" s="179">
        <f>IFERROR(VLOOKUP(TRIM(K86),MyData!$J$44:$K$50,2,FALSE),0)</f>
        <v>0</v>
      </c>
      <c r="K86" s="20">
        <f>RicusPolice!M83</f>
        <v>0</v>
      </c>
      <c r="L86" s="20">
        <f>RicusPolice!AM83</f>
        <v>0</v>
      </c>
      <c r="M86" s="20" t="str">
        <f>IF(B86&gt;0,RicusPolice!Y83," ")</f>
        <v xml:space="preserve"> </v>
      </c>
      <c r="N86" s="20" t="str">
        <f t="shared" si="95"/>
        <v/>
      </c>
      <c r="O86" s="20">
        <f>RicusPolice!N83</f>
        <v>0</v>
      </c>
      <c r="P86" s="20">
        <f>IFERROR(VLOOKUP(B86,PerutMasluleiHashkaa!$D$6:$R$100,4,FALSE),0)</f>
        <v>0</v>
      </c>
      <c r="Q86" s="19"/>
      <c r="R86" s="1011" t="str">
        <f>IF(B86&gt;0,RicusPolice!P85," ")</f>
        <v xml:space="preserve"> </v>
      </c>
      <c r="S86" s="20">
        <f>IFERROR(VLOOKUP($B86,'נתונים ידניים'!$B$9:$G$51,6,FALSE),0)</f>
        <v>0</v>
      </c>
      <c r="T86" s="21">
        <f>'נתונים ידניים'!J87</f>
        <v>0</v>
      </c>
      <c r="U86" s="21">
        <f>'נתונים ידניים'!K87</f>
        <v>0</v>
      </c>
      <c r="V86" s="20">
        <f>IFERROR(VLOOKUP($B86,PerutHafrashotLePolisa!$D$6:$N$50,2,FALSE),0)</f>
        <v>0</v>
      </c>
      <c r="W86" s="20">
        <f>IFERROR(VLOOKUP($B86,PerutHafrashotLePolisa!$D$6:$N$50,4,FALSE),0)</f>
        <v>0</v>
      </c>
      <c r="X86" s="20">
        <f>IFERROR(VLOOKUP($B86,PerutHafrashotLePolisa!$D$6:$N$50,3,FALSE),0)</f>
        <v>0</v>
      </c>
      <c r="Y86">
        <f t="shared" si="96"/>
        <v>0</v>
      </c>
      <c r="Z86">
        <f>RicusPolice!AP83</f>
        <v>0</v>
      </c>
      <c r="AA86">
        <f>IFERROR(VLOOKUP(B86,PirteiHaasaka!$D$6:$R$100,5,FALSE),0)</f>
        <v>0</v>
      </c>
      <c r="AC86">
        <f>IFERROR(VLOOKUP(B86,HafkadotMetchilatShanaAverages!$D$6:$E$100,2,FALSE),0)</f>
        <v>0</v>
      </c>
      <c r="AF86">
        <f>'נתונים ידניים'!L87</f>
        <v>0</v>
      </c>
      <c r="AG86">
        <f>IFERROR(VLOOKUP(B86,CrossTabYitraLeTkufa_till_2000!$D$6:$AB$100,6,FALSE),0)+IFERROR(VLOOKUP(B86,CrossTabYitraLeTkufa_after_2000!$D$6:$AB$100,6,FALSE),0)</f>
        <v>0</v>
      </c>
      <c r="AH86">
        <f>IFERROR(VLOOKUP(B86,CrossTabYitraLeTkufa_till_2000!$D$6:$AB$100,16,FALSE),0)</f>
        <v>0</v>
      </c>
      <c r="AI86">
        <f>IFERROR(VLOOKUP(B86,CrossTabYitraLeTkufa_after_2000!$D$6:$AB$100,16,FALSE),0)</f>
        <v>0</v>
      </c>
      <c r="AJ86">
        <f>IFERROR(VLOOKUP(B86,CrossTabYitraLeTkufa_till_2000!$D$6:$AB$100,17,FALSE),0)</f>
        <v>0</v>
      </c>
      <c r="AK86">
        <f>IFERROR(VLOOKUP(B86,CrossTabYitraLeTkufa_after_2000!$D$6:$AB$100,17,FALSE),0)</f>
        <v>0</v>
      </c>
      <c r="AL86" s="5">
        <f t="shared" si="97"/>
        <v>0</v>
      </c>
      <c r="AO86">
        <f>IFERROR(VLOOKUP(B86,PirteiKisuiBeMutzar_procerur!$C$6:$AA$100,2,FALSE),0)</f>
        <v>0</v>
      </c>
      <c r="AQ86">
        <f>IFERROR(VLOOKUP($B86,PirteiKisuiBeMutzar_procerur!$C$6:$AA$100,5,FALSE),0)</f>
        <v>0</v>
      </c>
      <c r="AR86">
        <f>IFERROR(VLOOKUP($B86,PirteiKisuiBeMutzar_procerur!$C$6:$AA$100,3,FALSE),0)</f>
        <v>0</v>
      </c>
      <c r="AS86">
        <f>IFERROR(VLOOKUP($B86,PirteiKisuiBeMutzar_procerur!$C$6:$AA$100,6,FALSE),0)</f>
        <v>0</v>
      </c>
      <c r="AT86">
        <f>IFERROR(VLOOKUP($B86,PirteiKisuiBeMutzar_procerur!$C$6:$AA$100,7,FALSE),0)</f>
        <v>0</v>
      </c>
      <c r="AX86" s="997">
        <f t="shared" si="98"/>
        <v>0</v>
      </c>
      <c r="AY86" s="997">
        <f t="shared" si="99"/>
        <v>0</v>
      </c>
      <c r="AZ86" s="997">
        <f t="shared" si="100"/>
        <v>0</v>
      </c>
      <c r="BA86" s="997">
        <f>IFERROR(FV(S86/100/12,'נתוני יסוד'!$B$16*12,AX86,AG86)*(-1),0)</f>
        <v>0</v>
      </c>
      <c r="BB86" s="997">
        <f>IFERROR(FV(S86/100/12,'נתוני יסוד'!$B$16*12,0,AH86)*(-1),0)</f>
        <v>0</v>
      </c>
      <c r="BC86" s="997">
        <f>IFERROR(FV(S86/100/12,'נתוני יסוד'!$B$16*12,AY86,AI86)*(-1),0)</f>
        <v>0</v>
      </c>
      <c r="BD86" s="997">
        <f>IFERROR(FV(S86/100/12,'נתוני יסוד'!$B$16*12,0,AJ86)*(-1),0)</f>
        <v>0</v>
      </c>
      <c r="BE86" s="997">
        <f>IFERROR(FV(S86/100/12,'נתוני יסוד'!$B$16*12,AZ86,AK86)*(-1),0)</f>
        <v>0</v>
      </c>
      <c r="BF86" s="997">
        <f t="shared" si="101"/>
        <v>0</v>
      </c>
      <c r="BG86" s="997">
        <f>IFERROR(FV(S86/100/12,'נתוני יסוד'!$B$16*12,AF86,AL86)*(-1),0)</f>
        <v>0</v>
      </c>
      <c r="BH86" s="997">
        <f t="shared" si="102"/>
        <v>0</v>
      </c>
      <c r="BI86" s="997">
        <f t="shared" si="103"/>
        <v>0</v>
      </c>
      <c r="BJ86" s="997">
        <f t="shared" si="104"/>
        <v>0</v>
      </c>
      <c r="BK86" s="997">
        <f t="shared" si="105"/>
        <v>0</v>
      </c>
      <c r="BL86" s="997">
        <f t="shared" si="68"/>
        <v>0</v>
      </c>
      <c r="BM86" s="997">
        <f t="shared" si="69"/>
        <v>0</v>
      </c>
      <c r="BN86" s="997">
        <f t="shared" si="70"/>
        <v>0</v>
      </c>
      <c r="BO86" s="997">
        <f t="shared" si="106"/>
        <v>0</v>
      </c>
      <c r="BP86" s="997">
        <f t="shared" si="71"/>
        <v>0</v>
      </c>
      <c r="BS86">
        <f t="shared" si="72"/>
        <v>0</v>
      </c>
      <c r="BT86">
        <f t="shared" si="73"/>
        <v>0</v>
      </c>
      <c r="BU86">
        <f t="shared" si="74"/>
        <v>0</v>
      </c>
      <c r="BV86">
        <f t="shared" si="107"/>
        <v>0</v>
      </c>
      <c r="BW86">
        <f t="shared" si="75"/>
        <v>0</v>
      </c>
      <c r="BY86" s="997">
        <f t="shared" si="76"/>
        <v>0</v>
      </c>
      <c r="BZ86" s="997">
        <f t="shared" si="77"/>
        <v>0</v>
      </c>
      <c r="CA86" s="997">
        <f t="shared" si="78"/>
        <v>0</v>
      </c>
      <c r="CB86" s="997">
        <f t="shared" si="108"/>
        <v>0</v>
      </c>
      <c r="CC86" s="997">
        <f t="shared" si="79"/>
        <v>0</v>
      </c>
      <c r="CD86" s="997">
        <f t="shared" si="80"/>
        <v>0</v>
      </c>
      <c r="CE86" s="997">
        <f t="shared" si="81"/>
        <v>0</v>
      </c>
      <c r="CF86" s="997">
        <f t="shared" si="82"/>
        <v>0</v>
      </c>
      <c r="CG86" s="997">
        <f t="shared" si="83"/>
        <v>0</v>
      </c>
      <c r="CH86" s="997">
        <f t="shared" si="84"/>
        <v>0</v>
      </c>
      <c r="CI86" s="997">
        <f t="shared" si="85"/>
        <v>0</v>
      </c>
      <c r="CJ86" s="997">
        <f t="shared" si="86"/>
        <v>0</v>
      </c>
      <c r="CK86" s="997"/>
      <c r="CL86" s="997"/>
      <c r="CM86" s="997">
        <f t="shared" si="87"/>
        <v>0</v>
      </c>
      <c r="CN86" s="997">
        <f t="shared" si="88"/>
        <v>0</v>
      </c>
      <c r="CO86" s="997">
        <f t="shared" si="89"/>
        <v>0</v>
      </c>
      <c r="CP86" s="997">
        <f t="shared" si="109"/>
        <v>0</v>
      </c>
      <c r="CQ86" s="997">
        <f t="shared" si="90"/>
        <v>0</v>
      </c>
      <c r="CR86" s="997">
        <f>IFERROR(VLOOKUP($B86,SchumeiBituahYesodi!$C$6:$AA$100,8,FALSE),0)</f>
        <v>0</v>
      </c>
      <c r="CS86" s="997">
        <f>IFERROR(VLOOKUP($B86,PirteiKisuiBeMutzar_procerur!$C$6:$AA$100,2,FALSE),0)</f>
        <v>0</v>
      </c>
      <c r="CT86" s="997">
        <f>IFERROR(VLOOKUP($B86,PirteiKisuiBeMutzar_procerur!$C$6:$AA$100,3,FALSE),0)</f>
        <v>0</v>
      </c>
      <c r="CU86" s="997">
        <f>IFERROR(VLOOKUP($B86,PirteiKisuiBeMutzar_procerur!$C$6:$AA$100,4,FALSE),0)</f>
        <v>0</v>
      </c>
      <c r="CV86" s="997">
        <f>IFERROR(VLOOKUP($B86,PirteiKisuiBeMutzar_procerur!$C$6:$AA$100,5,FALSE),0)</f>
        <v>0</v>
      </c>
      <c r="CW86" s="997">
        <f>IFERROR(VLOOKUP($B86,PirteiKisuiBeMutzar_procerur!$C$6:$AA$100,6,FALSE),0)</f>
        <v>0</v>
      </c>
      <c r="CX86" s="997">
        <f>IFERROR(VLOOKUP($B86,PirteiKisuiBeMutzar_procerur!$C$6:$AA$100,7,FALSE),0)</f>
        <v>0</v>
      </c>
      <c r="CY86" s="997">
        <f>IFERROR(VLOOKUP($B86,PirteiKisuiBeMutzar_procerur!$C$6:$AA$100,8,FALSE),0)</f>
        <v>0</v>
      </c>
      <c r="CZ86" s="997">
        <f>IFERROR(VLOOKUP($B86,PirteiKisuiBeMutzar_procerur!$C$6:$AA$100,9,FALSE),0)</f>
        <v>0</v>
      </c>
      <c r="DA86" s="997">
        <f>IFERROR(VLOOKUP($B86,PirteiKisuiBeMutzar_procerur!$C$6:$AA$100,10,FALSE),0)</f>
        <v>0</v>
      </c>
      <c r="DB86" s="997">
        <f>IFERROR(VLOOKUP($B86,PirteiKisuiBeMutzar_procerur!$C$6:$AA$100,11,FALSE),0)</f>
        <v>0</v>
      </c>
      <c r="DC86" s="997">
        <f>IFERROR(VLOOKUP($B86,PirteiKisuiBeMutzarPrmia!$C$6:$Z$100,2,FALSE),0)</f>
        <v>0</v>
      </c>
      <c r="DD86" s="997">
        <f>IFERROR(VLOOKUP($B86,PirteiKisuiBeMutzarPrmia!$C$6:$Z$100,3,FALSE),0)</f>
        <v>0</v>
      </c>
      <c r="DE86" s="997">
        <f>IFERROR(VLOOKUP($B86,PirteiKisuiBeMutzarPrmia!$C$6:$Z$100,4,FALSE),0)</f>
        <v>0</v>
      </c>
      <c r="DF86" s="997">
        <f>IFERROR(VLOOKUP($B86,PirteiKisuiBeMutzarPrmia!$C$6:$Z$100,5,FALSE),0)</f>
        <v>0</v>
      </c>
      <c r="DG86" s="997">
        <f>IFERROR(VLOOKUP($B86,PirteiKisuiBeMutzarPrmia!$C$6:$Z$100,6,FALSE),0)</f>
        <v>0</v>
      </c>
      <c r="DH86" s="997">
        <f>IFERROR(VLOOKUP($B86,PirteiKisuiBeMutzarPrmia!$C$6:$Z$100,7,FALSE),0)</f>
        <v>0</v>
      </c>
      <c r="DI86" s="997">
        <f>IFERROR(VLOOKUP($B86,PirteiKisuiBeMutzarPrmia!$C$6:$Z$100,8,FALSE),0)</f>
        <v>0</v>
      </c>
      <c r="DJ86" s="997">
        <f>IFERROR(VLOOKUP($B86,PirteiKisuiBeMutzarPrmia!$C$6:$Z$100,9,FALSE),0)</f>
        <v>0</v>
      </c>
      <c r="DK86" s="997">
        <f>IFERROR(VLOOKUP($B86,PirteiKisuiBeMutzarPrmia!$C$6:$Z$100,10,FALSE),0)</f>
        <v>0</v>
      </c>
      <c r="DL86" s="997">
        <f>IFERROR(VLOOKUP($B86,PirteiKisuiBeMutzarPrmia!$C$6:$Z$100,11,FALSE),0)</f>
        <v>0</v>
      </c>
      <c r="DM86" s="997">
        <f t="shared" si="110"/>
        <v>0</v>
      </c>
      <c r="DN86" s="997">
        <f t="shared" si="91"/>
        <v>0</v>
      </c>
      <c r="DO86" s="997">
        <f t="shared" si="92"/>
        <v>0</v>
      </c>
      <c r="DP86" s="997">
        <f t="shared" si="67"/>
        <v>0</v>
      </c>
      <c r="DQ86" s="997">
        <f t="shared" si="93"/>
        <v>0</v>
      </c>
      <c r="DR86" s="997">
        <f>IF(OR(L86=1,L86=3),IFERROR(VLOOKUP($B86,PerutHafkadotMetchilatShanaAvgM!$C$6:$G$100,3,FALSE),0),0)</f>
        <v>0</v>
      </c>
      <c r="DS86" s="997">
        <f>IF(OR(L86=2,L86=4),IFERROR(VLOOKUP($B86,PerutHafkadotMetchilatShanaAvgM!$C$6:$G$100,3,FALSE),0),0)</f>
        <v>0</v>
      </c>
      <c r="DT86" s="997">
        <f>IFERROR(VLOOKUP($B86,PerutHafkadotMetchilatShanaAvgM!$C$6:$G$100,4,FALSE),0)</f>
        <v>0</v>
      </c>
      <c r="DU86" s="997">
        <f>IFERROR(VLOOKUP($B86,Kupa!$D$6:$AA$100,5,FALSE),0)</f>
        <v>0</v>
      </c>
      <c r="DV86" s="997">
        <f>IFERROR(VLOOKUP($B86,Kupa!$D$6:$AA$100,6,FALSE),0)</f>
        <v>0</v>
      </c>
      <c r="DW86" s="997">
        <f>IFERROR(VLOOKUP($B86,KisuiBKerenPensiaDBWithParams!$D$6:$AP$100,9,FALSE),0)</f>
        <v>0</v>
      </c>
      <c r="DX86" s="997">
        <f>IFERROR(VLOOKUP($B86,KisuiBKerenPensiaDBWithParams!$D$6:$AP$100,12,FALSE),0)</f>
        <v>0</v>
      </c>
      <c r="DY86" s="997">
        <f>IFERROR(VLOOKUP($B86,KisuiBKerenPensiaDBWithParams!$D$6:$AP$100,13,FALSE),0)</f>
        <v>0</v>
      </c>
      <c r="DZ86" s="997">
        <f>IFERROR(VLOOKUP($B86,KisuiBKerenPensiaDBWithParams!$D$6:$AP$100,7,FALSE),0)</f>
        <v>0</v>
      </c>
      <c r="EA86" s="997">
        <f>IFERROR(VLOOKUP($B86,KisuiBKerenPensiaDBWithParams!$D$6:$AP$100,17,FALSE),0)</f>
        <v>0</v>
      </c>
      <c r="EB86" s="997">
        <f>IFERROR(VLOOKUP($B86,KisuiBKerenPensiaDBWithParams!$D$6:$AP$100,20,FALSE),0)</f>
        <v>0</v>
      </c>
      <c r="EC86" s="997">
        <f>IFERROR(VLOOKUP($B86,KisuiBKerenPensiaDBWithParams!$D$6:$AP$100,21,FALSE),0)</f>
        <v>0</v>
      </c>
      <c r="ED86" s="997">
        <f t="shared" si="111"/>
        <v>0</v>
      </c>
      <c r="EE86" s="997"/>
      <c r="EF86" s="1020">
        <f>IFERROR(VLOOKUP($B86,KisuiBKerenPensiaDBWithParams!$D$6:$AP$100,21,FALSE),0)</f>
        <v>0</v>
      </c>
      <c r="EG86" s="1020">
        <f>IFERROR(VLOOKUP($B86,KisuiBKerenPensiaDBWithParams!$D$6:$AP$100,21,FALSE),0)</f>
        <v>0</v>
      </c>
      <c r="EH86">
        <f>IF(OR(G86=MyData!$J$51,G86=MyData!$J$52,G86=MyData!$J$53),1,IF(G86=MyData!$J$50,2,0))</f>
        <v>0</v>
      </c>
    </row>
    <row r="87" spans="1:147" x14ac:dyDescent="0.2">
      <c r="A87">
        <f t="shared" si="112"/>
        <v>0</v>
      </c>
      <c r="B87" s="20">
        <f>RicusPolice!E84</f>
        <v>0</v>
      </c>
      <c r="C87" s="20">
        <f>RicusPolice!AL84</f>
        <v>0</v>
      </c>
      <c r="D87" s="20">
        <f>RicusPolice!F84</f>
        <v>0</v>
      </c>
      <c r="E87" s="20">
        <f>RicusPolice!R84</f>
        <v>0</v>
      </c>
      <c r="F87" s="20">
        <f>RicusPolice!N84</f>
        <v>0</v>
      </c>
      <c r="G87" s="20">
        <f>IFERROR(VLOOKUP($B87,PerutYitrot!$D$6:$P$100,4,FALSE),0)</f>
        <v>0</v>
      </c>
      <c r="H87" s="20">
        <f t="shared" si="94"/>
        <v>0</v>
      </c>
      <c r="I87" s="20">
        <f>RicusPolice!L84</f>
        <v>0</v>
      </c>
      <c r="J87" s="179">
        <f>IFERROR(VLOOKUP(TRIM(K87),MyData!$J$44:$K$50,2,FALSE),0)</f>
        <v>0</v>
      </c>
      <c r="K87" s="20">
        <f>RicusPolice!M84</f>
        <v>0</v>
      </c>
      <c r="L87" s="20">
        <f>RicusPolice!AM84</f>
        <v>0</v>
      </c>
      <c r="M87" s="20" t="str">
        <f>IF(B87&gt;0,RicusPolice!Y84," ")</f>
        <v xml:space="preserve"> </v>
      </c>
      <c r="N87" s="20" t="str">
        <f t="shared" si="95"/>
        <v/>
      </c>
      <c r="O87" s="20">
        <f>RicusPolice!N84</f>
        <v>0</v>
      </c>
      <c r="P87" s="20">
        <f>IFERROR(VLOOKUP(B87,PerutMasluleiHashkaa!$D$6:$R$100,4,FALSE),0)</f>
        <v>0</v>
      </c>
      <c r="Q87" s="19"/>
      <c r="R87" s="1011" t="str">
        <f>IF(B87&gt;0,RicusPolice!P86," ")</f>
        <v xml:space="preserve"> </v>
      </c>
      <c r="S87" s="20">
        <f>IFERROR(VLOOKUP($B87,'נתונים ידניים'!$B$9:$G$51,6,FALSE),0)</f>
        <v>0</v>
      </c>
      <c r="T87" s="21">
        <f>'נתונים ידניים'!J88</f>
        <v>0</v>
      </c>
      <c r="U87" s="21">
        <f>'נתונים ידניים'!K88</f>
        <v>0</v>
      </c>
      <c r="V87" s="20">
        <f>IFERROR(VLOOKUP($B87,PerutHafrashotLePolisa!$D$6:$N$50,2,FALSE),0)</f>
        <v>0</v>
      </c>
      <c r="W87" s="20">
        <f>IFERROR(VLOOKUP($B87,PerutHafrashotLePolisa!$D$6:$N$50,4,FALSE),0)</f>
        <v>0</v>
      </c>
      <c r="X87" s="20">
        <f>IFERROR(VLOOKUP($B87,PerutHafrashotLePolisa!$D$6:$N$50,3,FALSE),0)</f>
        <v>0</v>
      </c>
      <c r="Y87">
        <f t="shared" si="96"/>
        <v>0</v>
      </c>
      <c r="Z87">
        <f>RicusPolice!AP84</f>
        <v>0</v>
      </c>
      <c r="AA87">
        <f>IFERROR(VLOOKUP(B87,PirteiHaasaka!$D$6:$R$100,5,FALSE),0)</f>
        <v>0</v>
      </c>
      <c r="AC87">
        <f>IFERROR(VLOOKUP(B87,HafkadotMetchilatShanaAverages!$D$6:$E$100,2,FALSE),0)</f>
        <v>0</v>
      </c>
      <c r="AF87">
        <f>'נתונים ידניים'!L88</f>
        <v>0</v>
      </c>
      <c r="AG87">
        <f>IFERROR(VLOOKUP(B87,CrossTabYitraLeTkufa_till_2000!$D$6:$AB$100,6,FALSE),0)+IFERROR(VLOOKUP(B87,CrossTabYitraLeTkufa_after_2000!$D$6:$AB$100,6,FALSE),0)</f>
        <v>0</v>
      </c>
      <c r="AH87">
        <f>IFERROR(VLOOKUP(B87,CrossTabYitraLeTkufa_till_2000!$D$6:$AB$100,16,FALSE),0)</f>
        <v>0</v>
      </c>
      <c r="AI87">
        <f>IFERROR(VLOOKUP(B87,CrossTabYitraLeTkufa_after_2000!$D$6:$AB$100,16,FALSE),0)</f>
        <v>0</v>
      </c>
      <c r="AJ87">
        <f>IFERROR(VLOOKUP(B87,CrossTabYitraLeTkufa_till_2000!$D$6:$AB$100,17,FALSE),0)</f>
        <v>0</v>
      </c>
      <c r="AK87">
        <f>IFERROR(VLOOKUP(B87,CrossTabYitraLeTkufa_after_2000!$D$6:$AB$100,17,FALSE),0)</f>
        <v>0</v>
      </c>
      <c r="AL87" s="5">
        <f t="shared" si="97"/>
        <v>0</v>
      </c>
      <c r="AO87">
        <f>IFERROR(VLOOKUP(B87,PirteiKisuiBeMutzar_procerur!$C$6:$AA$100,2,FALSE),0)</f>
        <v>0</v>
      </c>
      <c r="AQ87">
        <f>IFERROR(VLOOKUP($B87,PirteiKisuiBeMutzar_procerur!$C$6:$AA$100,5,FALSE),0)</f>
        <v>0</v>
      </c>
      <c r="AR87">
        <f>IFERROR(VLOOKUP($B87,PirteiKisuiBeMutzar_procerur!$C$6:$AA$100,3,FALSE),0)</f>
        <v>0</v>
      </c>
      <c r="AS87">
        <f>IFERROR(VLOOKUP($B87,PirteiKisuiBeMutzar_procerur!$C$6:$AA$100,6,FALSE),0)</f>
        <v>0</v>
      </c>
      <c r="AT87">
        <f>IFERROR(VLOOKUP($B87,PirteiKisuiBeMutzar_procerur!$C$6:$AA$100,7,FALSE),0)</f>
        <v>0</v>
      </c>
      <c r="AX87" s="997">
        <f t="shared" si="98"/>
        <v>0</v>
      </c>
      <c r="AY87" s="997">
        <f t="shared" si="99"/>
        <v>0</v>
      </c>
      <c r="AZ87" s="997">
        <f t="shared" si="100"/>
        <v>0</v>
      </c>
      <c r="BA87" s="997">
        <f>IFERROR(FV(S87/100/12,'נתוני יסוד'!$B$16*12,AX87,AG87)*(-1),0)</f>
        <v>0</v>
      </c>
      <c r="BB87" s="997">
        <f>IFERROR(FV(S87/100/12,'נתוני יסוד'!$B$16*12,0,AH87)*(-1),0)</f>
        <v>0</v>
      </c>
      <c r="BC87" s="997">
        <f>IFERROR(FV(S87/100/12,'נתוני יסוד'!$B$16*12,AY87,AI87)*(-1),0)</f>
        <v>0</v>
      </c>
      <c r="BD87" s="997">
        <f>IFERROR(FV(S87/100/12,'נתוני יסוד'!$B$16*12,0,AJ87)*(-1),0)</f>
        <v>0</v>
      </c>
      <c r="BE87" s="997">
        <f>IFERROR(FV(S87/100/12,'נתוני יסוד'!$B$16*12,AZ87,AK87)*(-1),0)</f>
        <v>0</v>
      </c>
      <c r="BF87" s="997">
        <f t="shared" si="101"/>
        <v>0</v>
      </c>
      <c r="BG87" s="997">
        <f>IFERROR(FV(S87/100/12,'נתוני יסוד'!$B$16*12,AF87,AL87)*(-1),0)</f>
        <v>0</v>
      </c>
      <c r="BH87" s="997">
        <f t="shared" si="102"/>
        <v>0</v>
      </c>
      <c r="BI87" s="997">
        <f t="shared" si="103"/>
        <v>0</v>
      </c>
      <c r="BJ87" s="997">
        <f t="shared" si="104"/>
        <v>0</v>
      </c>
      <c r="BK87" s="997">
        <f t="shared" si="105"/>
        <v>0</v>
      </c>
      <c r="BL87" s="997">
        <f t="shared" si="68"/>
        <v>0</v>
      </c>
      <c r="BM87" s="997">
        <f t="shared" si="69"/>
        <v>0</v>
      </c>
      <c r="BN87" s="997">
        <f t="shared" si="70"/>
        <v>0</v>
      </c>
      <c r="BO87" s="997">
        <f t="shared" si="106"/>
        <v>0</v>
      </c>
      <c r="BP87" s="997">
        <f t="shared" si="71"/>
        <v>0</v>
      </c>
      <c r="BS87">
        <f t="shared" si="72"/>
        <v>0</v>
      </c>
      <c r="BT87">
        <f t="shared" si="73"/>
        <v>0</v>
      </c>
      <c r="BU87">
        <f t="shared" si="74"/>
        <v>0</v>
      </c>
      <c r="BV87">
        <f t="shared" si="107"/>
        <v>0</v>
      </c>
      <c r="BW87">
        <f t="shared" si="75"/>
        <v>0</v>
      </c>
      <c r="BY87" s="997">
        <f t="shared" si="76"/>
        <v>0</v>
      </c>
      <c r="BZ87" s="997">
        <f t="shared" si="77"/>
        <v>0</v>
      </c>
      <c r="CA87" s="997">
        <f t="shared" si="78"/>
        <v>0</v>
      </c>
      <c r="CB87" s="997">
        <f t="shared" si="108"/>
        <v>0</v>
      </c>
      <c r="CC87" s="997">
        <f t="shared" si="79"/>
        <v>0</v>
      </c>
      <c r="CD87" s="997">
        <f t="shared" si="80"/>
        <v>0</v>
      </c>
      <c r="CE87" s="997">
        <f t="shared" si="81"/>
        <v>0</v>
      </c>
      <c r="CF87" s="997">
        <f t="shared" si="82"/>
        <v>0</v>
      </c>
      <c r="CG87" s="997">
        <f t="shared" si="83"/>
        <v>0</v>
      </c>
      <c r="CH87" s="997">
        <f t="shared" si="84"/>
        <v>0</v>
      </c>
      <c r="CI87" s="997">
        <f t="shared" si="85"/>
        <v>0</v>
      </c>
      <c r="CJ87" s="997">
        <f t="shared" si="86"/>
        <v>0</v>
      </c>
      <c r="CK87" s="997"/>
      <c r="CL87" s="997"/>
      <c r="CM87" s="997">
        <f t="shared" si="87"/>
        <v>0</v>
      </c>
      <c r="CN87" s="997">
        <f t="shared" si="88"/>
        <v>0</v>
      </c>
      <c r="CO87" s="997">
        <f t="shared" si="89"/>
        <v>0</v>
      </c>
      <c r="CP87" s="997">
        <f t="shared" si="109"/>
        <v>0</v>
      </c>
      <c r="CQ87" s="997">
        <f t="shared" si="90"/>
        <v>0</v>
      </c>
      <c r="CR87" s="997">
        <f>IFERROR(VLOOKUP($B87,SchumeiBituahYesodi!$C$6:$AA$100,8,FALSE),0)</f>
        <v>0</v>
      </c>
      <c r="CS87" s="997">
        <f>IFERROR(VLOOKUP($B87,PirteiKisuiBeMutzar_procerur!$C$6:$AA$100,2,FALSE),0)</f>
        <v>0</v>
      </c>
      <c r="CT87" s="997">
        <f>IFERROR(VLOOKUP($B87,PirteiKisuiBeMutzar_procerur!$C$6:$AA$100,3,FALSE),0)</f>
        <v>0</v>
      </c>
      <c r="CU87" s="997">
        <f>IFERROR(VLOOKUP($B87,PirteiKisuiBeMutzar_procerur!$C$6:$AA$100,4,FALSE),0)</f>
        <v>0</v>
      </c>
      <c r="CV87" s="997">
        <f>IFERROR(VLOOKUP($B87,PirteiKisuiBeMutzar_procerur!$C$6:$AA$100,5,FALSE),0)</f>
        <v>0</v>
      </c>
      <c r="CW87" s="997">
        <f>IFERROR(VLOOKUP($B87,PirteiKisuiBeMutzar_procerur!$C$6:$AA$100,6,FALSE),0)</f>
        <v>0</v>
      </c>
      <c r="CX87" s="997">
        <f>IFERROR(VLOOKUP($B87,PirteiKisuiBeMutzar_procerur!$C$6:$AA$100,7,FALSE),0)</f>
        <v>0</v>
      </c>
      <c r="CY87" s="997">
        <f>IFERROR(VLOOKUP($B87,PirteiKisuiBeMutzar_procerur!$C$6:$AA$100,8,FALSE),0)</f>
        <v>0</v>
      </c>
      <c r="CZ87" s="997">
        <f>IFERROR(VLOOKUP($B87,PirteiKisuiBeMutzar_procerur!$C$6:$AA$100,9,FALSE),0)</f>
        <v>0</v>
      </c>
      <c r="DA87" s="997">
        <f>IFERROR(VLOOKUP($B87,PirteiKisuiBeMutzar_procerur!$C$6:$AA$100,10,FALSE),0)</f>
        <v>0</v>
      </c>
      <c r="DB87" s="997">
        <f>IFERROR(VLOOKUP($B87,PirteiKisuiBeMutzar_procerur!$C$6:$AA$100,11,FALSE),0)</f>
        <v>0</v>
      </c>
      <c r="DC87" s="997">
        <f>IFERROR(VLOOKUP($B87,PirteiKisuiBeMutzarPrmia!$C$6:$Z$100,2,FALSE),0)</f>
        <v>0</v>
      </c>
      <c r="DD87" s="997">
        <f>IFERROR(VLOOKUP($B87,PirteiKisuiBeMutzarPrmia!$C$6:$Z$100,3,FALSE),0)</f>
        <v>0</v>
      </c>
      <c r="DE87" s="997">
        <f>IFERROR(VLOOKUP($B87,PirteiKisuiBeMutzarPrmia!$C$6:$Z$100,4,FALSE),0)</f>
        <v>0</v>
      </c>
      <c r="DF87" s="997">
        <f>IFERROR(VLOOKUP($B87,PirteiKisuiBeMutzarPrmia!$C$6:$Z$100,5,FALSE),0)</f>
        <v>0</v>
      </c>
      <c r="DG87" s="997">
        <f>IFERROR(VLOOKUP($B87,PirteiKisuiBeMutzarPrmia!$C$6:$Z$100,6,FALSE),0)</f>
        <v>0</v>
      </c>
      <c r="DH87" s="997">
        <f>IFERROR(VLOOKUP($B87,PirteiKisuiBeMutzarPrmia!$C$6:$Z$100,7,FALSE),0)</f>
        <v>0</v>
      </c>
      <c r="DI87" s="997">
        <f>IFERROR(VLOOKUP($B87,PirteiKisuiBeMutzarPrmia!$C$6:$Z$100,8,FALSE),0)</f>
        <v>0</v>
      </c>
      <c r="DJ87" s="997">
        <f>IFERROR(VLOOKUP($B87,PirteiKisuiBeMutzarPrmia!$C$6:$Z$100,9,FALSE),0)</f>
        <v>0</v>
      </c>
      <c r="DK87" s="997">
        <f>IFERROR(VLOOKUP($B87,PirteiKisuiBeMutzarPrmia!$C$6:$Z$100,10,FALSE),0)</f>
        <v>0</v>
      </c>
      <c r="DL87" s="997">
        <f>IFERROR(VLOOKUP($B87,PirteiKisuiBeMutzarPrmia!$C$6:$Z$100,11,FALSE),0)</f>
        <v>0</v>
      </c>
      <c r="DM87" s="997">
        <f t="shared" si="110"/>
        <v>0</v>
      </c>
      <c r="DN87" s="997">
        <f t="shared" si="91"/>
        <v>0</v>
      </c>
      <c r="DO87" s="997">
        <f t="shared" si="92"/>
        <v>0</v>
      </c>
      <c r="DP87" s="997">
        <f t="shared" si="67"/>
        <v>0</v>
      </c>
      <c r="DQ87" s="997">
        <f t="shared" si="93"/>
        <v>0</v>
      </c>
      <c r="DR87" s="997">
        <f>IF(OR(L87=1,L87=3),IFERROR(VLOOKUP($B87,PerutHafkadotMetchilatShanaAvgM!$C$6:$G$100,3,FALSE),0),0)</f>
        <v>0</v>
      </c>
      <c r="DS87" s="997">
        <f>IF(OR(L87=2,L87=4),IFERROR(VLOOKUP($B87,PerutHafkadotMetchilatShanaAvgM!$C$6:$G$100,3,FALSE),0),0)</f>
        <v>0</v>
      </c>
      <c r="DT87" s="997">
        <f>IFERROR(VLOOKUP($B87,PerutHafkadotMetchilatShanaAvgM!$C$6:$G$100,4,FALSE),0)</f>
        <v>0</v>
      </c>
      <c r="DU87" s="997">
        <f>IFERROR(VLOOKUP($B87,Kupa!$D$6:$AA$100,5,FALSE),0)</f>
        <v>0</v>
      </c>
      <c r="DV87" s="997">
        <f>IFERROR(VLOOKUP($B87,Kupa!$D$6:$AA$100,6,FALSE),0)</f>
        <v>0</v>
      </c>
      <c r="DW87" s="997">
        <f>IFERROR(VLOOKUP($B87,KisuiBKerenPensiaDBWithParams!$D$6:$AP$100,9,FALSE),0)</f>
        <v>0</v>
      </c>
      <c r="DX87" s="997">
        <f>IFERROR(VLOOKUP($B87,KisuiBKerenPensiaDBWithParams!$D$6:$AP$100,12,FALSE),0)</f>
        <v>0</v>
      </c>
      <c r="DY87" s="997">
        <f>IFERROR(VLOOKUP($B87,KisuiBKerenPensiaDBWithParams!$D$6:$AP$100,13,FALSE),0)</f>
        <v>0</v>
      </c>
      <c r="DZ87" s="997">
        <f>IFERROR(VLOOKUP($B87,KisuiBKerenPensiaDBWithParams!$D$6:$AP$100,7,FALSE),0)</f>
        <v>0</v>
      </c>
      <c r="EA87" s="997">
        <f>IFERROR(VLOOKUP($B87,KisuiBKerenPensiaDBWithParams!$D$6:$AP$100,17,FALSE),0)</f>
        <v>0</v>
      </c>
      <c r="EB87" s="997">
        <f>IFERROR(VLOOKUP($B87,KisuiBKerenPensiaDBWithParams!$D$6:$AP$100,20,FALSE),0)</f>
        <v>0</v>
      </c>
      <c r="EC87" s="997">
        <f>IFERROR(VLOOKUP($B87,KisuiBKerenPensiaDBWithParams!$D$6:$AP$100,21,FALSE),0)</f>
        <v>0</v>
      </c>
      <c r="ED87" s="997">
        <f t="shared" si="111"/>
        <v>0</v>
      </c>
      <c r="EE87" s="997"/>
      <c r="EF87" s="1020">
        <f>IFERROR(VLOOKUP($B87,KisuiBKerenPensiaDBWithParams!$D$6:$AP$100,21,FALSE),0)</f>
        <v>0</v>
      </c>
      <c r="EG87" s="1020">
        <f>IFERROR(VLOOKUP($B87,KisuiBKerenPensiaDBWithParams!$D$6:$AP$100,21,FALSE),0)</f>
        <v>0</v>
      </c>
      <c r="EH87">
        <f>IF(OR(G87=MyData!$J$51,G87=MyData!$J$52,G87=MyData!$J$53),1,IF(G87=MyData!$J$50,2,0))</f>
        <v>0</v>
      </c>
    </row>
    <row r="88" spans="1:147" x14ac:dyDescent="0.2">
      <c r="A88">
        <f t="shared" si="112"/>
        <v>0</v>
      </c>
      <c r="B88" s="20">
        <f>RicusPolice!E85</f>
        <v>0</v>
      </c>
      <c r="C88" s="20">
        <f>RicusPolice!AL85</f>
        <v>0</v>
      </c>
      <c r="D88" s="20">
        <f>RicusPolice!F85</f>
        <v>0</v>
      </c>
      <c r="E88" s="20">
        <f>RicusPolice!R85</f>
        <v>0</v>
      </c>
      <c r="F88" s="20">
        <f>RicusPolice!N85</f>
        <v>0</v>
      </c>
      <c r="G88" s="20">
        <f>IFERROR(VLOOKUP($B88,PerutYitrot!$D$6:$P$100,4,FALSE),0)</f>
        <v>0</v>
      </c>
      <c r="H88" s="20">
        <f t="shared" si="94"/>
        <v>0</v>
      </c>
      <c r="I88" s="20">
        <f>RicusPolice!L85</f>
        <v>0</v>
      </c>
      <c r="J88" s="179">
        <f>IFERROR(VLOOKUP(TRIM(K88),MyData!$J$44:$K$50,2,FALSE),0)</f>
        <v>0</v>
      </c>
      <c r="K88" s="20">
        <f>RicusPolice!M85</f>
        <v>0</v>
      </c>
      <c r="L88" s="20">
        <f>RicusPolice!AM85</f>
        <v>0</v>
      </c>
      <c r="M88" s="20" t="str">
        <f>IF(B88&gt;0,RicusPolice!Y85," ")</f>
        <v xml:space="preserve"> </v>
      </c>
      <c r="N88" s="20" t="str">
        <f t="shared" si="95"/>
        <v/>
      </c>
      <c r="O88" s="20">
        <f>RicusPolice!N85</f>
        <v>0</v>
      </c>
      <c r="P88" s="20">
        <f>IFERROR(VLOOKUP(B88,PerutMasluleiHashkaa!$D$6:$R$100,4,FALSE),0)</f>
        <v>0</v>
      </c>
      <c r="Q88" s="19"/>
      <c r="R88" s="1011" t="str">
        <f>IF(B88&gt;0,RicusPolice!P87," ")</f>
        <v xml:space="preserve"> </v>
      </c>
      <c r="S88" s="20">
        <f>IFERROR(VLOOKUP($B88,'נתונים ידניים'!$B$9:$G$51,6,FALSE),0)</f>
        <v>0</v>
      </c>
      <c r="T88" s="21">
        <f>'נתונים ידניים'!J89</f>
        <v>0</v>
      </c>
      <c r="U88" s="21">
        <f>'נתונים ידניים'!K89</f>
        <v>0</v>
      </c>
      <c r="V88" s="20">
        <f>IFERROR(VLOOKUP($B88,PerutHafrashotLePolisa!$D$6:$N$50,2,FALSE),0)</f>
        <v>0</v>
      </c>
      <c r="W88" s="20">
        <f>IFERROR(VLOOKUP($B88,PerutHafrashotLePolisa!$D$6:$N$50,4,FALSE),0)</f>
        <v>0</v>
      </c>
      <c r="X88" s="20">
        <f>IFERROR(VLOOKUP($B88,PerutHafrashotLePolisa!$D$6:$N$50,3,FALSE),0)</f>
        <v>0</v>
      </c>
      <c r="Y88">
        <f t="shared" si="96"/>
        <v>0</v>
      </c>
      <c r="Z88">
        <f>RicusPolice!AP85</f>
        <v>0</v>
      </c>
      <c r="AA88">
        <f>IFERROR(VLOOKUP(B88,PirteiHaasaka!$D$6:$R$100,5,FALSE),0)</f>
        <v>0</v>
      </c>
      <c r="AC88">
        <f>IFERROR(VLOOKUP(B88,HafkadotMetchilatShanaAverages!$D$6:$E$100,2,FALSE),0)</f>
        <v>0</v>
      </c>
      <c r="AF88">
        <f>'נתונים ידניים'!L89</f>
        <v>0</v>
      </c>
      <c r="AG88">
        <f>IFERROR(VLOOKUP(B88,CrossTabYitraLeTkufa_till_2000!$D$6:$AB$100,6,FALSE),0)+IFERROR(VLOOKUP(B88,CrossTabYitraLeTkufa_after_2000!$D$6:$AB$100,6,FALSE),0)</f>
        <v>0</v>
      </c>
      <c r="AH88">
        <f>IFERROR(VLOOKUP(B88,CrossTabYitraLeTkufa_till_2000!$D$6:$AB$100,16,FALSE),0)</f>
        <v>0</v>
      </c>
      <c r="AI88">
        <f>IFERROR(VLOOKUP(B88,CrossTabYitraLeTkufa_after_2000!$D$6:$AB$100,16,FALSE),0)</f>
        <v>0</v>
      </c>
      <c r="AJ88">
        <f>IFERROR(VLOOKUP(B88,CrossTabYitraLeTkufa_till_2000!$D$6:$AB$100,17,FALSE),0)</f>
        <v>0</v>
      </c>
      <c r="AK88">
        <f>IFERROR(VLOOKUP(B88,CrossTabYitraLeTkufa_after_2000!$D$6:$AB$100,17,FALSE),0)</f>
        <v>0</v>
      </c>
      <c r="AL88" s="5">
        <f t="shared" si="97"/>
        <v>0</v>
      </c>
      <c r="AO88">
        <f>IFERROR(VLOOKUP(B88,PirteiKisuiBeMutzar_procerur!$C$6:$AA$100,2,FALSE),0)</f>
        <v>0</v>
      </c>
      <c r="AQ88">
        <f>IFERROR(VLOOKUP($B88,PirteiKisuiBeMutzar_procerur!$C$6:$AA$100,5,FALSE),0)</f>
        <v>0</v>
      </c>
      <c r="AR88">
        <f>IFERROR(VLOOKUP($B88,PirteiKisuiBeMutzar_procerur!$C$6:$AA$100,3,FALSE),0)</f>
        <v>0</v>
      </c>
      <c r="AS88">
        <f>IFERROR(VLOOKUP($B88,PirteiKisuiBeMutzar_procerur!$C$6:$AA$100,6,FALSE),0)</f>
        <v>0</v>
      </c>
      <c r="AT88">
        <f>IFERROR(VLOOKUP($B88,PirteiKisuiBeMutzar_procerur!$C$6:$AA$100,7,FALSE),0)</f>
        <v>0</v>
      </c>
      <c r="AX88" s="997">
        <f t="shared" si="98"/>
        <v>0</v>
      </c>
      <c r="AY88" s="997">
        <f t="shared" si="99"/>
        <v>0</v>
      </c>
      <c r="AZ88" s="997">
        <f t="shared" si="100"/>
        <v>0</v>
      </c>
      <c r="BA88" s="997">
        <f>IFERROR(FV(S88/100/12,'נתוני יסוד'!$B$16*12,AX88,AG88)*(-1),0)</f>
        <v>0</v>
      </c>
      <c r="BB88" s="997">
        <f>IFERROR(FV(S88/100/12,'נתוני יסוד'!$B$16*12,0,AH88)*(-1),0)</f>
        <v>0</v>
      </c>
      <c r="BC88" s="997">
        <f>IFERROR(FV(S88/100/12,'נתוני יסוד'!$B$16*12,AY88,AI88)*(-1),0)</f>
        <v>0</v>
      </c>
      <c r="BD88" s="997">
        <f>IFERROR(FV(S88/100/12,'נתוני יסוד'!$B$16*12,0,AJ88)*(-1),0)</f>
        <v>0</v>
      </c>
      <c r="BE88" s="997">
        <f>IFERROR(FV(S88/100/12,'נתוני יסוד'!$B$16*12,AZ88,AK88)*(-1),0)</f>
        <v>0</v>
      </c>
      <c r="BF88" s="997">
        <f t="shared" si="101"/>
        <v>0</v>
      </c>
      <c r="BG88" s="997">
        <f>IFERROR(FV(S88/100/12,'נתוני יסוד'!$B$16*12,AF88,AL88)*(-1),0)</f>
        <v>0</v>
      </c>
      <c r="BH88" s="997">
        <f t="shared" si="102"/>
        <v>0</v>
      </c>
      <c r="BI88" s="997">
        <f t="shared" si="103"/>
        <v>0</v>
      </c>
      <c r="BJ88" s="997">
        <f t="shared" si="104"/>
        <v>0</v>
      </c>
      <c r="BK88" s="997">
        <f t="shared" si="105"/>
        <v>0</v>
      </c>
      <c r="BL88" s="997">
        <f t="shared" si="68"/>
        <v>0</v>
      </c>
      <c r="BM88" s="997">
        <f t="shared" si="69"/>
        <v>0</v>
      </c>
      <c r="BN88" s="997">
        <f t="shared" si="70"/>
        <v>0</v>
      </c>
      <c r="BO88" s="997">
        <f t="shared" si="106"/>
        <v>0</v>
      </c>
      <c r="BP88" s="997">
        <f t="shared" si="71"/>
        <v>0</v>
      </c>
      <c r="BS88">
        <f t="shared" si="72"/>
        <v>0</v>
      </c>
      <c r="BT88">
        <f t="shared" si="73"/>
        <v>0</v>
      </c>
      <c r="BU88">
        <f t="shared" si="74"/>
        <v>0</v>
      </c>
      <c r="BV88">
        <f t="shared" si="107"/>
        <v>0</v>
      </c>
      <c r="BW88">
        <f t="shared" si="75"/>
        <v>0</v>
      </c>
      <c r="BY88" s="997">
        <f t="shared" si="76"/>
        <v>0</v>
      </c>
      <c r="BZ88" s="997">
        <f t="shared" si="77"/>
        <v>0</v>
      </c>
      <c r="CA88" s="997">
        <f t="shared" si="78"/>
        <v>0</v>
      </c>
      <c r="CB88" s="997">
        <f t="shared" si="108"/>
        <v>0</v>
      </c>
      <c r="CC88" s="997">
        <f t="shared" si="79"/>
        <v>0</v>
      </c>
      <c r="CD88" s="997">
        <f t="shared" si="80"/>
        <v>0</v>
      </c>
      <c r="CE88" s="997">
        <f t="shared" si="81"/>
        <v>0</v>
      </c>
      <c r="CF88" s="997">
        <f t="shared" si="82"/>
        <v>0</v>
      </c>
      <c r="CG88" s="997">
        <f t="shared" si="83"/>
        <v>0</v>
      </c>
      <c r="CH88" s="997">
        <f t="shared" si="84"/>
        <v>0</v>
      </c>
      <c r="CI88" s="997">
        <f t="shared" si="85"/>
        <v>0</v>
      </c>
      <c r="CJ88" s="997">
        <f t="shared" si="86"/>
        <v>0</v>
      </c>
      <c r="CK88" s="997"/>
      <c r="CL88" s="997"/>
      <c r="CM88" s="997">
        <f t="shared" si="87"/>
        <v>0</v>
      </c>
      <c r="CN88" s="997">
        <f t="shared" si="88"/>
        <v>0</v>
      </c>
      <c r="CO88" s="997">
        <f t="shared" si="89"/>
        <v>0</v>
      </c>
      <c r="CP88" s="997">
        <f t="shared" si="109"/>
        <v>0</v>
      </c>
      <c r="CQ88" s="997">
        <f t="shared" si="90"/>
        <v>0</v>
      </c>
      <c r="CR88" s="997">
        <f>IFERROR(VLOOKUP($B88,SchumeiBituahYesodi!$C$6:$AA$100,8,FALSE),0)</f>
        <v>0</v>
      </c>
      <c r="CS88" s="997">
        <f>IFERROR(VLOOKUP($B88,PirteiKisuiBeMutzar_procerur!$C$6:$AA$100,2,FALSE),0)</f>
        <v>0</v>
      </c>
      <c r="CT88" s="997">
        <f>IFERROR(VLOOKUP($B88,PirteiKisuiBeMutzar_procerur!$C$6:$AA$100,3,FALSE),0)</f>
        <v>0</v>
      </c>
      <c r="CU88" s="997">
        <f>IFERROR(VLOOKUP($B88,PirteiKisuiBeMutzar_procerur!$C$6:$AA$100,4,FALSE),0)</f>
        <v>0</v>
      </c>
      <c r="CV88" s="997">
        <f>IFERROR(VLOOKUP($B88,PirteiKisuiBeMutzar_procerur!$C$6:$AA$100,5,FALSE),0)</f>
        <v>0</v>
      </c>
      <c r="CW88" s="997">
        <f>IFERROR(VLOOKUP($B88,PirteiKisuiBeMutzar_procerur!$C$6:$AA$100,6,FALSE),0)</f>
        <v>0</v>
      </c>
      <c r="CX88" s="997">
        <f>IFERROR(VLOOKUP($B88,PirteiKisuiBeMutzar_procerur!$C$6:$AA$100,7,FALSE),0)</f>
        <v>0</v>
      </c>
      <c r="CY88" s="997">
        <f>IFERROR(VLOOKUP($B88,PirteiKisuiBeMutzar_procerur!$C$6:$AA$100,8,FALSE),0)</f>
        <v>0</v>
      </c>
      <c r="CZ88" s="997">
        <f>IFERROR(VLOOKUP($B88,PirteiKisuiBeMutzar_procerur!$C$6:$AA$100,9,FALSE),0)</f>
        <v>0</v>
      </c>
      <c r="DA88" s="997">
        <f>IFERROR(VLOOKUP($B88,PirteiKisuiBeMutzar_procerur!$C$6:$AA$100,10,FALSE),0)</f>
        <v>0</v>
      </c>
      <c r="DB88" s="997">
        <f>IFERROR(VLOOKUP($B88,PirteiKisuiBeMutzar_procerur!$C$6:$AA$100,11,FALSE),0)</f>
        <v>0</v>
      </c>
      <c r="DC88" s="997">
        <f>IFERROR(VLOOKUP($B88,PirteiKisuiBeMutzarPrmia!$C$6:$Z$100,2,FALSE),0)</f>
        <v>0</v>
      </c>
      <c r="DD88" s="997">
        <f>IFERROR(VLOOKUP($B88,PirteiKisuiBeMutzarPrmia!$C$6:$Z$100,3,FALSE),0)</f>
        <v>0</v>
      </c>
      <c r="DE88" s="997">
        <f>IFERROR(VLOOKUP($B88,PirteiKisuiBeMutzarPrmia!$C$6:$Z$100,4,FALSE),0)</f>
        <v>0</v>
      </c>
      <c r="DF88" s="997">
        <f>IFERROR(VLOOKUP($B88,PirteiKisuiBeMutzarPrmia!$C$6:$Z$100,5,FALSE),0)</f>
        <v>0</v>
      </c>
      <c r="DG88" s="997">
        <f>IFERROR(VLOOKUP($B88,PirteiKisuiBeMutzarPrmia!$C$6:$Z$100,6,FALSE),0)</f>
        <v>0</v>
      </c>
      <c r="DH88" s="997">
        <f>IFERROR(VLOOKUP($B88,PirteiKisuiBeMutzarPrmia!$C$6:$Z$100,7,FALSE),0)</f>
        <v>0</v>
      </c>
      <c r="DI88" s="997">
        <f>IFERROR(VLOOKUP($B88,PirteiKisuiBeMutzarPrmia!$C$6:$Z$100,8,FALSE),0)</f>
        <v>0</v>
      </c>
      <c r="DJ88" s="997">
        <f>IFERROR(VLOOKUP($B88,PirteiKisuiBeMutzarPrmia!$C$6:$Z$100,9,FALSE),0)</f>
        <v>0</v>
      </c>
      <c r="DK88" s="997">
        <f>IFERROR(VLOOKUP($B88,PirteiKisuiBeMutzarPrmia!$C$6:$Z$100,10,FALSE),0)</f>
        <v>0</v>
      </c>
      <c r="DL88" s="997">
        <f>IFERROR(VLOOKUP($B88,PirteiKisuiBeMutzarPrmia!$C$6:$Z$100,11,FALSE),0)</f>
        <v>0</v>
      </c>
      <c r="DM88" s="997">
        <f t="shared" si="110"/>
        <v>0</v>
      </c>
      <c r="DN88" s="997">
        <f t="shared" si="91"/>
        <v>0</v>
      </c>
      <c r="DO88" s="997">
        <f t="shared" si="92"/>
        <v>0</v>
      </c>
      <c r="DP88" s="997">
        <f t="shared" si="67"/>
        <v>0</v>
      </c>
      <c r="DQ88" s="997">
        <f t="shared" si="93"/>
        <v>0</v>
      </c>
      <c r="DR88" s="997">
        <f>IF(OR(L88=1,L88=3),IFERROR(VLOOKUP($B88,PerutHafkadotMetchilatShanaAvgM!$C$6:$G$100,3,FALSE),0),0)</f>
        <v>0</v>
      </c>
      <c r="DS88" s="997">
        <f>IF(OR(L88=2,L88=4),IFERROR(VLOOKUP($B88,PerutHafkadotMetchilatShanaAvgM!$C$6:$G$100,3,FALSE),0),0)</f>
        <v>0</v>
      </c>
      <c r="DT88" s="997">
        <f>IFERROR(VLOOKUP($B88,PerutHafkadotMetchilatShanaAvgM!$C$6:$G$100,4,FALSE),0)</f>
        <v>0</v>
      </c>
      <c r="DU88" s="997">
        <f>IFERROR(VLOOKUP($B88,Kupa!$D$6:$AA$100,5,FALSE),0)</f>
        <v>0</v>
      </c>
      <c r="DV88" s="997">
        <f>IFERROR(VLOOKUP($B88,Kupa!$D$6:$AA$100,6,FALSE),0)</f>
        <v>0</v>
      </c>
      <c r="DW88" s="997">
        <f>IFERROR(VLOOKUP($B88,KisuiBKerenPensiaDBWithParams!$D$6:$AP$100,9,FALSE),0)</f>
        <v>0</v>
      </c>
      <c r="DX88" s="997">
        <f>IFERROR(VLOOKUP($B88,KisuiBKerenPensiaDBWithParams!$D$6:$AP$100,12,FALSE),0)</f>
        <v>0</v>
      </c>
      <c r="DY88" s="997">
        <f>IFERROR(VLOOKUP($B88,KisuiBKerenPensiaDBWithParams!$D$6:$AP$100,13,FALSE),0)</f>
        <v>0</v>
      </c>
      <c r="DZ88" s="997">
        <f>IFERROR(VLOOKUP($B88,KisuiBKerenPensiaDBWithParams!$D$6:$AP$100,7,FALSE),0)</f>
        <v>0</v>
      </c>
      <c r="EA88" s="997">
        <f>IFERROR(VLOOKUP($B88,KisuiBKerenPensiaDBWithParams!$D$6:$AP$100,17,FALSE),0)</f>
        <v>0</v>
      </c>
      <c r="EB88" s="997">
        <f>IFERROR(VLOOKUP($B88,KisuiBKerenPensiaDBWithParams!$D$6:$AP$100,20,FALSE),0)</f>
        <v>0</v>
      </c>
      <c r="EC88" s="997">
        <f>IFERROR(VLOOKUP($B88,KisuiBKerenPensiaDBWithParams!$D$6:$AP$100,21,FALSE),0)</f>
        <v>0</v>
      </c>
      <c r="ED88" s="997">
        <f t="shared" si="111"/>
        <v>0</v>
      </c>
      <c r="EE88" s="997"/>
      <c r="EF88" s="1020">
        <f>IFERROR(VLOOKUP($B88,KisuiBKerenPensiaDBWithParams!$D$6:$AP$100,21,FALSE),0)</f>
        <v>0</v>
      </c>
      <c r="EG88" s="1020">
        <f>IFERROR(VLOOKUP($B88,KisuiBKerenPensiaDBWithParams!$D$6:$AP$100,21,FALSE),0)</f>
        <v>0</v>
      </c>
      <c r="EH88">
        <f>IF(OR(G88=MyData!$J$51,G88=MyData!$J$52,G88=MyData!$J$53),1,IF(G88=MyData!$J$50,2,0))</f>
        <v>0</v>
      </c>
    </row>
    <row r="89" spans="1:147" x14ac:dyDescent="0.2">
      <c r="A89">
        <f t="shared" si="112"/>
        <v>0</v>
      </c>
      <c r="B89" s="20">
        <f>RicusPolice!E86</f>
        <v>0</v>
      </c>
      <c r="C89" s="20">
        <f>RicusPolice!AL86</f>
        <v>0</v>
      </c>
      <c r="D89" s="20">
        <f>RicusPolice!F86</f>
        <v>0</v>
      </c>
      <c r="E89" s="20">
        <f>RicusPolice!R86</f>
        <v>0</v>
      </c>
      <c r="F89" s="20">
        <f>RicusPolice!N86</f>
        <v>0</v>
      </c>
      <c r="G89" s="20">
        <f>IFERROR(VLOOKUP($B89,PerutYitrot!$D$6:$P$100,4,FALSE),0)</f>
        <v>0</v>
      </c>
      <c r="H89" s="20">
        <f t="shared" si="94"/>
        <v>0</v>
      </c>
      <c r="I89" s="20">
        <f>RicusPolice!L86</f>
        <v>0</v>
      </c>
      <c r="J89" s="179">
        <f>IFERROR(VLOOKUP(TRIM(K89),MyData!$J$44:$K$50,2,FALSE),0)</f>
        <v>0</v>
      </c>
      <c r="K89" s="20">
        <f>RicusPolice!M86</f>
        <v>0</v>
      </c>
      <c r="L89" s="20">
        <f>RicusPolice!AM86</f>
        <v>0</v>
      </c>
      <c r="M89" s="20" t="str">
        <f>IF(B89&gt;0,RicusPolice!Y86," ")</f>
        <v xml:space="preserve"> </v>
      </c>
      <c r="N89" s="20" t="str">
        <f t="shared" si="95"/>
        <v/>
      </c>
      <c r="O89" s="20">
        <f>RicusPolice!N86</f>
        <v>0</v>
      </c>
      <c r="P89" s="20">
        <f>IFERROR(VLOOKUP(B89,PerutMasluleiHashkaa!$D$6:$R$100,4,FALSE),0)</f>
        <v>0</v>
      </c>
      <c r="Q89" s="19"/>
      <c r="R89" s="1011" t="str">
        <f>IF(B89&gt;0,RicusPolice!P88," ")</f>
        <v xml:space="preserve"> </v>
      </c>
      <c r="S89" s="20">
        <f>IFERROR(VLOOKUP($B89,'נתונים ידניים'!$B$9:$G$51,6,FALSE),0)</f>
        <v>0</v>
      </c>
      <c r="T89" s="21">
        <f>'נתונים ידניים'!J90</f>
        <v>0</v>
      </c>
      <c r="U89" s="21">
        <f>'נתונים ידניים'!K90</f>
        <v>0</v>
      </c>
      <c r="V89" s="20">
        <f>IFERROR(VLOOKUP($B89,PerutHafrashotLePolisa!$D$6:$N$50,2,FALSE),0)</f>
        <v>0</v>
      </c>
      <c r="W89" s="20">
        <f>IFERROR(VLOOKUP($B89,PerutHafrashotLePolisa!$D$6:$N$50,4,FALSE),0)</f>
        <v>0</v>
      </c>
      <c r="X89" s="20">
        <f>IFERROR(VLOOKUP($B89,PerutHafrashotLePolisa!$D$6:$N$50,3,FALSE),0)</f>
        <v>0</v>
      </c>
      <c r="Y89">
        <f t="shared" si="96"/>
        <v>0</v>
      </c>
      <c r="Z89">
        <f>RicusPolice!AP86</f>
        <v>0</v>
      </c>
      <c r="AA89">
        <f>IFERROR(VLOOKUP(B89,PirteiHaasaka!$D$6:$R$100,5,FALSE),0)</f>
        <v>0</v>
      </c>
      <c r="AC89">
        <f>IFERROR(VLOOKUP(B89,HafkadotMetchilatShanaAverages!$D$6:$E$100,2,FALSE),0)</f>
        <v>0</v>
      </c>
      <c r="AF89">
        <f>'נתונים ידניים'!L90</f>
        <v>0</v>
      </c>
      <c r="AG89">
        <f>IFERROR(VLOOKUP(B89,CrossTabYitraLeTkufa_till_2000!$D$6:$AB$100,6,FALSE),0)+IFERROR(VLOOKUP(B89,CrossTabYitraLeTkufa_after_2000!$D$6:$AB$100,6,FALSE),0)</f>
        <v>0</v>
      </c>
      <c r="AH89">
        <f>IFERROR(VLOOKUP(B89,CrossTabYitraLeTkufa_till_2000!$D$6:$AB$100,16,FALSE),0)</f>
        <v>0</v>
      </c>
      <c r="AI89">
        <f>IFERROR(VLOOKUP(B89,CrossTabYitraLeTkufa_after_2000!$D$6:$AB$100,16,FALSE),0)</f>
        <v>0</v>
      </c>
      <c r="AJ89">
        <f>IFERROR(VLOOKUP(B89,CrossTabYitraLeTkufa_till_2000!$D$6:$AB$100,17,FALSE),0)</f>
        <v>0</v>
      </c>
      <c r="AK89">
        <f>IFERROR(VLOOKUP(B89,CrossTabYitraLeTkufa_after_2000!$D$6:$AB$100,17,FALSE),0)</f>
        <v>0</v>
      </c>
      <c r="AL89" s="5">
        <f t="shared" si="97"/>
        <v>0</v>
      </c>
      <c r="AO89">
        <f>IFERROR(VLOOKUP(B89,PirteiKisuiBeMutzar_procerur!$C$6:$AA$100,2,FALSE),0)</f>
        <v>0</v>
      </c>
      <c r="AQ89">
        <f>IFERROR(VLOOKUP($B89,PirteiKisuiBeMutzar_procerur!$C$6:$AA$100,5,FALSE),0)</f>
        <v>0</v>
      </c>
      <c r="AR89">
        <f>IFERROR(VLOOKUP($B89,PirteiKisuiBeMutzar_procerur!$C$6:$AA$100,3,FALSE),0)</f>
        <v>0</v>
      </c>
      <c r="AS89">
        <f>IFERROR(VLOOKUP($B89,PirteiKisuiBeMutzar_procerur!$C$6:$AA$100,6,FALSE),0)</f>
        <v>0</v>
      </c>
      <c r="AT89">
        <f>IFERROR(VLOOKUP($B89,PirteiKisuiBeMutzar_procerur!$C$6:$AA$100,7,FALSE),0)</f>
        <v>0</v>
      </c>
      <c r="AX89" s="997">
        <f t="shared" si="98"/>
        <v>0</v>
      </c>
      <c r="AY89" s="997">
        <f t="shared" si="99"/>
        <v>0</v>
      </c>
      <c r="AZ89" s="997">
        <f t="shared" si="100"/>
        <v>0</v>
      </c>
      <c r="BA89" s="997">
        <f>IFERROR(FV(S89/100/12,'נתוני יסוד'!$B$16*12,AX89,AG89)*(-1),0)</f>
        <v>0</v>
      </c>
      <c r="BB89" s="997">
        <f>IFERROR(FV(S89/100/12,'נתוני יסוד'!$B$16*12,0,AH89)*(-1),0)</f>
        <v>0</v>
      </c>
      <c r="BC89" s="997">
        <f>IFERROR(FV(S89/100/12,'נתוני יסוד'!$B$16*12,AY89,AI89)*(-1),0)</f>
        <v>0</v>
      </c>
      <c r="BD89" s="997">
        <f>IFERROR(FV(S89/100/12,'נתוני יסוד'!$B$16*12,0,AJ89)*(-1),0)</f>
        <v>0</v>
      </c>
      <c r="BE89" s="997">
        <f>IFERROR(FV(S89/100/12,'נתוני יסוד'!$B$16*12,AZ89,AK89)*(-1),0)</f>
        <v>0</v>
      </c>
      <c r="BF89" s="997">
        <f t="shared" si="101"/>
        <v>0</v>
      </c>
      <c r="BG89" s="997">
        <f>IFERROR(FV(S89/100/12,'נתוני יסוד'!$B$16*12,AF89,AL89)*(-1),0)</f>
        <v>0</v>
      </c>
      <c r="BH89" s="997">
        <f t="shared" si="102"/>
        <v>0</v>
      </c>
      <c r="BI89" s="997">
        <f t="shared" si="103"/>
        <v>0</v>
      </c>
      <c r="BJ89" s="997">
        <f t="shared" si="104"/>
        <v>0</v>
      </c>
      <c r="BK89" s="997">
        <f t="shared" si="105"/>
        <v>0</v>
      </c>
      <c r="BL89" s="997">
        <f t="shared" si="68"/>
        <v>0</v>
      </c>
      <c r="BM89" s="997">
        <f t="shared" si="69"/>
        <v>0</v>
      </c>
      <c r="BN89" s="997">
        <f t="shared" si="70"/>
        <v>0</v>
      </c>
      <c r="BO89" s="997">
        <f t="shared" si="106"/>
        <v>0</v>
      </c>
      <c r="BP89" s="997">
        <f t="shared" si="71"/>
        <v>0</v>
      </c>
      <c r="BS89">
        <f t="shared" si="72"/>
        <v>0</v>
      </c>
      <c r="BT89">
        <f t="shared" si="73"/>
        <v>0</v>
      </c>
      <c r="BU89">
        <f t="shared" si="74"/>
        <v>0</v>
      </c>
      <c r="BV89">
        <f t="shared" si="107"/>
        <v>0</v>
      </c>
      <c r="BW89">
        <f t="shared" si="75"/>
        <v>0</v>
      </c>
      <c r="BY89" s="997">
        <f t="shared" si="76"/>
        <v>0</v>
      </c>
      <c r="BZ89" s="997">
        <f t="shared" si="77"/>
        <v>0</v>
      </c>
      <c r="CA89" s="997">
        <f t="shared" si="78"/>
        <v>0</v>
      </c>
      <c r="CB89" s="997">
        <f t="shared" si="108"/>
        <v>0</v>
      </c>
      <c r="CC89" s="997">
        <f t="shared" si="79"/>
        <v>0</v>
      </c>
      <c r="CD89" s="997">
        <f t="shared" si="80"/>
        <v>0</v>
      </c>
      <c r="CE89" s="997">
        <f t="shared" si="81"/>
        <v>0</v>
      </c>
      <c r="CF89" s="997">
        <f t="shared" si="82"/>
        <v>0</v>
      </c>
      <c r="CG89" s="997">
        <f t="shared" si="83"/>
        <v>0</v>
      </c>
      <c r="CH89" s="997">
        <f t="shared" si="84"/>
        <v>0</v>
      </c>
      <c r="CI89" s="997">
        <f t="shared" si="85"/>
        <v>0</v>
      </c>
      <c r="CJ89" s="997">
        <f t="shared" si="86"/>
        <v>0</v>
      </c>
      <c r="CK89" s="997"/>
      <c r="CL89" s="997"/>
      <c r="CM89" s="997">
        <f t="shared" si="87"/>
        <v>0</v>
      </c>
      <c r="CN89" s="997">
        <f t="shared" si="88"/>
        <v>0</v>
      </c>
      <c r="CO89" s="997">
        <f t="shared" si="89"/>
        <v>0</v>
      </c>
      <c r="CP89" s="997">
        <f t="shared" si="109"/>
        <v>0</v>
      </c>
      <c r="CQ89" s="997">
        <f t="shared" si="90"/>
        <v>0</v>
      </c>
      <c r="CR89" s="997">
        <f>IFERROR(VLOOKUP($B89,SchumeiBituahYesodi!$C$6:$AA$100,8,FALSE),0)</f>
        <v>0</v>
      </c>
      <c r="CS89" s="997">
        <f>IFERROR(VLOOKUP($B89,PirteiKisuiBeMutzar_procerur!$C$6:$AA$100,2,FALSE),0)</f>
        <v>0</v>
      </c>
      <c r="CT89" s="997">
        <f>IFERROR(VLOOKUP($B89,PirteiKisuiBeMutzar_procerur!$C$6:$AA$100,3,FALSE),0)</f>
        <v>0</v>
      </c>
      <c r="CU89" s="997">
        <f>IFERROR(VLOOKUP($B89,PirteiKisuiBeMutzar_procerur!$C$6:$AA$100,4,FALSE),0)</f>
        <v>0</v>
      </c>
      <c r="CV89" s="997">
        <f>IFERROR(VLOOKUP($B89,PirteiKisuiBeMutzar_procerur!$C$6:$AA$100,5,FALSE),0)</f>
        <v>0</v>
      </c>
      <c r="CW89" s="997">
        <f>IFERROR(VLOOKUP($B89,PirteiKisuiBeMutzar_procerur!$C$6:$AA$100,6,FALSE),0)</f>
        <v>0</v>
      </c>
      <c r="CX89" s="997">
        <f>IFERROR(VLOOKUP($B89,PirteiKisuiBeMutzar_procerur!$C$6:$AA$100,7,FALSE),0)</f>
        <v>0</v>
      </c>
      <c r="CY89" s="997">
        <f>IFERROR(VLOOKUP($B89,PirteiKisuiBeMutzar_procerur!$C$6:$AA$100,8,FALSE),0)</f>
        <v>0</v>
      </c>
      <c r="CZ89" s="997">
        <f>IFERROR(VLOOKUP($B89,PirteiKisuiBeMutzar_procerur!$C$6:$AA$100,9,FALSE),0)</f>
        <v>0</v>
      </c>
      <c r="DA89" s="997">
        <f>IFERROR(VLOOKUP($B89,PirteiKisuiBeMutzar_procerur!$C$6:$AA$100,10,FALSE),0)</f>
        <v>0</v>
      </c>
      <c r="DB89" s="997">
        <f>IFERROR(VLOOKUP($B89,PirteiKisuiBeMutzar_procerur!$C$6:$AA$100,11,FALSE),0)</f>
        <v>0</v>
      </c>
      <c r="DC89" s="997">
        <f>IFERROR(VLOOKUP($B89,PirteiKisuiBeMutzarPrmia!$C$6:$Z$100,2,FALSE),0)</f>
        <v>0</v>
      </c>
      <c r="DD89" s="997">
        <f>IFERROR(VLOOKUP($B89,PirteiKisuiBeMutzarPrmia!$C$6:$Z$100,3,FALSE),0)</f>
        <v>0</v>
      </c>
      <c r="DE89" s="997">
        <f>IFERROR(VLOOKUP($B89,PirteiKisuiBeMutzarPrmia!$C$6:$Z$100,4,FALSE),0)</f>
        <v>0</v>
      </c>
      <c r="DF89" s="997">
        <f>IFERROR(VLOOKUP($B89,PirteiKisuiBeMutzarPrmia!$C$6:$Z$100,5,FALSE),0)</f>
        <v>0</v>
      </c>
      <c r="DG89" s="997">
        <f>IFERROR(VLOOKUP($B89,PirteiKisuiBeMutzarPrmia!$C$6:$Z$100,6,FALSE),0)</f>
        <v>0</v>
      </c>
      <c r="DH89" s="997">
        <f>IFERROR(VLOOKUP($B89,PirteiKisuiBeMutzarPrmia!$C$6:$Z$100,7,FALSE),0)</f>
        <v>0</v>
      </c>
      <c r="DI89" s="997">
        <f>IFERROR(VLOOKUP($B89,PirteiKisuiBeMutzarPrmia!$C$6:$Z$100,8,FALSE),0)</f>
        <v>0</v>
      </c>
      <c r="DJ89" s="997">
        <f>IFERROR(VLOOKUP($B89,PirteiKisuiBeMutzarPrmia!$C$6:$Z$100,9,FALSE),0)</f>
        <v>0</v>
      </c>
      <c r="DK89" s="997">
        <f>IFERROR(VLOOKUP($B89,PirteiKisuiBeMutzarPrmia!$C$6:$Z$100,10,FALSE),0)</f>
        <v>0</v>
      </c>
      <c r="DL89" s="997">
        <f>IFERROR(VLOOKUP($B89,PirteiKisuiBeMutzarPrmia!$C$6:$Z$100,11,FALSE),0)</f>
        <v>0</v>
      </c>
      <c r="DM89" s="997">
        <f t="shared" si="110"/>
        <v>0</v>
      </c>
      <c r="DN89" s="997">
        <f t="shared" si="91"/>
        <v>0</v>
      </c>
      <c r="DO89" s="997">
        <f t="shared" si="92"/>
        <v>0</v>
      </c>
      <c r="DP89" s="997">
        <f t="shared" si="67"/>
        <v>0</v>
      </c>
      <c r="DQ89" s="997">
        <f t="shared" si="93"/>
        <v>0</v>
      </c>
      <c r="DR89" s="997">
        <f>IF(OR(L89=1,L89=3),IFERROR(VLOOKUP($B89,PerutHafkadotMetchilatShanaAvgM!$C$6:$G$100,3,FALSE),0),0)</f>
        <v>0</v>
      </c>
      <c r="DS89" s="997">
        <f>IF(OR(L89=2,L89=4),IFERROR(VLOOKUP($B89,PerutHafkadotMetchilatShanaAvgM!$C$6:$G$100,3,FALSE),0),0)</f>
        <v>0</v>
      </c>
      <c r="DT89" s="997">
        <f>IFERROR(VLOOKUP($B89,PerutHafkadotMetchilatShanaAvgM!$C$6:$G$100,4,FALSE),0)</f>
        <v>0</v>
      </c>
      <c r="DU89" s="997">
        <f>IFERROR(VLOOKUP($B89,Kupa!$D$6:$AA$100,5,FALSE),0)</f>
        <v>0</v>
      </c>
      <c r="DV89" s="997">
        <f>IFERROR(VLOOKUP($B89,Kupa!$D$6:$AA$100,6,FALSE),0)</f>
        <v>0</v>
      </c>
      <c r="DW89" s="997">
        <f>IFERROR(VLOOKUP($B89,KisuiBKerenPensiaDBWithParams!$D$6:$AP$100,9,FALSE),0)</f>
        <v>0</v>
      </c>
      <c r="DX89" s="997">
        <f>IFERROR(VLOOKUP($B89,KisuiBKerenPensiaDBWithParams!$D$6:$AP$100,12,FALSE),0)</f>
        <v>0</v>
      </c>
      <c r="DY89" s="997">
        <f>IFERROR(VLOOKUP($B89,KisuiBKerenPensiaDBWithParams!$D$6:$AP$100,13,FALSE),0)</f>
        <v>0</v>
      </c>
      <c r="DZ89" s="997">
        <f>IFERROR(VLOOKUP($B89,KisuiBKerenPensiaDBWithParams!$D$6:$AP$100,7,FALSE),0)</f>
        <v>0</v>
      </c>
      <c r="EA89" s="997">
        <f>IFERROR(VLOOKUP($B89,KisuiBKerenPensiaDBWithParams!$D$6:$AP$100,17,FALSE),0)</f>
        <v>0</v>
      </c>
      <c r="EB89" s="997">
        <f>IFERROR(VLOOKUP($B89,KisuiBKerenPensiaDBWithParams!$D$6:$AP$100,20,FALSE),0)</f>
        <v>0</v>
      </c>
      <c r="EC89" s="997">
        <f>IFERROR(VLOOKUP($B89,KisuiBKerenPensiaDBWithParams!$D$6:$AP$100,21,FALSE),0)</f>
        <v>0</v>
      </c>
      <c r="ED89" s="997">
        <f t="shared" si="111"/>
        <v>0</v>
      </c>
      <c r="EE89" s="997"/>
      <c r="EF89" s="1020">
        <f>IFERROR(VLOOKUP($B89,KisuiBKerenPensiaDBWithParams!$D$6:$AP$100,21,FALSE),0)</f>
        <v>0</v>
      </c>
      <c r="EG89" s="1020">
        <f>IFERROR(VLOOKUP($B89,KisuiBKerenPensiaDBWithParams!$D$6:$AP$100,21,FALSE),0)</f>
        <v>0</v>
      </c>
      <c r="EH89">
        <f>IF(OR(G89=MyData!$J$51,G89=MyData!$J$52,G89=MyData!$J$53),1,IF(G89=MyData!$J$50,2,0))</f>
        <v>0</v>
      </c>
    </row>
    <row r="90" spans="1:147" x14ac:dyDescent="0.2">
      <c r="A90">
        <f t="shared" si="112"/>
        <v>0</v>
      </c>
      <c r="B90" s="20">
        <f>RicusPolice!E87</f>
        <v>0</v>
      </c>
      <c r="C90" s="20">
        <f>RicusPolice!AL87</f>
        <v>0</v>
      </c>
      <c r="D90" s="20">
        <f>RicusPolice!F87</f>
        <v>0</v>
      </c>
      <c r="E90" s="20">
        <f>RicusPolice!R87</f>
        <v>0</v>
      </c>
      <c r="F90" s="20">
        <f>RicusPolice!N87</f>
        <v>0</v>
      </c>
      <c r="G90" s="20">
        <f>IFERROR(VLOOKUP($B90,PerutYitrot!$D$6:$P$100,4,FALSE),0)</f>
        <v>0</v>
      </c>
      <c r="H90" s="20">
        <f t="shared" si="94"/>
        <v>0</v>
      </c>
      <c r="I90" s="20">
        <f>RicusPolice!L87</f>
        <v>0</v>
      </c>
      <c r="J90" s="179">
        <f>IFERROR(VLOOKUP(TRIM(K90),MyData!$J$44:$K$50,2,FALSE),0)</f>
        <v>0</v>
      </c>
      <c r="K90" s="20">
        <f>RicusPolice!M87</f>
        <v>0</v>
      </c>
      <c r="L90" s="20">
        <f>RicusPolice!AM87</f>
        <v>0</v>
      </c>
      <c r="M90" s="20" t="str">
        <f>IF(B90&gt;0,RicusPolice!Y87," ")</f>
        <v xml:space="preserve"> </v>
      </c>
      <c r="N90" s="20" t="str">
        <f t="shared" si="95"/>
        <v/>
      </c>
      <c r="O90" s="20">
        <f>RicusPolice!N87</f>
        <v>0</v>
      </c>
      <c r="P90" s="20">
        <f>IFERROR(VLOOKUP(B90,PerutMasluleiHashkaa!$D$6:$R$100,4,FALSE),0)</f>
        <v>0</v>
      </c>
      <c r="Q90" s="19"/>
      <c r="R90" s="1011" t="str">
        <f>IF(B90&gt;0,RicusPolice!P89," ")</f>
        <v xml:space="preserve"> </v>
      </c>
      <c r="S90" s="20">
        <f>IFERROR(VLOOKUP($B90,'נתונים ידניים'!$B$9:$G$51,6,FALSE),0)</f>
        <v>0</v>
      </c>
      <c r="T90" s="21">
        <f>'נתונים ידניים'!J91</f>
        <v>0</v>
      </c>
      <c r="U90" s="21">
        <f>'נתונים ידניים'!K91</f>
        <v>0</v>
      </c>
      <c r="V90" s="20">
        <f>IFERROR(VLOOKUP($B90,PerutHafrashotLePolisa!$D$6:$N$50,2,FALSE),0)</f>
        <v>0</v>
      </c>
      <c r="W90" s="20">
        <f>IFERROR(VLOOKUP($B90,PerutHafrashotLePolisa!$D$6:$N$50,4,FALSE),0)</f>
        <v>0</v>
      </c>
      <c r="X90" s="20">
        <f>IFERROR(VLOOKUP($B90,PerutHafrashotLePolisa!$D$6:$N$50,3,FALSE),0)</f>
        <v>0</v>
      </c>
      <c r="Y90">
        <f t="shared" si="96"/>
        <v>0</v>
      </c>
      <c r="Z90">
        <f>RicusPolice!AP87</f>
        <v>0</v>
      </c>
      <c r="AA90">
        <f>IFERROR(VLOOKUP(B90,PirteiHaasaka!$D$6:$R$100,5,FALSE),0)</f>
        <v>0</v>
      </c>
      <c r="AC90">
        <f>IFERROR(VLOOKUP(B90,HafkadotMetchilatShanaAverages!$D$6:$E$100,2,FALSE),0)</f>
        <v>0</v>
      </c>
      <c r="AF90">
        <f>'נתונים ידניים'!L91</f>
        <v>0</v>
      </c>
      <c r="AG90">
        <f>IFERROR(VLOOKUP(B90,CrossTabYitraLeTkufa_till_2000!$D$6:$AB$100,6,FALSE),0)+IFERROR(VLOOKUP(B90,CrossTabYitraLeTkufa_after_2000!$D$6:$AB$100,6,FALSE),0)</f>
        <v>0</v>
      </c>
      <c r="AH90">
        <f>IFERROR(VLOOKUP(B90,CrossTabYitraLeTkufa_till_2000!$D$6:$AB$100,16,FALSE),0)</f>
        <v>0</v>
      </c>
      <c r="AI90">
        <f>IFERROR(VLOOKUP(B90,CrossTabYitraLeTkufa_after_2000!$D$6:$AB$100,16,FALSE),0)</f>
        <v>0</v>
      </c>
      <c r="AJ90">
        <f>IFERROR(VLOOKUP(B90,CrossTabYitraLeTkufa_till_2000!$D$6:$AB$100,17,FALSE),0)</f>
        <v>0</v>
      </c>
      <c r="AK90">
        <f>IFERROR(VLOOKUP(B90,CrossTabYitraLeTkufa_after_2000!$D$6:$AB$100,17,FALSE),0)</f>
        <v>0</v>
      </c>
      <c r="AL90" s="5">
        <f t="shared" si="97"/>
        <v>0</v>
      </c>
      <c r="AO90">
        <f>IFERROR(VLOOKUP(B90,PirteiKisuiBeMutzar_procerur!$C$6:$AA$100,2,FALSE),0)</f>
        <v>0</v>
      </c>
      <c r="AQ90">
        <f>IFERROR(VLOOKUP($B90,PirteiKisuiBeMutzar_procerur!$C$6:$AA$100,5,FALSE),0)</f>
        <v>0</v>
      </c>
      <c r="AR90">
        <f>IFERROR(VLOOKUP($B90,PirteiKisuiBeMutzar_procerur!$C$6:$AA$100,3,FALSE),0)</f>
        <v>0</v>
      </c>
      <c r="AS90">
        <f>IFERROR(VLOOKUP($B90,PirteiKisuiBeMutzar_procerur!$C$6:$AA$100,6,FALSE),0)</f>
        <v>0</v>
      </c>
      <c r="AT90">
        <f>IFERROR(VLOOKUP($B90,PirteiKisuiBeMutzar_procerur!$C$6:$AA$100,7,FALSE),0)</f>
        <v>0</v>
      </c>
      <c r="AX90" s="997">
        <f t="shared" si="98"/>
        <v>0</v>
      </c>
      <c r="AY90" s="997">
        <f t="shared" si="99"/>
        <v>0</v>
      </c>
      <c r="AZ90" s="997">
        <f t="shared" si="100"/>
        <v>0</v>
      </c>
      <c r="BA90" s="997">
        <f>IFERROR(FV(S90/100/12,'נתוני יסוד'!$B$16*12,AX90,AG90)*(-1),0)</f>
        <v>0</v>
      </c>
      <c r="BB90" s="997">
        <f>IFERROR(FV(S90/100/12,'נתוני יסוד'!$B$16*12,0,AH90)*(-1),0)</f>
        <v>0</v>
      </c>
      <c r="BC90" s="997">
        <f>IFERROR(FV(S90/100/12,'נתוני יסוד'!$B$16*12,AY90,AI90)*(-1),0)</f>
        <v>0</v>
      </c>
      <c r="BD90" s="997">
        <f>IFERROR(FV(S90/100/12,'נתוני יסוד'!$B$16*12,0,AJ90)*(-1),0)</f>
        <v>0</v>
      </c>
      <c r="BE90" s="997">
        <f>IFERROR(FV(S90/100/12,'נתוני יסוד'!$B$16*12,AZ90,AK90)*(-1),0)</f>
        <v>0</v>
      </c>
      <c r="BF90" s="997">
        <f t="shared" si="101"/>
        <v>0</v>
      </c>
      <c r="BG90" s="997">
        <f>IFERROR(FV(S90/100/12,'נתוני יסוד'!$B$16*12,AF90,AL90)*(-1),0)</f>
        <v>0</v>
      </c>
      <c r="BH90" s="997">
        <f t="shared" si="102"/>
        <v>0</v>
      </c>
      <c r="BI90" s="997">
        <f t="shared" si="103"/>
        <v>0</v>
      </c>
      <c r="BJ90" s="997">
        <f t="shared" si="104"/>
        <v>0</v>
      </c>
      <c r="BK90" s="997">
        <f t="shared" si="105"/>
        <v>0</v>
      </c>
      <c r="BL90" s="997">
        <f t="shared" si="68"/>
        <v>0</v>
      </c>
      <c r="BM90" s="997">
        <f t="shared" si="69"/>
        <v>0</v>
      </c>
      <c r="BN90" s="997">
        <f t="shared" si="70"/>
        <v>0</v>
      </c>
      <c r="BO90" s="997">
        <f t="shared" si="106"/>
        <v>0</v>
      </c>
      <c r="BP90" s="997">
        <f t="shared" si="71"/>
        <v>0</v>
      </c>
      <c r="BS90">
        <f t="shared" si="72"/>
        <v>0</v>
      </c>
      <c r="BT90">
        <f t="shared" si="73"/>
        <v>0</v>
      </c>
      <c r="BU90">
        <f t="shared" si="74"/>
        <v>0</v>
      </c>
      <c r="BV90">
        <f t="shared" si="107"/>
        <v>0</v>
      </c>
      <c r="BW90">
        <f t="shared" si="75"/>
        <v>0</v>
      </c>
      <c r="BY90" s="997">
        <f t="shared" si="76"/>
        <v>0</v>
      </c>
      <c r="BZ90" s="997">
        <f t="shared" si="77"/>
        <v>0</v>
      </c>
      <c r="CA90" s="997">
        <f t="shared" si="78"/>
        <v>0</v>
      </c>
      <c r="CB90" s="997">
        <f t="shared" si="108"/>
        <v>0</v>
      </c>
      <c r="CC90" s="997">
        <f t="shared" si="79"/>
        <v>0</v>
      </c>
      <c r="CD90" s="997">
        <f t="shared" si="80"/>
        <v>0</v>
      </c>
      <c r="CE90" s="997">
        <f t="shared" si="81"/>
        <v>0</v>
      </c>
      <c r="CF90" s="997">
        <f t="shared" si="82"/>
        <v>0</v>
      </c>
      <c r="CG90" s="997">
        <f t="shared" si="83"/>
        <v>0</v>
      </c>
      <c r="CH90" s="997">
        <f t="shared" si="84"/>
        <v>0</v>
      </c>
      <c r="CI90" s="997">
        <f t="shared" si="85"/>
        <v>0</v>
      </c>
      <c r="CJ90" s="997">
        <f t="shared" si="86"/>
        <v>0</v>
      </c>
      <c r="CK90" s="997"/>
      <c r="CL90" s="997"/>
      <c r="CM90" s="997">
        <f t="shared" si="87"/>
        <v>0</v>
      </c>
      <c r="CN90" s="997">
        <f t="shared" si="88"/>
        <v>0</v>
      </c>
      <c r="CO90" s="997">
        <f t="shared" si="89"/>
        <v>0</v>
      </c>
      <c r="CP90" s="997">
        <f t="shared" si="109"/>
        <v>0</v>
      </c>
      <c r="CQ90" s="997">
        <f t="shared" si="90"/>
        <v>0</v>
      </c>
      <c r="CR90" s="997">
        <f>IFERROR(VLOOKUP($B90,SchumeiBituahYesodi!$C$6:$AA$100,8,FALSE),0)</f>
        <v>0</v>
      </c>
      <c r="CS90" s="997">
        <f>IFERROR(VLOOKUP($B90,PirteiKisuiBeMutzar_procerur!$C$6:$AA$100,2,FALSE),0)</f>
        <v>0</v>
      </c>
      <c r="CT90" s="997">
        <f>IFERROR(VLOOKUP($B90,PirteiKisuiBeMutzar_procerur!$C$6:$AA$100,3,FALSE),0)</f>
        <v>0</v>
      </c>
      <c r="CU90" s="997">
        <f>IFERROR(VLOOKUP($B90,PirteiKisuiBeMutzar_procerur!$C$6:$AA$100,4,FALSE),0)</f>
        <v>0</v>
      </c>
      <c r="CV90" s="997">
        <f>IFERROR(VLOOKUP($B90,PirteiKisuiBeMutzar_procerur!$C$6:$AA$100,5,FALSE),0)</f>
        <v>0</v>
      </c>
      <c r="CW90" s="997">
        <f>IFERROR(VLOOKUP($B90,PirteiKisuiBeMutzar_procerur!$C$6:$AA$100,6,FALSE),0)</f>
        <v>0</v>
      </c>
      <c r="CX90" s="997">
        <f>IFERROR(VLOOKUP($B90,PirteiKisuiBeMutzar_procerur!$C$6:$AA$100,7,FALSE),0)</f>
        <v>0</v>
      </c>
      <c r="CY90" s="997">
        <f>IFERROR(VLOOKUP($B90,PirteiKisuiBeMutzar_procerur!$C$6:$AA$100,8,FALSE),0)</f>
        <v>0</v>
      </c>
      <c r="CZ90" s="997">
        <f>IFERROR(VLOOKUP($B90,PirteiKisuiBeMutzar_procerur!$C$6:$AA$100,9,FALSE),0)</f>
        <v>0</v>
      </c>
      <c r="DA90" s="997">
        <f>IFERROR(VLOOKUP($B90,PirteiKisuiBeMutzar_procerur!$C$6:$AA$100,10,FALSE),0)</f>
        <v>0</v>
      </c>
      <c r="DB90" s="997">
        <f>IFERROR(VLOOKUP($B90,PirteiKisuiBeMutzar_procerur!$C$6:$AA$100,11,FALSE),0)</f>
        <v>0</v>
      </c>
      <c r="DC90" s="997">
        <f>IFERROR(VLOOKUP($B90,PirteiKisuiBeMutzarPrmia!$C$6:$Z$100,2,FALSE),0)</f>
        <v>0</v>
      </c>
      <c r="DD90" s="997">
        <f>IFERROR(VLOOKUP($B90,PirteiKisuiBeMutzarPrmia!$C$6:$Z$100,3,FALSE),0)</f>
        <v>0</v>
      </c>
      <c r="DE90" s="997">
        <f>IFERROR(VLOOKUP($B90,PirteiKisuiBeMutzarPrmia!$C$6:$Z$100,4,FALSE),0)</f>
        <v>0</v>
      </c>
      <c r="DF90" s="997">
        <f>IFERROR(VLOOKUP($B90,PirteiKisuiBeMutzarPrmia!$C$6:$Z$100,5,FALSE),0)</f>
        <v>0</v>
      </c>
      <c r="DG90" s="997">
        <f>IFERROR(VLOOKUP($B90,PirteiKisuiBeMutzarPrmia!$C$6:$Z$100,6,FALSE),0)</f>
        <v>0</v>
      </c>
      <c r="DH90" s="997">
        <f>IFERROR(VLOOKUP($B90,PirteiKisuiBeMutzarPrmia!$C$6:$Z$100,7,FALSE),0)</f>
        <v>0</v>
      </c>
      <c r="DI90" s="997">
        <f>IFERROR(VLOOKUP($B90,PirteiKisuiBeMutzarPrmia!$C$6:$Z$100,8,FALSE),0)</f>
        <v>0</v>
      </c>
      <c r="DJ90" s="997">
        <f>IFERROR(VLOOKUP($B90,PirteiKisuiBeMutzarPrmia!$C$6:$Z$100,9,FALSE),0)</f>
        <v>0</v>
      </c>
      <c r="DK90" s="997">
        <f>IFERROR(VLOOKUP($B90,PirteiKisuiBeMutzarPrmia!$C$6:$Z$100,10,FALSE),0)</f>
        <v>0</v>
      </c>
      <c r="DL90" s="997">
        <f>IFERROR(VLOOKUP($B90,PirteiKisuiBeMutzarPrmia!$C$6:$Z$100,11,FALSE),0)</f>
        <v>0</v>
      </c>
      <c r="DM90" s="997">
        <f t="shared" si="110"/>
        <v>0</v>
      </c>
      <c r="DN90" s="997">
        <f t="shared" si="91"/>
        <v>0</v>
      </c>
      <c r="DO90" s="997">
        <f t="shared" si="92"/>
        <v>0</v>
      </c>
      <c r="DP90" s="997">
        <f t="shared" si="67"/>
        <v>0</v>
      </c>
      <c r="DQ90" s="997">
        <f t="shared" si="93"/>
        <v>0</v>
      </c>
      <c r="DR90" s="997">
        <f>IF(OR(L90=1,L90=3),IFERROR(VLOOKUP($B90,PerutHafkadotMetchilatShanaAvgM!$C$6:$G$100,3,FALSE),0),0)</f>
        <v>0</v>
      </c>
      <c r="DS90" s="997">
        <f>IF(OR(L90=2,L90=4),IFERROR(VLOOKUP($B90,PerutHafkadotMetchilatShanaAvgM!$C$6:$G$100,3,FALSE),0),0)</f>
        <v>0</v>
      </c>
      <c r="DT90" s="997">
        <f>IFERROR(VLOOKUP($B90,PerutHafkadotMetchilatShanaAvgM!$C$6:$G$100,4,FALSE),0)</f>
        <v>0</v>
      </c>
      <c r="DU90" s="997">
        <f>IFERROR(VLOOKUP($B90,Kupa!$D$6:$AA$100,5,FALSE),0)</f>
        <v>0</v>
      </c>
      <c r="DV90" s="997">
        <f>IFERROR(VLOOKUP($B90,Kupa!$D$6:$AA$100,6,FALSE),0)</f>
        <v>0</v>
      </c>
      <c r="DW90" s="997">
        <f>IFERROR(VLOOKUP($B90,KisuiBKerenPensiaDBWithParams!$D$6:$AP$100,9,FALSE),0)</f>
        <v>0</v>
      </c>
      <c r="DX90" s="997">
        <f>IFERROR(VLOOKUP($B90,KisuiBKerenPensiaDBWithParams!$D$6:$AP$100,12,FALSE),0)</f>
        <v>0</v>
      </c>
      <c r="DY90" s="997">
        <f>IFERROR(VLOOKUP($B90,KisuiBKerenPensiaDBWithParams!$D$6:$AP$100,13,FALSE),0)</f>
        <v>0</v>
      </c>
      <c r="DZ90" s="997">
        <f>IFERROR(VLOOKUP($B90,KisuiBKerenPensiaDBWithParams!$D$6:$AP$100,7,FALSE),0)</f>
        <v>0</v>
      </c>
      <c r="EA90" s="997">
        <f>IFERROR(VLOOKUP($B90,KisuiBKerenPensiaDBWithParams!$D$6:$AP$100,17,FALSE),0)</f>
        <v>0</v>
      </c>
      <c r="EB90" s="997">
        <f>IFERROR(VLOOKUP($B90,KisuiBKerenPensiaDBWithParams!$D$6:$AP$100,20,FALSE),0)</f>
        <v>0</v>
      </c>
      <c r="EC90" s="997">
        <f>IFERROR(VLOOKUP($B90,KisuiBKerenPensiaDBWithParams!$D$6:$AP$100,21,FALSE),0)</f>
        <v>0</v>
      </c>
      <c r="ED90" s="997">
        <f t="shared" si="111"/>
        <v>0</v>
      </c>
      <c r="EE90" s="997"/>
      <c r="EF90" s="1020">
        <f>IFERROR(VLOOKUP($B90,KisuiBKerenPensiaDBWithParams!$D$6:$AP$100,21,FALSE),0)</f>
        <v>0</v>
      </c>
      <c r="EG90" s="1020">
        <f>IFERROR(VLOOKUP($B90,KisuiBKerenPensiaDBWithParams!$D$6:$AP$100,21,FALSE),0)</f>
        <v>0</v>
      </c>
      <c r="EH90">
        <f>IF(OR(G90=MyData!$J$51,G90=MyData!$J$52,G90=MyData!$J$53),1,IF(G90=MyData!$J$50,2,0))</f>
        <v>0</v>
      </c>
    </row>
    <row r="91" spans="1:147" x14ac:dyDescent="0.2">
      <c r="A91">
        <f t="shared" si="112"/>
        <v>0</v>
      </c>
      <c r="B91" s="20">
        <f>RicusPolice!E88</f>
        <v>0</v>
      </c>
      <c r="C91" s="20">
        <f>RicusPolice!AL88</f>
        <v>0</v>
      </c>
      <c r="D91" s="20">
        <f>RicusPolice!F88</f>
        <v>0</v>
      </c>
      <c r="E91" s="20">
        <f>RicusPolice!R88</f>
        <v>0</v>
      </c>
      <c r="F91" s="20">
        <f>RicusPolice!N88</f>
        <v>0</v>
      </c>
      <c r="G91" s="20">
        <f>IFERROR(VLOOKUP($B91,PerutYitrot!$D$6:$P$100,4,FALSE),0)</f>
        <v>0</v>
      </c>
      <c r="H91" s="20">
        <f t="shared" si="94"/>
        <v>0</v>
      </c>
      <c r="I91" s="20">
        <f>RicusPolice!L88</f>
        <v>0</v>
      </c>
      <c r="J91" s="179">
        <f>IFERROR(VLOOKUP(TRIM(K91),MyData!$J$44:$K$50,2,FALSE),0)</f>
        <v>0</v>
      </c>
      <c r="K91" s="20">
        <f>RicusPolice!M88</f>
        <v>0</v>
      </c>
      <c r="L91" s="20">
        <f>RicusPolice!AM88</f>
        <v>0</v>
      </c>
      <c r="M91" s="20" t="str">
        <f>IF(B91&gt;0,RicusPolice!Y88," ")</f>
        <v xml:space="preserve"> </v>
      </c>
      <c r="N91" s="20" t="str">
        <f t="shared" si="95"/>
        <v/>
      </c>
      <c r="O91" s="20">
        <f>RicusPolice!N88</f>
        <v>0</v>
      </c>
      <c r="P91" s="20">
        <f>IFERROR(VLOOKUP(B91,PerutMasluleiHashkaa!$D$6:$R$100,4,FALSE),0)</f>
        <v>0</v>
      </c>
      <c r="Q91" s="19"/>
      <c r="R91" s="1011" t="str">
        <f>IF(B91&gt;0,RicusPolice!P90," ")</f>
        <v xml:space="preserve"> </v>
      </c>
      <c r="S91" s="20">
        <f>IFERROR(VLOOKUP($B91,'נתונים ידניים'!$B$9:$G$51,6,FALSE),0)</f>
        <v>0</v>
      </c>
      <c r="T91" s="21">
        <f>'נתונים ידניים'!J92</f>
        <v>0</v>
      </c>
      <c r="U91" s="21">
        <f>'נתונים ידניים'!K92</f>
        <v>0</v>
      </c>
      <c r="V91" s="20">
        <f>IFERROR(VLOOKUP($B91,PerutHafrashotLePolisa!$D$6:$N$50,2,FALSE),0)</f>
        <v>0</v>
      </c>
      <c r="W91" s="20">
        <f>IFERROR(VLOOKUP($B91,PerutHafrashotLePolisa!$D$6:$N$50,4,FALSE),0)</f>
        <v>0</v>
      </c>
      <c r="X91" s="20">
        <f>IFERROR(VLOOKUP($B91,PerutHafrashotLePolisa!$D$6:$N$50,3,FALSE),0)</f>
        <v>0</v>
      </c>
      <c r="Y91">
        <f t="shared" si="96"/>
        <v>0</v>
      </c>
      <c r="Z91">
        <f>RicusPolice!AP88</f>
        <v>0</v>
      </c>
      <c r="AA91">
        <f>IFERROR(VLOOKUP(B91,PirteiHaasaka!$D$6:$R$100,5,FALSE),0)</f>
        <v>0</v>
      </c>
      <c r="AC91">
        <f>IFERROR(VLOOKUP(B91,HafkadotMetchilatShanaAverages!$D$6:$E$100,2,FALSE),0)</f>
        <v>0</v>
      </c>
      <c r="AF91">
        <f>'נתונים ידניים'!L92</f>
        <v>0</v>
      </c>
      <c r="AG91">
        <f>IFERROR(VLOOKUP(B91,CrossTabYitraLeTkufa_till_2000!$D$6:$AB$100,6,FALSE),0)+IFERROR(VLOOKUP(B91,CrossTabYitraLeTkufa_after_2000!$D$6:$AB$100,6,FALSE),0)</f>
        <v>0</v>
      </c>
      <c r="AH91">
        <f>IFERROR(VLOOKUP(B91,CrossTabYitraLeTkufa_till_2000!$D$6:$AB$100,16,FALSE),0)</f>
        <v>0</v>
      </c>
      <c r="AI91">
        <f>IFERROR(VLOOKUP(B91,CrossTabYitraLeTkufa_after_2000!$D$6:$AB$100,16,FALSE),0)</f>
        <v>0</v>
      </c>
      <c r="AJ91">
        <f>IFERROR(VLOOKUP(B91,CrossTabYitraLeTkufa_till_2000!$D$6:$AB$100,17,FALSE),0)</f>
        <v>0</v>
      </c>
      <c r="AK91">
        <f>IFERROR(VLOOKUP(B91,CrossTabYitraLeTkufa_after_2000!$D$6:$AB$100,17,FALSE),0)</f>
        <v>0</v>
      </c>
      <c r="AL91" s="5">
        <f t="shared" si="97"/>
        <v>0</v>
      </c>
      <c r="AO91">
        <f>IFERROR(VLOOKUP(B91,PirteiKisuiBeMutzar_procerur!$C$6:$AA$100,2,FALSE),0)</f>
        <v>0</v>
      </c>
      <c r="AQ91">
        <f>IFERROR(VLOOKUP($B91,PirteiKisuiBeMutzar_procerur!$C$6:$AA$100,5,FALSE),0)</f>
        <v>0</v>
      </c>
      <c r="AR91">
        <f>IFERROR(VLOOKUP($B91,PirteiKisuiBeMutzar_procerur!$C$6:$AA$100,3,FALSE),0)</f>
        <v>0</v>
      </c>
      <c r="AS91">
        <f>IFERROR(VLOOKUP($B91,PirteiKisuiBeMutzar_procerur!$C$6:$AA$100,6,FALSE),0)</f>
        <v>0</v>
      </c>
      <c r="AT91">
        <f>IFERROR(VLOOKUP($B91,PirteiKisuiBeMutzar_procerur!$C$6:$AA$100,7,FALSE),0)</f>
        <v>0</v>
      </c>
      <c r="AX91" s="997">
        <f t="shared" si="98"/>
        <v>0</v>
      </c>
      <c r="AY91" s="997">
        <f t="shared" si="99"/>
        <v>0</v>
      </c>
      <c r="AZ91" s="997">
        <f t="shared" si="100"/>
        <v>0</v>
      </c>
      <c r="BA91" s="997">
        <f>IFERROR(FV(S91/100/12,'נתוני יסוד'!$B$16*12,AX91,AG91)*(-1),0)</f>
        <v>0</v>
      </c>
      <c r="BB91" s="997">
        <f>IFERROR(FV(S91/100/12,'נתוני יסוד'!$B$16*12,0,AH91)*(-1),0)</f>
        <v>0</v>
      </c>
      <c r="BC91" s="997">
        <f>IFERROR(FV(S91/100/12,'נתוני יסוד'!$B$16*12,AY91,AI91)*(-1),0)</f>
        <v>0</v>
      </c>
      <c r="BD91" s="997">
        <f>IFERROR(FV(S91/100/12,'נתוני יסוד'!$B$16*12,0,AJ91)*(-1),0)</f>
        <v>0</v>
      </c>
      <c r="BE91" s="997">
        <f>IFERROR(FV(S91/100/12,'נתוני יסוד'!$B$16*12,AZ91,AK91)*(-1),0)</f>
        <v>0</v>
      </c>
      <c r="BF91" s="997">
        <f t="shared" si="101"/>
        <v>0</v>
      </c>
      <c r="BG91" s="997">
        <f>IFERROR(FV(S91/100/12,'נתוני יסוד'!$B$16*12,AF91,AL91)*(-1),0)</f>
        <v>0</v>
      </c>
      <c r="BH91" s="997">
        <f t="shared" si="102"/>
        <v>0</v>
      </c>
      <c r="BI91" s="997">
        <f t="shared" si="103"/>
        <v>0</v>
      </c>
      <c r="BJ91" s="997">
        <f t="shared" si="104"/>
        <v>0</v>
      </c>
      <c r="BK91" s="997">
        <f t="shared" si="105"/>
        <v>0</v>
      </c>
      <c r="BL91" s="997">
        <f t="shared" si="68"/>
        <v>0</v>
      </c>
      <c r="BM91" s="997">
        <f t="shared" si="69"/>
        <v>0</v>
      </c>
      <c r="BN91" s="997">
        <f t="shared" si="70"/>
        <v>0</v>
      </c>
      <c r="BO91" s="997">
        <f t="shared" si="106"/>
        <v>0</v>
      </c>
      <c r="BP91" s="997">
        <f t="shared" si="71"/>
        <v>0</v>
      </c>
      <c r="BS91">
        <f t="shared" si="72"/>
        <v>0</v>
      </c>
      <c r="BT91">
        <f t="shared" si="73"/>
        <v>0</v>
      </c>
      <c r="BU91">
        <f t="shared" si="74"/>
        <v>0</v>
      </c>
      <c r="BV91">
        <f t="shared" si="107"/>
        <v>0</v>
      </c>
      <c r="BW91">
        <f t="shared" si="75"/>
        <v>0</v>
      </c>
      <c r="BY91" s="997">
        <f t="shared" si="76"/>
        <v>0</v>
      </c>
      <c r="BZ91" s="997">
        <f t="shared" si="77"/>
        <v>0</v>
      </c>
      <c r="CA91" s="997">
        <f t="shared" si="78"/>
        <v>0</v>
      </c>
      <c r="CB91" s="997">
        <f t="shared" si="108"/>
        <v>0</v>
      </c>
      <c r="CC91" s="997">
        <f t="shared" si="79"/>
        <v>0</v>
      </c>
      <c r="CD91" s="997">
        <f t="shared" si="80"/>
        <v>0</v>
      </c>
      <c r="CE91" s="997">
        <f t="shared" si="81"/>
        <v>0</v>
      </c>
      <c r="CF91" s="997">
        <f t="shared" si="82"/>
        <v>0</v>
      </c>
      <c r="CG91" s="997">
        <f t="shared" si="83"/>
        <v>0</v>
      </c>
      <c r="CH91" s="997">
        <f t="shared" si="84"/>
        <v>0</v>
      </c>
      <c r="CI91" s="997">
        <f t="shared" si="85"/>
        <v>0</v>
      </c>
      <c r="CJ91" s="997">
        <f t="shared" si="86"/>
        <v>0</v>
      </c>
      <c r="CK91" s="997"/>
      <c r="CL91" s="997"/>
      <c r="CM91" s="997">
        <f t="shared" si="87"/>
        <v>0</v>
      </c>
      <c r="CN91" s="997">
        <f t="shared" si="88"/>
        <v>0</v>
      </c>
      <c r="CO91" s="997">
        <f t="shared" si="89"/>
        <v>0</v>
      </c>
      <c r="CP91" s="997">
        <f t="shared" si="109"/>
        <v>0</v>
      </c>
      <c r="CQ91" s="997">
        <f t="shared" si="90"/>
        <v>0</v>
      </c>
      <c r="CR91" s="997">
        <f>IFERROR(VLOOKUP($B91,SchumeiBituahYesodi!$C$6:$AA$100,8,FALSE),0)</f>
        <v>0</v>
      </c>
      <c r="CS91" s="997">
        <f>IFERROR(VLOOKUP($B91,PirteiKisuiBeMutzar_procerur!$C$6:$AA$100,2,FALSE),0)</f>
        <v>0</v>
      </c>
      <c r="CT91" s="997">
        <f>IFERROR(VLOOKUP($B91,PirteiKisuiBeMutzar_procerur!$C$6:$AA$100,3,FALSE),0)</f>
        <v>0</v>
      </c>
      <c r="CU91" s="997">
        <f>IFERROR(VLOOKUP($B91,PirteiKisuiBeMutzar_procerur!$C$6:$AA$100,4,FALSE),0)</f>
        <v>0</v>
      </c>
      <c r="CV91" s="997">
        <f>IFERROR(VLOOKUP($B91,PirteiKisuiBeMutzar_procerur!$C$6:$AA$100,5,FALSE),0)</f>
        <v>0</v>
      </c>
      <c r="CW91" s="997">
        <f>IFERROR(VLOOKUP($B91,PirteiKisuiBeMutzar_procerur!$C$6:$AA$100,6,FALSE),0)</f>
        <v>0</v>
      </c>
      <c r="CX91" s="997">
        <f>IFERROR(VLOOKUP($B91,PirteiKisuiBeMutzar_procerur!$C$6:$AA$100,7,FALSE),0)</f>
        <v>0</v>
      </c>
      <c r="CY91" s="997">
        <f>IFERROR(VLOOKUP($B91,PirteiKisuiBeMutzar_procerur!$C$6:$AA$100,8,FALSE),0)</f>
        <v>0</v>
      </c>
      <c r="CZ91" s="997">
        <f>IFERROR(VLOOKUP($B91,PirteiKisuiBeMutzar_procerur!$C$6:$AA$100,9,FALSE),0)</f>
        <v>0</v>
      </c>
      <c r="DA91" s="997">
        <f>IFERROR(VLOOKUP($B91,PirteiKisuiBeMutzar_procerur!$C$6:$AA$100,10,FALSE),0)</f>
        <v>0</v>
      </c>
      <c r="DB91" s="997">
        <f>IFERROR(VLOOKUP($B91,PirteiKisuiBeMutzar_procerur!$C$6:$AA$100,11,FALSE),0)</f>
        <v>0</v>
      </c>
      <c r="DC91" s="997">
        <f>IFERROR(VLOOKUP($B91,PirteiKisuiBeMutzarPrmia!$C$6:$Z$100,2,FALSE),0)</f>
        <v>0</v>
      </c>
      <c r="DD91" s="997">
        <f>IFERROR(VLOOKUP($B91,PirteiKisuiBeMutzarPrmia!$C$6:$Z$100,3,FALSE),0)</f>
        <v>0</v>
      </c>
      <c r="DE91" s="997">
        <f>IFERROR(VLOOKUP($B91,PirteiKisuiBeMutzarPrmia!$C$6:$Z$100,4,FALSE),0)</f>
        <v>0</v>
      </c>
      <c r="DF91" s="997">
        <f>IFERROR(VLOOKUP($B91,PirteiKisuiBeMutzarPrmia!$C$6:$Z$100,5,FALSE),0)</f>
        <v>0</v>
      </c>
      <c r="DG91" s="997">
        <f>IFERROR(VLOOKUP($B91,PirteiKisuiBeMutzarPrmia!$C$6:$Z$100,6,FALSE),0)</f>
        <v>0</v>
      </c>
      <c r="DH91" s="997">
        <f>IFERROR(VLOOKUP($B91,PirteiKisuiBeMutzarPrmia!$C$6:$Z$100,7,FALSE),0)</f>
        <v>0</v>
      </c>
      <c r="DI91" s="997">
        <f>IFERROR(VLOOKUP($B91,PirteiKisuiBeMutzarPrmia!$C$6:$Z$100,8,FALSE),0)</f>
        <v>0</v>
      </c>
      <c r="DJ91" s="997">
        <f>IFERROR(VLOOKUP($B91,PirteiKisuiBeMutzarPrmia!$C$6:$Z$100,9,FALSE),0)</f>
        <v>0</v>
      </c>
      <c r="DK91" s="997">
        <f>IFERROR(VLOOKUP($B91,PirteiKisuiBeMutzarPrmia!$C$6:$Z$100,10,FALSE),0)</f>
        <v>0</v>
      </c>
      <c r="DL91" s="997">
        <f>IFERROR(VLOOKUP($B91,PirteiKisuiBeMutzarPrmia!$C$6:$Z$100,11,FALSE),0)</f>
        <v>0</v>
      </c>
      <c r="DM91" s="997">
        <f t="shared" si="110"/>
        <v>0</v>
      </c>
      <c r="DN91" s="997">
        <f t="shared" si="91"/>
        <v>0</v>
      </c>
      <c r="DO91" s="997">
        <f t="shared" si="92"/>
        <v>0</v>
      </c>
      <c r="DP91" s="997">
        <f t="shared" si="67"/>
        <v>0</v>
      </c>
      <c r="DQ91" s="997">
        <f t="shared" si="93"/>
        <v>0</v>
      </c>
      <c r="DR91" s="997">
        <f>IF(OR(L91=1,L91=3),IFERROR(VLOOKUP($B91,PerutHafkadotMetchilatShanaAvgM!$C$6:$G$100,3,FALSE),0),0)</f>
        <v>0</v>
      </c>
      <c r="DS91" s="997">
        <f>IF(OR(L91=2,L91=4),IFERROR(VLOOKUP($B91,PerutHafkadotMetchilatShanaAvgM!$C$6:$G$100,3,FALSE),0),0)</f>
        <v>0</v>
      </c>
      <c r="DT91" s="997">
        <f>IFERROR(VLOOKUP($B91,PerutHafkadotMetchilatShanaAvgM!$C$6:$G$100,4,FALSE),0)</f>
        <v>0</v>
      </c>
      <c r="DU91" s="997">
        <f>IFERROR(VLOOKUP($B91,Kupa!$D$6:$AA$100,5,FALSE),0)</f>
        <v>0</v>
      </c>
      <c r="DV91" s="997">
        <f>IFERROR(VLOOKUP($B91,Kupa!$D$6:$AA$100,6,FALSE),0)</f>
        <v>0</v>
      </c>
      <c r="DW91" s="997">
        <f>IFERROR(VLOOKUP($B91,KisuiBKerenPensiaDBWithParams!$D$6:$AP$100,9,FALSE),0)</f>
        <v>0</v>
      </c>
      <c r="DX91" s="997">
        <f>IFERROR(VLOOKUP($B91,KisuiBKerenPensiaDBWithParams!$D$6:$AP$100,12,FALSE),0)</f>
        <v>0</v>
      </c>
      <c r="DY91" s="997">
        <f>IFERROR(VLOOKUP($B91,KisuiBKerenPensiaDBWithParams!$D$6:$AP$100,13,FALSE),0)</f>
        <v>0</v>
      </c>
      <c r="DZ91" s="997">
        <f>IFERROR(VLOOKUP($B91,KisuiBKerenPensiaDBWithParams!$D$6:$AP$100,7,FALSE),0)</f>
        <v>0</v>
      </c>
      <c r="EA91" s="997">
        <f>IFERROR(VLOOKUP($B91,KisuiBKerenPensiaDBWithParams!$D$6:$AP$100,17,FALSE),0)</f>
        <v>0</v>
      </c>
      <c r="EB91" s="997">
        <f>IFERROR(VLOOKUP($B91,KisuiBKerenPensiaDBWithParams!$D$6:$AP$100,20,FALSE),0)</f>
        <v>0</v>
      </c>
      <c r="EC91" s="997">
        <f>IFERROR(VLOOKUP($B91,KisuiBKerenPensiaDBWithParams!$D$6:$AP$100,21,FALSE),0)</f>
        <v>0</v>
      </c>
      <c r="ED91" s="997">
        <f t="shared" si="111"/>
        <v>0</v>
      </c>
      <c r="EE91" s="997"/>
      <c r="EF91" s="1020">
        <f>IFERROR(VLOOKUP($B91,KisuiBKerenPensiaDBWithParams!$D$6:$AP$100,21,FALSE),0)</f>
        <v>0</v>
      </c>
      <c r="EG91" s="1020">
        <f>IFERROR(VLOOKUP($B91,KisuiBKerenPensiaDBWithParams!$D$6:$AP$100,21,FALSE),0)</f>
        <v>0</v>
      </c>
      <c r="EH91">
        <f>IF(OR(G91=MyData!$J$51,G91=MyData!$J$52,G91=MyData!$J$53),1,IF(G91=MyData!$J$50,2,0))</f>
        <v>0</v>
      </c>
    </row>
    <row r="92" spans="1:147" x14ac:dyDescent="0.2">
      <c r="A92">
        <f t="shared" si="112"/>
        <v>0</v>
      </c>
      <c r="B92" s="20">
        <f>RicusPolice!E89</f>
        <v>0</v>
      </c>
      <c r="C92" s="20">
        <f>RicusPolice!AL89</f>
        <v>0</v>
      </c>
      <c r="D92" s="20">
        <f>RicusPolice!F89</f>
        <v>0</v>
      </c>
      <c r="E92" s="20">
        <f>RicusPolice!R89</f>
        <v>0</v>
      </c>
      <c r="F92" s="20">
        <f>RicusPolice!N89</f>
        <v>0</v>
      </c>
      <c r="G92" s="20">
        <f>IFERROR(VLOOKUP($B92,PerutYitrot!$D$6:$P$100,4,FALSE),0)</f>
        <v>0</v>
      </c>
      <c r="H92" s="20">
        <f t="shared" si="94"/>
        <v>0</v>
      </c>
      <c r="I92" s="20">
        <f>RicusPolice!L89</f>
        <v>0</v>
      </c>
      <c r="J92" s="179">
        <f>IFERROR(VLOOKUP(TRIM(K92),MyData!$J$44:$K$50,2,FALSE),0)</f>
        <v>0</v>
      </c>
      <c r="K92" s="20">
        <f>RicusPolice!M89</f>
        <v>0</v>
      </c>
      <c r="L92" s="20">
        <f>RicusPolice!AM89</f>
        <v>0</v>
      </c>
      <c r="M92" s="20" t="str">
        <f>IF(B92&gt;0,RicusPolice!Y89," ")</f>
        <v xml:space="preserve"> </v>
      </c>
      <c r="N92" s="20" t="str">
        <f t="shared" si="95"/>
        <v/>
      </c>
      <c r="O92" s="20">
        <f>RicusPolice!N89</f>
        <v>0</v>
      </c>
      <c r="P92" s="20">
        <f>IFERROR(VLOOKUP(B92,PerutMasluleiHashkaa!$D$6:$R$100,4,FALSE),0)</f>
        <v>0</v>
      </c>
      <c r="Q92" s="19"/>
      <c r="R92" s="1011" t="str">
        <f>IF(B92&gt;0,RicusPolice!P91," ")</f>
        <v xml:space="preserve"> </v>
      </c>
      <c r="S92" s="20">
        <f>IFERROR(VLOOKUP($B92,'נתונים ידניים'!$B$9:$G$51,6,FALSE),0)</f>
        <v>0</v>
      </c>
      <c r="T92" s="21">
        <f>'נתונים ידניים'!J93</f>
        <v>0</v>
      </c>
      <c r="U92" s="21">
        <f>'נתונים ידניים'!K93</f>
        <v>0</v>
      </c>
      <c r="V92" s="20">
        <f>IFERROR(VLOOKUP($B92,PerutHafrashotLePolisa!$D$6:$N$50,2,FALSE),0)</f>
        <v>0</v>
      </c>
      <c r="W92" s="20">
        <f>IFERROR(VLOOKUP($B92,PerutHafrashotLePolisa!$D$6:$N$50,4,FALSE),0)</f>
        <v>0</v>
      </c>
      <c r="X92" s="20">
        <f>IFERROR(VLOOKUP($B92,PerutHafrashotLePolisa!$D$6:$N$50,3,FALSE),0)</f>
        <v>0</v>
      </c>
      <c r="Y92">
        <f t="shared" si="96"/>
        <v>0</v>
      </c>
      <c r="Z92">
        <f>RicusPolice!AP89</f>
        <v>0</v>
      </c>
      <c r="AA92">
        <f>IFERROR(VLOOKUP(B92,PirteiHaasaka!$D$6:$R$100,5,FALSE),0)</f>
        <v>0</v>
      </c>
      <c r="AC92">
        <f>IFERROR(VLOOKUP(B92,HafkadotMetchilatShanaAverages!$D$6:$E$100,2,FALSE),0)</f>
        <v>0</v>
      </c>
      <c r="AF92">
        <f>'נתונים ידניים'!L93</f>
        <v>0</v>
      </c>
      <c r="AG92">
        <f>IFERROR(VLOOKUP(B92,CrossTabYitraLeTkufa_till_2000!$D$6:$AB$100,6,FALSE),0)+IFERROR(VLOOKUP(B92,CrossTabYitraLeTkufa_after_2000!$D$6:$AB$100,6,FALSE),0)</f>
        <v>0</v>
      </c>
      <c r="AH92">
        <f>IFERROR(VLOOKUP(B92,CrossTabYitraLeTkufa_till_2000!$D$6:$AB$100,16,FALSE),0)</f>
        <v>0</v>
      </c>
      <c r="AI92">
        <f>IFERROR(VLOOKUP(B92,CrossTabYitraLeTkufa_after_2000!$D$6:$AB$100,16,FALSE),0)</f>
        <v>0</v>
      </c>
      <c r="AJ92">
        <f>IFERROR(VLOOKUP(B92,CrossTabYitraLeTkufa_till_2000!$D$6:$AB$100,17,FALSE),0)</f>
        <v>0</v>
      </c>
      <c r="AK92">
        <f>IFERROR(VLOOKUP(B92,CrossTabYitraLeTkufa_after_2000!$D$6:$AB$100,17,FALSE),0)</f>
        <v>0</v>
      </c>
      <c r="AL92" s="5">
        <f t="shared" si="97"/>
        <v>0</v>
      </c>
      <c r="AO92">
        <f>IFERROR(VLOOKUP(B92,PirteiKisuiBeMutzar_procerur!$C$6:$AA$100,2,FALSE),0)</f>
        <v>0</v>
      </c>
      <c r="AQ92">
        <f>IFERROR(VLOOKUP($B92,PirteiKisuiBeMutzar_procerur!$C$6:$AA$100,5,FALSE),0)</f>
        <v>0</v>
      </c>
      <c r="AR92">
        <f>IFERROR(VLOOKUP($B92,PirteiKisuiBeMutzar_procerur!$C$6:$AA$100,3,FALSE),0)</f>
        <v>0</v>
      </c>
      <c r="AS92">
        <f>IFERROR(VLOOKUP($B92,PirteiKisuiBeMutzar_procerur!$C$6:$AA$100,6,FALSE),0)</f>
        <v>0</v>
      </c>
      <c r="AT92">
        <f>IFERROR(VLOOKUP($B92,PirteiKisuiBeMutzar_procerur!$C$6:$AA$100,7,FALSE),0)</f>
        <v>0</v>
      </c>
      <c r="AX92" s="997">
        <f t="shared" si="98"/>
        <v>0</v>
      </c>
      <c r="AY92" s="997">
        <f t="shared" si="99"/>
        <v>0</v>
      </c>
      <c r="AZ92" s="997">
        <f t="shared" si="100"/>
        <v>0</v>
      </c>
      <c r="BA92" s="997">
        <f>IFERROR(FV(S92/100/12,'נתוני יסוד'!$B$16*12,AX92,AG92)*(-1),0)</f>
        <v>0</v>
      </c>
      <c r="BB92" s="997">
        <f>IFERROR(FV(S92/100/12,'נתוני יסוד'!$B$16*12,0,AH92)*(-1),0)</f>
        <v>0</v>
      </c>
      <c r="BC92" s="997">
        <f>IFERROR(FV(S92/100/12,'נתוני יסוד'!$B$16*12,AY92,AI92)*(-1),0)</f>
        <v>0</v>
      </c>
      <c r="BD92" s="997">
        <f>IFERROR(FV(S92/100/12,'נתוני יסוד'!$B$16*12,0,AJ92)*(-1),0)</f>
        <v>0</v>
      </c>
      <c r="BE92" s="997">
        <f>IFERROR(FV(S92/100/12,'נתוני יסוד'!$B$16*12,AZ92,AK92)*(-1),0)</f>
        <v>0</v>
      </c>
      <c r="BF92" s="997">
        <f t="shared" si="101"/>
        <v>0</v>
      </c>
      <c r="BG92" s="997">
        <f>IFERROR(FV(S92/100/12,'נתוני יסוד'!$B$16*12,AF92,AL92)*(-1),0)</f>
        <v>0</v>
      </c>
      <c r="BH92" s="997">
        <f t="shared" si="102"/>
        <v>0</v>
      </c>
      <c r="BI92" s="997">
        <f t="shared" si="103"/>
        <v>0</v>
      </c>
      <c r="BJ92" s="997">
        <f t="shared" si="104"/>
        <v>0</v>
      </c>
      <c r="BK92" s="997">
        <f t="shared" si="105"/>
        <v>0</v>
      </c>
      <c r="BL92" s="997">
        <f t="shared" si="68"/>
        <v>0</v>
      </c>
      <c r="BM92" s="997">
        <f t="shared" si="69"/>
        <v>0</v>
      </c>
      <c r="BN92" s="997">
        <f t="shared" si="70"/>
        <v>0</v>
      </c>
      <c r="BO92" s="997">
        <f t="shared" si="106"/>
        <v>0</v>
      </c>
      <c r="BP92" s="997">
        <f t="shared" si="71"/>
        <v>0</v>
      </c>
      <c r="BS92">
        <f t="shared" si="72"/>
        <v>0</v>
      </c>
      <c r="BT92">
        <f t="shared" si="73"/>
        <v>0</v>
      </c>
      <c r="BU92">
        <f t="shared" si="74"/>
        <v>0</v>
      </c>
      <c r="BV92">
        <f t="shared" si="107"/>
        <v>0</v>
      </c>
      <c r="BW92">
        <f t="shared" si="75"/>
        <v>0</v>
      </c>
      <c r="BY92" s="997">
        <f t="shared" si="76"/>
        <v>0</v>
      </c>
      <c r="BZ92" s="997">
        <f t="shared" si="77"/>
        <v>0</v>
      </c>
      <c r="CA92" s="997">
        <f t="shared" si="78"/>
        <v>0</v>
      </c>
      <c r="CB92" s="997">
        <f t="shared" si="108"/>
        <v>0</v>
      </c>
      <c r="CC92" s="997">
        <f t="shared" si="79"/>
        <v>0</v>
      </c>
      <c r="CD92" s="997">
        <f t="shared" si="80"/>
        <v>0</v>
      </c>
      <c r="CE92" s="997">
        <f t="shared" si="81"/>
        <v>0</v>
      </c>
      <c r="CF92" s="997">
        <f t="shared" si="82"/>
        <v>0</v>
      </c>
      <c r="CG92" s="997">
        <f t="shared" si="83"/>
        <v>0</v>
      </c>
      <c r="CH92" s="997">
        <f t="shared" si="84"/>
        <v>0</v>
      </c>
      <c r="CI92" s="997">
        <f t="shared" si="85"/>
        <v>0</v>
      </c>
      <c r="CJ92" s="997">
        <f t="shared" si="86"/>
        <v>0</v>
      </c>
      <c r="CK92" s="997"/>
      <c r="CL92" s="997"/>
      <c r="CM92" s="997">
        <f t="shared" si="87"/>
        <v>0</v>
      </c>
      <c r="CN92" s="997">
        <f t="shared" si="88"/>
        <v>0</v>
      </c>
      <c r="CO92" s="997">
        <f t="shared" si="89"/>
        <v>0</v>
      </c>
      <c r="CP92" s="997">
        <f t="shared" si="109"/>
        <v>0</v>
      </c>
      <c r="CQ92" s="997">
        <f t="shared" si="90"/>
        <v>0</v>
      </c>
      <c r="CR92" s="997">
        <f>IFERROR(VLOOKUP($B92,SchumeiBituahYesodi!$C$6:$AA$100,8,FALSE),0)</f>
        <v>0</v>
      </c>
      <c r="CS92" s="997">
        <f>IFERROR(VLOOKUP($B92,PirteiKisuiBeMutzar_procerur!$C$6:$AA$100,2,FALSE),0)</f>
        <v>0</v>
      </c>
      <c r="CT92" s="997">
        <f>IFERROR(VLOOKUP($B92,PirteiKisuiBeMutzar_procerur!$C$6:$AA$100,3,FALSE),0)</f>
        <v>0</v>
      </c>
      <c r="CU92" s="997">
        <f>IFERROR(VLOOKUP($B92,PirteiKisuiBeMutzar_procerur!$C$6:$AA$100,4,FALSE),0)</f>
        <v>0</v>
      </c>
      <c r="CV92" s="997">
        <f>IFERROR(VLOOKUP($B92,PirteiKisuiBeMutzar_procerur!$C$6:$AA$100,5,FALSE),0)</f>
        <v>0</v>
      </c>
      <c r="CW92" s="997">
        <f>IFERROR(VLOOKUP($B92,PirteiKisuiBeMutzar_procerur!$C$6:$AA$100,6,FALSE),0)</f>
        <v>0</v>
      </c>
      <c r="CX92" s="997">
        <f>IFERROR(VLOOKUP($B92,PirteiKisuiBeMutzar_procerur!$C$6:$AA$100,7,FALSE),0)</f>
        <v>0</v>
      </c>
      <c r="CY92" s="997">
        <f>IFERROR(VLOOKUP($B92,PirteiKisuiBeMutzar_procerur!$C$6:$AA$100,8,FALSE),0)</f>
        <v>0</v>
      </c>
      <c r="CZ92" s="997">
        <f>IFERROR(VLOOKUP($B92,PirteiKisuiBeMutzar_procerur!$C$6:$AA$100,9,FALSE),0)</f>
        <v>0</v>
      </c>
      <c r="DA92" s="997">
        <f>IFERROR(VLOOKUP($B92,PirteiKisuiBeMutzar_procerur!$C$6:$AA$100,10,FALSE),0)</f>
        <v>0</v>
      </c>
      <c r="DB92" s="997">
        <f>IFERROR(VLOOKUP($B92,PirteiKisuiBeMutzar_procerur!$C$6:$AA$100,11,FALSE),0)</f>
        <v>0</v>
      </c>
      <c r="DC92" s="997">
        <f>IFERROR(VLOOKUP($B92,PirteiKisuiBeMutzarPrmia!$C$6:$Z$100,2,FALSE),0)</f>
        <v>0</v>
      </c>
      <c r="DD92" s="997">
        <f>IFERROR(VLOOKUP($B92,PirteiKisuiBeMutzarPrmia!$C$6:$Z$100,3,FALSE),0)</f>
        <v>0</v>
      </c>
      <c r="DE92" s="997">
        <f>IFERROR(VLOOKUP($B92,PirteiKisuiBeMutzarPrmia!$C$6:$Z$100,4,FALSE),0)</f>
        <v>0</v>
      </c>
      <c r="DF92" s="997">
        <f>IFERROR(VLOOKUP($B92,PirteiKisuiBeMutzarPrmia!$C$6:$Z$100,5,FALSE),0)</f>
        <v>0</v>
      </c>
      <c r="DG92" s="997">
        <f>IFERROR(VLOOKUP($B92,PirteiKisuiBeMutzarPrmia!$C$6:$Z$100,6,FALSE),0)</f>
        <v>0</v>
      </c>
      <c r="DH92" s="997">
        <f>IFERROR(VLOOKUP($B92,PirteiKisuiBeMutzarPrmia!$C$6:$Z$100,7,FALSE),0)</f>
        <v>0</v>
      </c>
      <c r="DI92" s="997">
        <f>IFERROR(VLOOKUP($B92,PirteiKisuiBeMutzarPrmia!$C$6:$Z$100,8,FALSE),0)</f>
        <v>0</v>
      </c>
      <c r="DJ92" s="997">
        <f>IFERROR(VLOOKUP($B92,PirteiKisuiBeMutzarPrmia!$C$6:$Z$100,9,FALSE),0)</f>
        <v>0</v>
      </c>
      <c r="DK92" s="997">
        <f>IFERROR(VLOOKUP($B92,PirteiKisuiBeMutzarPrmia!$C$6:$Z$100,10,FALSE),0)</f>
        <v>0</v>
      </c>
      <c r="DL92" s="997">
        <f>IFERROR(VLOOKUP($B92,PirteiKisuiBeMutzarPrmia!$C$6:$Z$100,11,FALSE),0)</f>
        <v>0</v>
      </c>
      <c r="DM92" s="997">
        <f t="shared" si="110"/>
        <v>0</v>
      </c>
      <c r="DN92" s="997">
        <f t="shared" si="91"/>
        <v>0</v>
      </c>
      <c r="DO92" s="997">
        <f t="shared" si="92"/>
        <v>0</v>
      </c>
      <c r="DP92" s="997">
        <f t="shared" si="67"/>
        <v>0</v>
      </c>
      <c r="DQ92" s="997">
        <f t="shared" si="93"/>
        <v>0</v>
      </c>
      <c r="DR92" s="997">
        <f>IF(OR(L92=1,L92=3),IFERROR(VLOOKUP($B92,PerutHafkadotMetchilatShanaAvgM!$C$6:$G$100,3,FALSE),0),0)</f>
        <v>0</v>
      </c>
      <c r="DS92" s="997">
        <f>IF(OR(L92=2,L92=4),IFERROR(VLOOKUP($B92,PerutHafkadotMetchilatShanaAvgM!$C$6:$G$100,3,FALSE),0),0)</f>
        <v>0</v>
      </c>
      <c r="DT92" s="997">
        <f>IFERROR(VLOOKUP($B92,PerutHafkadotMetchilatShanaAvgM!$C$6:$G$100,4,FALSE),0)</f>
        <v>0</v>
      </c>
      <c r="DU92" s="997">
        <f>IFERROR(VLOOKUP($B92,Kupa!$D$6:$AA$100,5,FALSE),0)</f>
        <v>0</v>
      </c>
      <c r="DV92" s="997">
        <f>IFERROR(VLOOKUP($B92,Kupa!$D$6:$AA$100,6,FALSE),0)</f>
        <v>0</v>
      </c>
      <c r="DW92" s="997">
        <f>IFERROR(VLOOKUP($B92,KisuiBKerenPensiaDBWithParams!$D$6:$AP$100,9,FALSE),0)</f>
        <v>0</v>
      </c>
      <c r="DX92" s="997">
        <f>IFERROR(VLOOKUP($B92,KisuiBKerenPensiaDBWithParams!$D$6:$AP$100,12,FALSE),0)</f>
        <v>0</v>
      </c>
      <c r="DY92" s="997">
        <f>IFERROR(VLOOKUP($B92,KisuiBKerenPensiaDBWithParams!$D$6:$AP$100,13,FALSE),0)</f>
        <v>0</v>
      </c>
      <c r="DZ92" s="997">
        <f>IFERROR(VLOOKUP($B92,KisuiBKerenPensiaDBWithParams!$D$6:$AP$100,7,FALSE),0)</f>
        <v>0</v>
      </c>
      <c r="EA92" s="997">
        <f>IFERROR(VLOOKUP($B92,KisuiBKerenPensiaDBWithParams!$D$6:$AP$100,17,FALSE),0)</f>
        <v>0</v>
      </c>
      <c r="EB92" s="997">
        <f>IFERROR(VLOOKUP($B92,KisuiBKerenPensiaDBWithParams!$D$6:$AP$100,20,FALSE),0)</f>
        <v>0</v>
      </c>
      <c r="EC92" s="997">
        <f>IFERROR(VLOOKUP($B92,KisuiBKerenPensiaDBWithParams!$D$6:$AP$100,21,FALSE),0)</f>
        <v>0</v>
      </c>
      <c r="ED92" s="997">
        <f t="shared" si="111"/>
        <v>0</v>
      </c>
      <c r="EE92" s="997"/>
      <c r="EF92" s="1020">
        <f>IFERROR(VLOOKUP($B92,KisuiBKerenPensiaDBWithParams!$D$6:$AP$100,21,FALSE),0)</f>
        <v>0</v>
      </c>
      <c r="EG92" s="1020">
        <f>IFERROR(VLOOKUP($B92,KisuiBKerenPensiaDBWithParams!$D$6:$AP$100,21,FALSE),0)</f>
        <v>0</v>
      </c>
      <c r="EH92">
        <f>IF(OR(G92=MyData!$J$51,G92=MyData!$J$52,G92=MyData!$J$53),1,IF(G92=MyData!$J$50,2,0))</f>
        <v>0</v>
      </c>
    </row>
    <row r="93" spans="1:147" x14ac:dyDescent="0.2">
      <c r="A93">
        <f t="shared" si="112"/>
        <v>0</v>
      </c>
      <c r="B93" s="20">
        <f>RicusPolice!E90</f>
        <v>0</v>
      </c>
      <c r="C93" s="20">
        <f>RicusPolice!AL90</f>
        <v>0</v>
      </c>
      <c r="D93" s="20">
        <f>RicusPolice!F90</f>
        <v>0</v>
      </c>
      <c r="E93" s="20">
        <f>RicusPolice!R90</f>
        <v>0</v>
      </c>
      <c r="F93" s="20">
        <f>RicusPolice!N90</f>
        <v>0</v>
      </c>
      <c r="G93" s="20">
        <f>IFERROR(VLOOKUP($B93,PerutYitrot!$D$6:$P$100,4,FALSE),0)</f>
        <v>0</v>
      </c>
      <c r="H93" s="20">
        <f t="shared" si="94"/>
        <v>0</v>
      </c>
      <c r="I93" s="20">
        <f>RicusPolice!L90</f>
        <v>0</v>
      </c>
      <c r="J93" s="179">
        <f>IFERROR(VLOOKUP(TRIM(K93),MyData!$J$44:$K$50,2,FALSE),0)</f>
        <v>0</v>
      </c>
      <c r="K93" s="20">
        <f>RicusPolice!M90</f>
        <v>0</v>
      </c>
      <c r="L93" s="20">
        <f>RicusPolice!AM90</f>
        <v>0</v>
      </c>
      <c r="M93" s="20" t="str">
        <f>IF(B93&gt;0,RicusPolice!Y90," ")</f>
        <v xml:space="preserve"> </v>
      </c>
      <c r="N93" s="20" t="str">
        <f t="shared" si="95"/>
        <v/>
      </c>
      <c r="O93" s="20">
        <f>RicusPolice!N90</f>
        <v>0</v>
      </c>
      <c r="P93" s="20">
        <f>IFERROR(VLOOKUP(B93,PerutMasluleiHashkaa!$D$6:$R$100,4,FALSE),0)</f>
        <v>0</v>
      </c>
      <c r="Q93" s="19"/>
      <c r="R93" s="1011" t="str">
        <f>IF(B93&gt;0,RicusPolice!P92," ")</f>
        <v xml:space="preserve"> </v>
      </c>
      <c r="S93" s="20">
        <f>IFERROR(VLOOKUP($B93,'נתונים ידניים'!$B$9:$G$51,6,FALSE),0)</f>
        <v>0</v>
      </c>
      <c r="T93" s="21">
        <f>'נתונים ידניים'!J94</f>
        <v>0</v>
      </c>
      <c r="U93" s="21">
        <f>'נתונים ידניים'!K94</f>
        <v>0</v>
      </c>
      <c r="V93" s="20">
        <f>IFERROR(VLOOKUP($B93,PerutHafrashotLePolisa!$D$6:$N$50,2,FALSE),0)</f>
        <v>0</v>
      </c>
      <c r="W93" s="20">
        <f>IFERROR(VLOOKUP($B93,PerutHafrashotLePolisa!$D$6:$N$50,4,FALSE),0)</f>
        <v>0</v>
      </c>
      <c r="X93" s="20">
        <f>IFERROR(VLOOKUP($B93,PerutHafrashotLePolisa!$D$6:$N$50,3,FALSE),0)</f>
        <v>0</v>
      </c>
      <c r="Y93">
        <f t="shared" si="96"/>
        <v>0</v>
      </c>
      <c r="Z93">
        <f>RicusPolice!AP90</f>
        <v>0</v>
      </c>
      <c r="AA93">
        <f>IFERROR(VLOOKUP(B93,PirteiHaasaka!$D$6:$R$100,5,FALSE),0)</f>
        <v>0</v>
      </c>
      <c r="AC93">
        <f>IFERROR(VLOOKUP(B93,HafkadotMetchilatShanaAverages!$D$6:$E$100,2,FALSE),0)</f>
        <v>0</v>
      </c>
      <c r="AF93">
        <f>'נתונים ידניים'!L94</f>
        <v>0</v>
      </c>
      <c r="AG93">
        <f>IFERROR(VLOOKUP(B93,CrossTabYitraLeTkufa_till_2000!$D$6:$AB$100,6,FALSE),0)+IFERROR(VLOOKUP(B93,CrossTabYitraLeTkufa_after_2000!$D$6:$AB$100,6,FALSE),0)</f>
        <v>0</v>
      </c>
      <c r="AH93">
        <f>IFERROR(VLOOKUP(B93,CrossTabYitraLeTkufa_till_2000!$D$6:$AB$100,16,FALSE),0)</f>
        <v>0</v>
      </c>
      <c r="AI93">
        <f>IFERROR(VLOOKUP(B93,CrossTabYitraLeTkufa_after_2000!$D$6:$AB$100,16,FALSE),0)</f>
        <v>0</v>
      </c>
      <c r="AJ93">
        <f>IFERROR(VLOOKUP(B93,CrossTabYitraLeTkufa_till_2000!$D$6:$AB$100,17,FALSE),0)</f>
        <v>0</v>
      </c>
      <c r="AK93">
        <f>IFERROR(VLOOKUP(B93,CrossTabYitraLeTkufa_after_2000!$D$6:$AB$100,17,FALSE),0)</f>
        <v>0</v>
      </c>
      <c r="AL93" s="5">
        <f t="shared" si="97"/>
        <v>0</v>
      </c>
      <c r="AO93">
        <f>IFERROR(VLOOKUP(B93,PirteiKisuiBeMutzar_procerur!$C$6:$AA$100,2,FALSE),0)</f>
        <v>0</v>
      </c>
      <c r="AQ93">
        <f>IFERROR(VLOOKUP($B93,PirteiKisuiBeMutzar_procerur!$C$6:$AA$100,5,FALSE),0)</f>
        <v>0</v>
      </c>
      <c r="AR93">
        <f>IFERROR(VLOOKUP($B93,PirteiKisuiBeMutzar_procerur!$C$6:$AA$100,3,FALSE),0)</f>
        <v>0</v>
      </c>
      <c r="AS93">
        <f>IFERROR(VLOOKUP($B93,PirteiKisuiBeMutzar_procerur!$C$6:$AA$100,6,FALSE),0)</f>
        <v>0</v>
      </c>
      <c r="AT93">
        <f>IFERROR(VLOOKUP($B93,PirteiKisuiBeMutzar_procerur!$C$6:$AA$100,7,FALSE),0)</f>
        <v>0</v>
      </c>
      <c r="AX93" s="997">
        <f t="shared" si="98"/>
        <v>0</v>
      </c>
      <c r="AY93" s="997">
        <f t="shared" si="99"/>
        <v>0</v>
      </c>
      <c r="AZ93" s="997">
        <f t="shared" si="100"/>
        <v>0</v>
      </c>
      <c r="BA93" s="997">
        <f>IFERROR(FV(S93/100/12,'נתוני יסוד'!$B$16*12,AX93,AG93)*(-1),0)</f>
        <v>0</v>
      </c>
      <c r="BB93" s="997">
        <f>IFERROR(FV(S93/100/12,'נתוני יסוד'!$B$16*12,0,AH93)*(-1),0)</f>
        <v>0</v>
      </c>
      <c r="BC93" s="997">
        <f>IFERROR(FV(S93/100/12,'נתוני יסוד'!$B$16*12,AY93,AI93)*(-1),0)</f>
        <v>0</v>
      </c>
      <c r="BD93" s="997">
        <f>IFERROR(FV(S93/100/12,'נתוני יסוד'!$B$16*12,0,AJ93)*(-1),0)</f>
        <v>0</v>
      </c>
      <c r="BE93" s="997">
        <f>IFERROR(FV(S93/100/12,'נתוני יסוד'!$B$16*12,AZ93,AK93)*(-1),0)</f>
        <v>0</v>
      </c>
      <c r="BF93" s="997">
        <f t="shared" si="101"/>
        <v>0</v>
      </c>
      <c r="BG93" s="997">
        <f>IFERROR(FV(S93/100/12,'נתוני יסוד'!$B$16*12,AF93,AL93)*(-1),0)</f>
        <v>0</v>
      </c>
      <c r="BH93" s="997">
        <f t="shared" si="102"/>
        <v>0</v>
      </c>
      <c r="BI93" s="997">
        <f t="shared" si="103"/>
        <v>0</v>
      </c>
      <c r="BJ93" s="997">
        <f t="shared" si="104"/>
        <v>0</v>
      </c>
      <c r="BK93" s="997">
        <f t="shared" si="105"/>
        <v>0</v>
      </c>
      <c r="BL93" s="997">
        <f t="shared" si="68"/>
        <v>0</v>
      </c>
      <c r="BM93" s="997">
        <f t="shared" si="69"/>
        <v>0</v>
      </c>
      <c r="BN93" s="997">
        <f t="shared" si="70"/>
        <v>0</v>
      </c>
      <c r="BO93" s="997">
        <f t="shared" si="106"/>
        <v>0</v>
      </c>
      <c r="BP93" s="997">
        <f t="shared" si="71"/>
        <v>0</v>
      </c>
      <c r="BS93">
        <f t="shared" si="72"/>
        <v>0</v>
      </c>
      <c r="BT93">
        <f t="shared" si="73"/>
        <v>0</v>
      </c>
      <c r="BU93">
        <f t="shared" si="74"/>
        <v>0</v>
      </c>
      <c r="BV93">
        <f t="shared" si="107"/>
        <v>0</v>
      </c>
      <c r="BW93">
        <f t="shared" si="75"/>
        <v>0</v>
      </c>
      <c r="BY93" s="997">
        <f t="shared" si="76"/>
        <v>0</v>
      </c>
      <c r="BZ93" s="997">
        <f t="shared" si="77"/>
        <v>0</v>
      </c>
      <c r="CA93" s="997">
        <f t="shared" si="78"/>
        <v>0</v>
      </c>
      <c r="CB93" s="997">
        <f t="shared" si="108"/>
        <v>0</v>
      </c>
      <c r="CC93" s="997">
        <f t="shared" si="79"/>
        <v>0</v>
      </c>
      <c r="CD93" s="997">
        <f t="shared" si="80"/>
        <v>0</v>
      </c>
      <c r="CE93" s="997">
        <f t="shared" si="81"/>
        <v>0</v>
      </c>
      <c r="CF93" s="997">
        <f t="shared" si="82"/>
        <v>0</v>
      </c>
      <c r="CG93" s="997">
        <f t="shared" si="83"/>
        <v>0</v>
      </c>
      <c r="CH93" s="997">
        <f t="shared" si="84"/>
        <v>0</v>
      </c>
      <c r="CI93" s="997">
        <f t="shared" si="85"/>
        <v>0</v>
      </c>
      <c r="CJ93" s="997">
        <f t="shared" si="86"/>
        <v>0</v>
      </c>
      <c r="CK93" s="997"/>
      <c r="CL93" s="997"/>
      <c r="CM93" s="997">
        <f t="shared" si="87"/>
        <v>0</v>
      </c>
      <c r="CN93" s="997">
        <f t="shared" si="88"/>
        <v>0</v>
      </c>
      <c r="CO93" s="997">
        <f t="shared" si="89"/>
        <v>0</v>
      </c>
      <c r="CP93" s="997">
        <f t="shared" si="109"/>
        <v>0</v>
      </c>
      <c r="CQ93" s="997">
        <f t="shared" si="90"/>
        <v>0</v>
      </c>
      <c r="CR93" s="997">
        <f>IFERROR(VLOOKUP($B93,SchumeiBituahYesodi!$C$6:$AA$100,8,FALSE),0)</f>
        <v>0</v>
      </c>
      <c r="CS93" s="997">
        <f>IFERROR(VLOOKUP($B93,PirteiKisuiBeMutzar_procerur!$C$6:$AA$100,2,FALSE),0)</f>
        <v>0</v>
      </c>
      <c r="CT93" s="997">
        <f>IFERROR(VLOOKUP($B93,PirteiKisuiBeMutzar_procerur!$C$6:$AA$100,3,FALSE),0)</f>
        <v>0</v>
      </c>
      <c r="CU93" s="997">
        <f>IFERROR(VLOOKUP($B93,PirteiKisuiBeMutzar_procerur!$C$6:$AA$100,4,FALSE),0)</f>
        <v>0</v>
      </c>
      <c r="CV93" s="997">
        <f>IFERROR(VLOOKUP($B93,PirteiKisuiBeMutzar_procerur!$C$6:$AA$100,5,FALSE),0)</f>
        <v>0</v>
      </c>
      <c r="CW93" s="997">
        <f>IFERROR(VLOOKUP($B93,PirteiKisuiBeMutzar_procerur!$C$6:$AA$100,6,FALSE),0)</f>
        <v>0</v>
      </c>
      <c r="CX93" s="997">
        <f>IFERROR(VLOOKUP($B93,PirteiKisuiBeMutzar_procerur!$C$6:$AA$100,7,FALSE),0)</f>
        <v>0</v>
      </c>
      <c r="CY93" s="997">
        <f>IFERROR(VLOOKUP($B93,PirteiKisuiBeMutzar_procerur!$C$6:$AA$100,8,FALSE),0)</f>
        <v>0</v>
      </c>
      <c r="CZ93" s="997">
        <f>IFERROR(VLOOKUP($B93,PirteiKisuiBeMutzar_procerur!$C$6:$AA$100,9,FALSE),0)</f>
        <v>0</v>
      </c>
      <c r="DA93" s="997">
        <f>IFERROR(VLOOKUP($B93,PirteiKisuiBeMutzar_procerur!$C$6:$AA$100,10,FALSE),0)</f>
        <v>0</v>
      </c>
      <c r="DB93" s="997">
        <f>IFERROR(VLOOKUP($B93,PirteiKisuiBeMutzar_procerur!$C$6:$AA$100,11,FALSE),0)</f>
        <v>0</v>
      </c>
      <c r="DC93" s="997">
        <f>IFERROR(VLOOKUP($B93,PirteiKisuiBeMutzarPrmia!$C$6:$Z$100,2,FALSE),0)</f>
        <v>0</v>
      </c>
      <c r="DD93" s="997">
        <f>IFERROR(VLOOKUP($B93,PirteiKisuiBeMutzarPrmia!$C$6:$Z$100,3,FALSE),0)</f>
        <v>0</v>
      </c>
      <c r="DE93" s="997">
        <f>IFERROR(VLOOKUP($B93,PirteiKisuiBeMutzarPrmia!$C$6:$Z$100,4,FALSE),0)</f>
        <v>0</v>
      </c>
      <c r="DF93" s="997">
        <f>IFERROR(VLOOKUP($B93,PirteiKisuiBeMutzarPrmia!$C$6:$Z$100,5,FALSE),0)</f>
        <v>0</v>
      </c>
      <c r="DG93" s="997">
        <f>IFERROR(VLOOKUP($B93,PirteiKisuiBeMutzarPrmia!$C$6:$Z$100,6,FALSE),0)</f>
        <v>0</v>
      </c>
      <c r="DH93" s="997">
        <f>IFERROR(VLOOKUP($B93,PirteiKisuiBeMutzarPrmia!$C$6:$Z$100,7,FALSE),0)</f>
        <v>0</v>
      </c>
      <c r="DI93" s="997">
        <f>IFERROR(VLOOKUP($B93,PirteiKisuiBeMutzarPrmia!$C$6:$Z$100,8,FALSE),0)</f>
        <v>0</v>
      </c>
      <c r="DJ93" s="997">
        <f>IFERROR(VLOOKUP($B93,PirteiKisuiBeMutzarPrmia!$C$6:$Z$100,9,FALSE),0)</f>
        <v>0</v>
      </c>
      <c r="DK93" s="997">
        <f>IFERROR(VLOOKUP($B93,PirteiKisuiBeMutzarPrmia!$C$6:$Z$100,10,FALSE),0)</f>
        <v>0</v>
      </c>
      <c r="DL93" s="997">
        <f>IFERROR(VLOOKUP($B93,PirteiKisuiBeMutzarPrmia!$C$6:$Z$100,11,FALSE),0)</f>
        <v>0</v>
      </c>
      <c r="DM93" s="997">
        <f t="shared" si="110"/>
        <v>0</v>
      </c>
      <c r="DN93" s="997">
        <f t="shared" si="91"/>
        <v>0</v>
      </c>
      <c r="DO93" s="997">
        <f t="shared" si="92"/>
        <v>0</v>
      </c>
      <c r="DP93" s="997">
        <f t="shared" si="67"/>
        <v>0</v>
      </c>
      <c r="DQ93" s="997">
        <f t="shared" si="93"/>
        <v>0</v>
      </c>
      <c r="DR93" s="997">
        <f>IF(OR(L93=1,L93=3),IFERROR(VLOOKUP($B93,PerutHafkadotMetchilatShanaAvgM!$C$6:$G$100,3,FALSE),0),0)</f>
        <v>0</v>
      </c>
      <c r="DS93" s="997">
        <f>IF(OR(L93=2,L93=4),IFERROR(VLOOKUP($B93,PerutHafkadotMetchilatShanaAvgM!$C$6:$G$100,3,FALSE),0),0)</f>
        <v>0</v>
      </c>
      <c r="DT93" s="997">
        <f>IFERROR(VLOOKUP($B93,PerutHafkadotMetchilatShanaAvgM!$C$6:$G$100,4,FALSE),0)</f>
        <v>0</v>
      </c>
      <c r="DU93" s="997">
        <f>IFERROR(VLOOKUP($B93,Kupa!$D$6:$AA$100,5,FALSE),0)</f>
        <v>0</v>
      </c>
      <c r="DV93" s="997">
        <f>IFERROR(VLOOKUP($B93,Kupa!$D$6:$AA$100,6,FALSE),0)</f>
        <v>0</v>
      </c>
      <c r="DW93" s="997">
        <f>IFERROR(VLOOKUP($B93,KisuiBKerenPensiaDBWithParams!$D$6:$AP$100,9,FALSE),0)</f>
        <v>0</v>
      </c>
      <c r="DX93" s="997">
        <f>IFERROR(VLOOKUP($B93,KisuiBKerenPensiaDBWithParams!$D$6:$AP$100,12,FALSE),0)</f>
        <v>0</v>
      </c>
      <c r="DY93" s="997">
        <f>IFERROR(VLOOKUP($B93,KisuiBKerenPensiaDBWithParams!$D$6:$AP$100,13,FALSE),0)</f>
        <v>0</v>
      </c>
      <c r="DZ93" s="997">
        <f>IFERROR(VLOOKUP($B93,KisuiBKerenPensiaDBWithParams!$D$6:$AP$100,7,FALSE),0)</f>
        <v>0</v>
      </c>
      <c r="EA93" s="997">
        <f>IFERROR(VLOOKUP($B93,KisuiBKerenPensiaDBWithParams!$D$6:$AP$100,17,FALSE),0)</f>
        <v>0</v>
      </c>
      <c r="EB93" s="997">
        <f>IFERROR(VLOOKUP($B93,KisuiBKerenPensiaDBWithParams!$D$6:$AP$100,20,FALSE),0)</f>
        <v>0</v>
      </c>
      <c r="EC93" s="997">
        <f>IFERROR(VLOOKUP($B93,KisuiBKerenPensiaDBWithParams!$D$6:$AP$100,21,FALSE),0)</f>
        <v>0</v>
      </c>
      <c r="ED93" s="997">
        <f t="shared" si="111"/>
        <v>0</v>
      </c>
      <c r="EE93" s="997"/>
      <c r="EF93" s="1020">
        <f>IFERROR(VLOOKUP($B93,KisuiBKerenPensiaDBWithParams!$D$6:$AP$100,21,FALSE),0)</f>
        <v>0</v>
      </c>
      <c r="EG93" s="1020">
        <f>IFERROR(VLOOKUP($B93,KisuiBKerenPensiaDBWithParams!$D$6:$AP$100,21,FALSE),0)</f>
        <v>0</v>
      </c>
      <c r="EH93">
        <f>IF(OR(G93=MyData!$J$51,G93=MyData!$J$52,G93=MyData!$J$53),1,IF(G93=MyData!$J$50,2,0))</f>
        <v>0</v>
      </c>
    </row>
    <row r="94" spans="1:147" x14ac:dyDescent="0.2">
      <c r="A94">
        <f t="shared" si="112"/>
        <v>0</v>
      </c>
      <c r="B94" s="20">
        <f>RicusPolice!E91</f>
        <v>0</v>
      </c>
      <c r="C94" s="20">
        <f>RicusPolice!AL91</f>
        <v>0</v>
      </c>
      <c r="D94" s="20">
        <f>RicusPolice!F91</f>
        <v>0</v>
      </c>
      <c r="E94" s="20">
        <f>RicusPolice!R91</f>
        <v>0</v>
      </c>
      <c r="F94" s="20">
        <f>RicusPolice!N91</f>
        <v>0</v>
      </c>
      <c r="G94" s="20">
        <f>IFERROR(VLOOKUP($B94,PerutYitrot!$D$6:$P$100,4,FALSE),0)</f>
        <v>0</v>
      </c>
      <c r="H94" s="20">
        <f t="shared" si="94"/>
        <v>0</v>
      </c>
      <c r="I94" s="20">
        <f>RicusPolice!L91</f>
        <v>0</v>
      </c>
      <c r="J94" s="179">
        <f>IFERROR(VLOOKUP(TRIM(K94),MyData!$J$44:$K$50,2,FALSE),0)</f>
        <v>0</v>
      </c>
      <c r="K94" s="20">
        <f>RicusPolice!M91</f>
        <v>0</v>
      </c>
      <c r="L94" s="20">
        <f>RicusPolice!AM91</f>
        <v>0</v>
      </c>
      <c r="M94" s="20" t="str">
        <f>IF(B94&gt;0,RicusPolice!Y91," ")</f>
        <v xml:space="preserve"> </v>
      </c>
      <c r="N94" s="20" t="str">
        <f t="shared" si="95"/>
        <v/>
      </c>
      <c r="O94" s="20">
        <f>RicusPolice!N91</f>
        <v>0</v>
      </c>
      <c r="P94" s="20">
        <f>IFERROR(VLOOKUP(B94,PerutMasluleiHashkaa!$D$6:$R$100,4,FALSE),0)</f>
        <v>0</v>
      </c>
      <c r="Q94" s="19"/>
      <c r="R94" s="1011" t="str">
        <f>IF(B94&gt;0,RicusPolice!P93," ")</f>
        <v xml:space="preserve"> </v>
      </c>
      <c r="S94" s="20">
        <f>IFERROR(VLOOKUP($B94,'נתונים ידניים'!$B$9:$G$51,6,FALSE),0)</f>
        <v>0</v>
      </c>
      <c r="T94" s="21">
        <f>'נתונים ידניים'!J95</f>
        <v>0</v>
      </c>
      <c r="U94" s="21">
        <f>'נתונים ידניים'!K95</f>
        <v>0</v>
      </c>
      <c r="V94" s="20">
        <f>IFERROR(VLOOKUP($B94,PerutHafrashotLePolisa!$D$6:$N$50,2,FALSE),0)</f>
        <v>0</v>
      </c>
      <c r="W94" s="20">
        <f>IFERROR(VLOOKUP($B94,PerutHafrashotLePolisa!$D$6:$N$50,4,FALSE),0)</f>
        <v>0</v>
      </c>
      <c r="X94" s="20">
        <f>IFERROR(VLOOKUP($B94,PerutHafrashotLePolisa!$D$6:$N$50,3,FALSE),0)</f>
        <v>0</v>
      </c>
      <c r="Y94">
        <f t="shared" si="96"/>
        <v>0</v>
      </c>
      <c r="Z94">
        <f>RicusPolice!AP91</f>
        <v>0</v>
      </c>
      <c r="AA94">
        <f>IFERROR(VLOOKUP(B94,PirteiHaasaka!$D$6:$R$100,5,FALSE),0)</f>
        <v>0</v>
      </c>
      <c r="AC94">
        <f>IFERROR(VLOOKUP(B94,HafkadotMetchilatShanaAverages!$D$6:$E$100,2,FALSE),0)</f>
        <v>0</v>
      </c>
      <c r="AF94">
        <f>'נתונים ידניים'!L95</f>
        <v>0</v>
      </c>
      <c r="AG94">
        <f>IFERROR(VLOOKUP(B94,CrossTabYitraLeTkufa_till_2000!$D$6:$AB$100,6,FALSE),0)+IFERROR(VLOOKUP(B94,CrossTabYitraLeTkufa_after_2000!$D$6:$AB$100,6,FALSE),0)</f>
        <v>0</v>
      </c>
      <c r="AH94">
        <f>IFERROR(VLOOKUP(B94,CrossTabYitraLeTkufa_till_2000!$D$6:$AB$100,16,FALSE),0)</f>
        <v>0</v>
      </c>
      <c r="AI94">
        <f>IFERROR(VLOOKUP(B94,CrossTabYitraLeTkufa_after_2000!$D$6:$AB$100,16,FALSE),0)</f>
        <v>0</v>
      </c>
      <c r="AJ94">
        <f>IFERROR(VLOOKUP(B94,CrossTabYitraLeTkufa_till_2000!$D$6:$AB$100,17,FALSE),0)</f>
        <v>0</v>
      </c>
      <c r="AK94">
        <f>IFERROR(VLOOKUP(B94,CrossTabYitraLeTkufa_after_2000!$D$6:$AB$100,17,FALSE),0)</f>
        <v>0</v>
      </c>
      <c r="AL94" s="5">
        <f t="shared" si="97"/>
        <v>0</v>
      </c>
      <c r="AO94">
        <f>IFERROR(VLOOKUP(B94,PirteiKisuiBeMutzar_procerur!$C$6:$AA$100,2,FALSE),0)</f>
        <v>0</v>
      </c>
      <c r="AQ94">
        <f>IFERROR(VLOOKUP($B94,PirteiKisuiBeMutzar_procerur!$C$6:$AA$100,5,FALSE),0)</f>
        <v>0</v>
      </c>
      <c r="AR94">
        <f>IFERROR(VLOOKUP($B94,PirteiKisuiBeMutzar_procerur!$C$6:$AA$100,3,FALSE),0)</f>
        <v>0</v>
      </c>
      <c r="AS94">
        <f>IFERROR(VLOOKUP($B94,PirteiKisuiBeMutzar_procerur!$C$6:$AA$100,6,FALSE),0)</f>
        <v>0</v>
      </c>
      <c r="AT94">
        <f>IFERROR(VLOOKUP($B94,PirteiKisuiBeMutzar_procerur!$C$6:$AA$100,7,FALSE),0)</f>
        <v>0</v>
      </c>
      <c r="AX94" s="997">
        <f t="shared" si="98"/>
        <v>0</v>
      </c>
      <c r="AY94" s="997">
        <f t="shared" si="99"/>
        <v>0</v>
      </c>
      <c r="AZ94" s="997">
        <f t="shared" si="100"/>
        <v>0</v>
      </c>
      <c r="BA94" s="997">
        <f>IFERROR(FV(S94/100/12,'נתוני יסוד'!$B$16*12,AX94,AG94)*(-1),0)</f>
        <v>0</v>
      </c>
      <c r="BB94" s="997">
        <f>IFERROR(FV(S94/100/12,'נתוני יסוד'!$B$16*12,0,AH94)*(-1),0)</f>
        <v>0</v>
      </c>
      <c r="BC94" s="997">
        <f>IFERROR(FV(S94/100/12,'נתוני יסוד'!$B$16*12,AY94,AI94)*(-1),0)</f>
        <v>0</v>
      </c>
      <c r="BD94" s="997">
        <f>IFERROR(FV(S94/100/12,'נתוני יסוד'!$B$16*12,0,AJ94)*(-1),0)</f>
        <v>0</v>
      </c>
      <c r="BE94" s="997">
        <f>IFERROR(FV(S94/100/12,'נתוני יסוד'!$B$16*12,AZ94,AK94)*(-1),0)</f>
        <v>0</v>
      </c>
      <c r="BF94" s="997">
        <f t="shared" si="101"/>
        <v>0</v>
      </c>
      <c r="BG94" s="997">
        <f>IFERROR(FV(S94/100/12,'נתוני יסוד'!$B$16*12,AF94,AL94)*(-1),0)</f>
        <v>0</v>
      </c>
      <c r="BH94" s="997">
        <f t="shared" si="102"/>
        <v>0</v>
      </c>
      <c r="BI94" s="997">
        <f t="shared" si="103"/>
        <v>0</v>
      </c>
      <c r="BJ94" s="997">
        <f t="shared" si="104"/>
        <v>0</v>
      </c>
      <c r="BK94" s="997">
        <f t="shared" si="105"/>
        <v>0</v>
      </c>
      <c r="BL94" s="997">
        <f t="shared" si="68"/>
        <v>0</v>
      </c>
      <c r="BM94" s="997">
        <f t="shared" si="69"/>
        <v>0</v>
      </c>
      <c r="BN94" s="997">
        <f t="shared" si="70"/>
        <v>0</v>
      </c>
      <c r="BO94" s="997">
        <f t="shared" si="106"/>
        <v>0</v>
      </c>
      <c r="BP94" s="997">
        <f t="shared" si="71"/>
        <v>0</v>
      </c>
      <c r="BS94">
        <f t="shared" si="72"/>
        <v>0</v>
      </c>
      <c r="BT94">
        <f t="shared" si="73"/>
        <v>0</v>
      </c>
      <c r="BU94">
        <f t="shared" si="74"/>
        <v>0</v>
      </c>
      <c r="BV94">
        <f t="shared" si="107"/>
        <v>0</v>
      </c>
      <c r="BW94">
        <f t="shared" si="75"/>
        <v>0</v>
      </c>
      <c r="BY94" s="997">
        <f t="shared" si="76"/>
        <v>0</v>
      </c>
      <c r="BZ94" s="997">
        <f t="shared" si="77"/>
        <v>0</v>
      </c>
      <c r="CA94" s="997">
        <f t="shared" si="78"/>
        <v>0</v>
      </c>
      <c r="CB94" s="997">
        <f t="shared" si="108"/>
        <v>0</v>
      </c>
      <c r="CC94" s="997">
        <f t="shared" si="79"/>
        <v>0</v>
      </c>
      <c r="CD94" s="997">
        <f t="shared" si="80"/>
        <v>0</v>
      </c>
      <c r="CE94" s="997">
        <f t="shared" si="81"/>
        <v>0</v>
      </c>
      <c r="CF94" s="997">
        <f t="shared" si="82"/>
        <v>0</v>
      </c>
      <c r="CG94" s="997">
        <f t="shared" si="83"/>
        <v>0</v>
      </c>
      <c r="CH94" s="997">
        <f t="shared" si="84"/>
        <v>0</v>
      </c>
      <c r="CI94" s="997">
        <f t="shared" si="85"/>
        <v>0</v>
      </c>
      <c r="CJ94" s="997">
        <f t="shared" si="86"/>
        <v>0</v>
      </c>
      <c r="CK94" s="997"/>
      <c r="CL94" s="997"/>
      <c r="CM94" s="997">
        <f t="shared" si="87"/>
        <v>0</v>
      </c>
      <c r="CN94" s="997">
        <f t="shared" si="88"/>
        <v>0</v>
      </c>
      <c r="CO94" s="997">
        <f t="shared" si="89"/>
        <v>0</v>
      </c>
      <c r="CP94" s="997">
        <f t="shared" si="109"/>
        <v>0</v>
      </c>
      <c r="CQ94" s="997">
        <f t="shared" si="90"/>
        <v>0</v>
      </c>
      <c r="CR94" s="997">
        <f>IFERROR(VLOOKUP($B94,SchumeiBituahYesodi!$C$6:$AA$100,8,FALSE),0)</f>
        <v>0</v>
      </c>
      <c r="CS94" s="997">
        <f>IFERROR(VLOOKUP($B94,PirteiKisuiBeMutzar_procerur!$C$6:$AA$100,2,FALSE),0)</f>
        <v>0</v>
      </c>
      <c r="CT94" s="997">
        <f>IFERROR(VLOOKUP($B94,PirteiKisuiBeMutzar_procerur!$C$6:$AA$100,3,FALSE),0)</f>
        <v>0</v>
      </c>
      <c r="CU94" s="997">
        <f>IFERROR(VLOOKUP($B94,PirteiKisuiBeMutzar_procerur!$C$6:$AA$100,4,FALSE),0)</f>
        <v>0</v>
      </c>
      <c r="CV94" s="997">
        <f>IFERROR(VLOOKUP($B94,PirteiKisuiBeMutzar_procerur!$C$6:$AA$100,5,FALSE),0)</f>
        <v>0</v>
      </c>
      <c r="CW94" s="997">
        <f>IFERROR(VLOOKUP($B94,PirteiKisuiBeMutzar_procerur!$C$6:$AA$100,6,FALSE),0)</f>
        <v>0</v>
      </c>
      <c r="CX94" s="997">
        <f>IFERROR(VLOOKUP($B94,PirteiKisuiBeMutzar_procerur!$C$6:$AA$100,7,FALSE),0)</f>
        <v>0</v>
      </c>
      <c r="CY94" s="997">
        <f>IFERROR(VLOOKUP($B94,PirteiKisuiBeMutzar_procerur!$C$6:$AA$100,8,FALSE),0)</f>
        <v>0</v>
      </c>
      <c r="CZ94" s="997">
        <f>IFERROR(VLOOKUP($B94,PirteiKisuiBeMutzar_procerur!$C$6:$AA$100,9,FALSE),0)</f>
        <v>0</v>
      </c>
      <c r="DA94" s="997">
        <f>IFERROR(VLOOKUP($B94,PirteiKisuiBeMutzar_procerur!$C$6:$AA$100,10,FALSE),0)</f>
        <v>0</v>
      </c>
      <c r="DB94" s="997">
        <f>IFERROR(VLOOKUP($B94,PirteiKisuiBeMutzar_procerur!$C$6:$AA$100,11,FALSE),0)</f>
        <v>0</v>
      </c>
      <c r="DC94" s="997">
        <f>IFERROR(VLOOKUP($B94,PirteiKisuiBeMutzarPrmia!$C$6:$Z$100,2,FALSE),0)</f>
        <v>0</v>
      </c>
      <c r="DD94" s="997">
        <f>IFERROR(VLOOKUP($B94,PirteiKisuiBeMutzarPrmia!$C$6:$Z$100,3,FALSE),0)</f>
        <v>0</v>
      </c>
      <c r="DE94" s="997">
        <f>IFERROR(VLOOKUP($B94,PirteiKisuiBeMutzarPrmia!$C$6:$Z$100,4,FALSE),0)</f>
        <v>0</v>
      </c>
      <c r="DF94" s="997">
        <f>IFERROR(VLOOKUP($B94,PirteiKisuiBeMutzarPrmia!$C$6:$Z$100,5,FALSE),0)</f>
        <v>0</v>
      </c>
      <c r="DG94" s="997">
        <f>IFERROR(VLOOKUP($B94,PirteiKisuiBeMutzarPrmia!$C$6:$Z$100,6,FALSE),0)</f>
        <v>0</v>
      </c>
      <c r="DH94" s="997">
        <f>IFERROR(VLOOKUP($B94,PirteiKisuiBeMutzarPrmia!$C$6:$Z$100,7,FALSE),0)</f>
        <v>0</v>
      </c>
      <c r="DI94" s="997">
        <f>IFERROR(VLOOKUP($B94,PirteiKisuiBeMutzarPrmia!$C$6:$Z$100,8,FALSE),0)</f>
        <v>0</v>
      </c>
      <c r="DJ94" s="997">
        <f>IFERROR(VLOOKUP($B94,PirteiKisuiBeMutzarPrmia!$C$6:$Z$100,9,FALSE),0)</f>
        <v>0</v>
      </c>
      <c r="DK94" s="997">
        <f>IFERROR(VLOOKUP($B94,PirteiKisuiBeMutzarPrmia!$C$6:$Z$100,10,FALSE),0)</f>
        <v>0</v>
      </c>
      <c r="DL94" s="997">
        <f>IFERROR(VLOOKUP($B94,PirteiKisuiBeMutzarPrmia!$C$6:$Z$100,11,FALSE),0)</f>
        <v>0</v>
      </c>
      <c r="DM94" s="997">
        <f t="shared" si="110"/>
        <v>0</v>
      </c>
      <c r="DN94" s="997">
        <f t="shared" si="91"/>
        <v>0</v>
      </c>
      <c r="DO94" s="997">
        <f t="shared" si="92"/>
        <v>0</v>
      </c>
      <c r="DP94" s="997">
        <f t="shared" si="67"/>
        <v>0</v>
      </c>
      <c r="DQ94" s="997">
        <f t="shared" si="93"/>
        <v>0</v>
      </c>
      <c r="DR94" s="997">
        <f>IF(OR(L94=1,L94=3),IFERROR(VLOOKUP($B94,PerutHafkadotMetchilatShanaAvgM!$C$6:$G$100,3,FALSE),0),0)</f>
        <v>0</v>
      </c>
      <c r="DS94" s="997">
        <f>IF(OR(L94=2,L94=4),IFERROR(VLOOKUP($B94,PerutHafkadotMetchilatShanaAvgM!$C$6:$G$100,3,FALSE),0),0)</f>
        <v>0</v>
      </c>
      <c r="DT94" s="997">
        <f>IFERROR(VLOOKUP($B94,PerutHafkadotMetchilatShanaAvgM!$C$6:$G$100,4,FALSE),0)</f>
        <v>0</v>
      </c>
      <c r="DU94" s="997">
        <f>IFERROR(VLOOKUP($B94,Kupa!$D$6:$AA$100,5,FALSE),0)</f>
        <v>0</v>
      </c>
      <c r="DV94" s="997">
        <f>IFERROR(VLOOKUP($B94,Kupa!$D$6:$AA$100,6,FALSE),0)</f>
        <v>0</v>
      </c>
      <c r="DW94" s="997">
        <f>IFERROR(VLOOKUP($B94,KisuiBKerenPensiaDBWithParams!$D$6:$AP$100,9,FALSE),0)</f>
        <v>0</v>
      </c>
      <c r="DX94" s="997">
        <f>IFERROR(VLOOKUP($B94,KisuiBKerenPensiaDBWithParams!$D$6:$AP$100,12,FALSE),0)</f>
        <v>0</v>
      </c>
      <c r="DY94" s="997">
        <f>IFERROR(VLOOKUP($B94,KisuiBKerenPensiaDBWithParams!$D$6:$AP$100,13,FALSE),0)</f>
        <v>0</v>
      </c>
      <c r="DZ94" s="997">
        <f>IFERROR(VLOOKUP($B94,KisuiBKerenPensiaDBWithParams!$D$6:$AP$100,7,FALSE),0)</f>
        <v>0</v>
      </c>
      <c r="EA94" s="997">
        <f>IFERROR(VLOOKUP($B94,KisuiBKerenPensiaDBWithParams!$D$6:$AP$100,17,FALSE),0)</f>
        <v>0</v>
      </c>
      <c r="EB94" s="997">
        <f>IFERROR(VLOOKUP($B94,KisuiBKerenPensiaDBWithParams!$D$6:$AP$100,20,FALSE),0)</f>
        <v>0</v>
      </c>
      <c r="EC94" s="997">
        <f>IFERROR(VLOOKUP($B94,KisuiBKerenPensiaDBWithParams!$D$6:$AP$100,21,FALSE),0)</f>
        <v>0</v>
      </c>
      <c r="ED94" s="997">
        <f t="shared" si="111"/>
        <v>0</v>
      </c>
      <c r="EE94" s="997"/>
      <c r="EF94" s="1020">
        <f>IFERROR(VLOOKUP($B94,KisuiBKerenPensiaDBWithParams!$D$6:$AP$100,21,FALSE),0)</f>
        <v>0</v>
      </c>
      <c r="EG94" s="1020">
        <f>IFERROR(VLOOKUP($B94,KisuiBKerenPensiaDBWithParams!$D$6:$AP$100,21,FALSE),0)</f>
        <v>0</v>
      </c>
      <c r="EH94">
        <f>IF(OR(G94=MyData!$J$51,G94=MyData!$J$52,G94=MyData!$J$53),1,IF(G94=MyData!$J$50,2,0))</f>
        <v>0</v>
      </c>
    </row>
    <row r="95" spans="1:147" x14ac:dyDescent="0.2">
      <c r="A95">
        <f t="shared" si="112"/>
        <v>0</v>
      </c>
      <c r="B95" s="20">
        <f>RicusPolice!E92</f>
        <v>0</v>
      </c>
      <c r="C95" s="20">
        <f>RicusPolice!AL92</f>
        <v>0</v>
      </c>
      <c r="D95" s="20">
        <f>RicusPolice!F92</f>
        <v>0</v>
      </c>
      <c r="E95" s="20">
        <f>RicusPolice!R92</f>
        <v>0</v>
      </c>
      <c r="F95" s="20">
        <f>RicusPolice!N92</f>
        <v>0</v>
      </c>
      <c r="G95" s="20">
        <f>IFERROR(VLOOKUP($B95,PerutYitrot!$D$6:$P$100,4,FALSE),0)</f>
        <v>0</v>
      </c>
      <c r="H95" s="20">
        <f t="shared" si="94"/>
        <v>0</v>
      </c>
      <c r="I95" s="20">
        <f>RicusPolice!L92</f>
        <v>0</v>
      </c>
      <c r="J95" s="179">
        <f>IFERROR(VLOOKUP(TRIM(K95),MyData!$J$44:$K$50,2,FALSE),0)</f>
        <v>0</v>
      </c>
      <c r="K95" s="20">
        <f>RicusPolice!M92</f>
        <v>0</v>
      </c>
      <c r="L95" s="20">
        <f>RicusPolice!AM92</f>
        <v>0</v>
      </c>
      <c r="M95" s="20" t="str">
        <f>IF(B95&gt;0,RicusPolice!Y92," ")</f>
        <v xml:space="preserve"> </v>
      </c>
      <c r="N95" s="20" t="str">
        <f t="shared" si="95"/>
        <v/>
      </c>
      <c r="O95" s="20">
        <f>RicusPolice!N92</f>
        <v>0</v>
      </c>
      <c r="P95" s="20">
        <f>IFERROR(VLOOKUP(B95,PerutMasluleiHashkaa!$D$6:$R$100,4,FALSE),0)</f>
        <v>0</v>
      </c>
      <c r="Q95" s="19"/>
      <c r="R95" s="1011" t="str">
        <f>IF(B95&gt;0,RicusPolice!P94," ")</f>
        <v xml:space="preserve"> </v>
      </c>
      <c r="S95" s="20">
        <f>IFERROR(VLOOKUP($B95,'נתונים ידניים'!$B$9:$G$51,6,FALSE),0)</f>
        <v>0</v>
      </c>
      <c r="T95" s="21">
        <f>'נתונים ידניים'!J96</f>
        <v>0</v>
      </c>
      <c r="U95" s="21">
        <f>'נתונים ידניים'!K96</f>
        <v>0</v>
      </c>
      <c r="V95" s="20">
        <f>IFERROR(VLOOKUP($B95,PerutHafrashotLePolisa!$D$6:$N$50,2,FALSE),0)</f>
        <v>0</v>
      </c>
      <c r="W95" s="20">
        <f>IFERROR(VLOOKUP($B95,PerutHafrashotLePolisa!$D$6:$N$50,4,FALSE),0)</f>
        <v>0</v>
      </c>
      <c r="X95" s="20">
        <f>IFERROR(VLOOKUP($B95,PerutHafrashotLePolisa!$D$6:$N$50,3,FALSE),0)</f>
        <v>0</v>
      </c>
      <c r="Y95">
        <f t="shared" si="96"/>
        <v>0</v>
      </c>
      <c r="Z95">
        <f>RicusPolice!AP92</f>
        <v>0</v>
      </c>
      <c r="AA95">
        <f>IFERROR(VLOOKUP(B95,PirteiHaasaka!$D$6:$R$100,5,FALSE),0)</f>
        <v>0</v>
      </c>
      <c r="AC95">
        <f>IFERROR(VLOOKUP(B95,HafkadotMetchilatShanaAverages!$D$6:$E$100,2,FALSE),0)</f>
        <v>0</v>
      </c>
      <c r="AF95">
        <f>'נתונים ידניים'!L96</f>
        <v>0</v>
      </c>
      <c r="AG95">
        <f>IFERROR(VLOOKUP(B95,CrossTabYitraLeTkufa_till_2000!$D$6:$AB$100,6,FALSE),0)+IFERROR(VLOOKUP(B95,CrossTabYitraLeTkufa_after_2000!$D$6:$AB$100,6,FALSE),0)</f>
        <v>0</v>
      </c>
      <c r="AH95">
        <f>IFERROR(VLOOKUP(B95,CrossTabYitraLeTkufa_till_2000!$D$6:$AB$100,16,FALSE),0)</f>
        <v>0</v>
      </c>
      <c r="AI95">
        <f>IFERROR(VLOOKUP(B95,CrossTabYitraLeTkufa_after_2000!$D$6:$AB$100,16,FALSE),0)</f>
        <v>0</v>
      </c>
      <c r="AJ95">
        <f>IFERROR(VLOOKUP(B95,CrossTabYitraLeTkufa_till_2000!$D$6:$AB$100,17,FALSE),0)</f>
        <v>0</v>
      </c>
      <c r="AK95">
        <f>IFERROR(VLOOKUP(B95,CrossTabYitraLeTkufa_after_2000!$D$6:$AB$100,17,FALSE),0)</f>
        <v>0</v>
      </c>
      <c r="AL95" s="5">
        <f t="shared" si="97"/>
        <v>0</v>
      </c>
      <c r="AO95">
        <f>IFERROR(VLOOKUP(B95,PirteiKisuiBeMutzar_procerur!$C$6:$AA$100,2,FALSE),0)</f>
        <v>0</v>
      </c>
      <c r="AQ95">
        <f>IFERROR(VLOOKUP($B95,PirteiKisuiBeMutzar_procerur!$C$6:$AA$100,5,FALSE),0)</f>
        <v>0</v>
      </c>
      <c r="AR95">
        <f>IFERROR(VLOOKUP($B95,PirteiKisuiBeMutzar_procerur!$C$6:$AA$100,3,FALSE),0)</f>
        <v>0</v>
      </c>
      <c r="AS95">
        <f>IFERROR(VLOOKUP($B95,PirteiKisuiBeMutzar_procerur!$C$6:$AA$100,6,FALSE),0)</f>
        <v>0</v>
      </c>
      <c r="AT95">
        <f>IFERROR(VLOOKUP($B95,PirteiKisuiBeMutzar_procerur!$C$6:$AA$100,7,FALSE),0)</f>
        <v>0</v>
      </c>
      <c r="AX95" s="997">
        <f t="shared" si="98"/>
        <v>0</v>
      </c>
      <c r="AY95" s="997">
        <f t="shared" si="99"/>
        <v>0</v>
      </c>
      <c r="AZ95" s="997">
        <f t="shared" si="100"/>
        <v>0</v>
      </c>
      <c r="BA95" s="997">
        <f>IFERROR(FV(S95/100/12,'נתוני יסוד'!$B$16*12,AX95,AG95)*(-1),0)</f>
        <v>0</v>
      </c>
      <c r="BB95" s="997">
        <f>IFERROR(FV(S95/100/12,'נתוני יסוד'!$B$16*12,0,AH95)*(-1),0)</f>
        <v>0</v>
      </c>
      <c r="BC95" s="997">
        <f>IFERROR(FV(S95/100/12,'נתוני יסוד'!$B$16*12,AY95,AI95)*(-1),0)</f>
        <v>0</v>
      </c>
      <c r="BD95" s="997">
        <f>IFERROR(FV(S95/100/12,'נתוני יסוד'!$B$16*12,0,AJ95)*(-1),0)</f>
        <v>0</v>
      </c>
      <c r="BE95" s="997">
        <f>IFERROR(FV(S95/100/12,'נתוני יסוד'!$B$16*12,AZ95,AK95)*(-1),0)</f>
        <v>0</v>
      </c>
      <c r="BF95" s="997">
        <f t="shared" si="101"/>
        <v>0</v>
      </c>
      <c r="BG95" s="997">
        <f>IFERROR(FV(S95/100/12,'נתוני יסוד'!$B$16*12,AF95,AL95)*(-1),0)</f>
        <v>0</v>
      </c>
      <c r="BH95" s="997">
        <f t="shared" si="102"/>
        <v>0</v>
      </c>
      <c r="BI95" s="997">
        <f t="shared" si="103"/>
        <v>0</v>
      </c>
      <c r="BJ95" s="997">
        <f t="shared" si="104"/>
        <v>0</v>
      </c>
      <c r="BK95" s="997">
        <f t="shared" si="105"/>
        <v>0</v>
      </c>
      <c r="BL95" s="997">
        <f t="shared" si="68"/>
        <v>0</v>
      </c>
      <c r="BM95" s="997">
        <f t="shared" si="69"/>
        <v>0</v>
      </c>
      <c r="BN95" s="997">
        <f t="shared" si="70"/>
        <v>0</v>
      </c>
      <c r="BO95" s="997">
        <f t="shared" si="106"/>
        <v>0</v>
      </c>
      <c r="BP95" s="997">
        <f t="shared" si="71"/>
        <v>0</v>
      </c>
      <c r="BS95">
        <f t="shared" si="72"/>
        <v>0</v>
      </c>
      <c r="BT95">
        <f t="shared" si="73"/>
        <v>0</v>
      </c>
      <c r="BU95">
        <f t="shared" si="74"/>
        <v>0</v>
      </c>
      <c r="BV95">
        <f t="shared" si="107"/>
        <v>0</v>
      </c>
      <c r="BW95">
        <f t="shared" si="75"/>
        <v>0</v>
      </c>
      <c r="BY95" s="997">
        <f t="shared" si="76"/>
        <v>0</v>
      </c>
      <c r="BZ95" s="997">
        <f t="shared" si="77"/>
        <v>0</v>
      </c>
      <c r="CA95" s="997">
        <f t="shared" si="78"/>
        <v>0</v>
      </c>
      <c r="CB95" s="997">
        <f t="shared" si="108"/>
        <v>0</v>
      </c>
      <c r="CC95" s="997">
        <f t="shared" si="79"/>
        <v>0</v>
      </c>
      <c r="CD95" s="997">
        <f t="shared" si="80"/>
        <v>0</v>
      </c>
      <c r="CE95" s="997">
        <f t="shared" si="81"/>
        <v>0</v>
      </c>
      <c r="CF95" s="997">
        <f t="shared" si="82"/>
        <v>0</v>
      </c>
      <c r="CG95" s="997">
        <f t="shared" si="83"/>
        <v>0</v>
      </c>
      <c r="CH95" s="997">
        <f t="shared" si="84"/>
        <v>0</v>
      </c>
      <c r="CI95" s="997">
        <f t="shared" si="85"/>
        <v>0</v>
      </c>
      <c r="CJ95" s="997">
        <f t="shared" si="86"/>
        <v>0</v>
      </c>
      <c r="CK95" s="997"/>
      <c r="CL95" s="997"/>
      <c r="CM95" s="997">
        <f t="shared" si="87"/>
        <v>0</v>
      </c>
      <c r="CN95" s="997">
        <f t="shared" si="88"/>
        <v>0</v>
      </c>
      <c r="CO95" s="997">
        <f t="shared" si="89"/>
        <v>0</v>
      </c>
      <c r="CP95" s="997">
        <f t="shared" si="109"/>
        <v>0</v>
      </c>
      <c r="CQ95" s="997">
        <f t="shared" si="90"/>
        <v>0</v>
      </c>
      <c r="CR95" s="997">
        <f>IFERROR(VLOOKUP($B95,SchumeiBituahYesodi!$C$6:$AA$100,8,FALSE),0)</f>
        <v>0</v>
      </c>
      <c r="CS95" s="997">
        <f>IFERROR(VLOOKUP($B95,PirteiKisuiBeMutzar_procerur!$C$6:$AA$100,2,FALSE),0)</f>
        <v>0</v>
      </c>
      <c r="CT95" s="997">
        <f>IFERROR(VLOOKUP($B95,PirteiKisuiBeMutzar_procerur!$C$6:$AA$100,3,FALSE),0)</f>
        <v>0</v>
      </c>
      <c r="CU95" s="997">
        <f>IFERROR(VLOOKUP($B95,PirteiKisuiBeMutzar_procerur!$C$6:$AA$100,4,FALSE),0)</f>
        <v>0</v>
      </c>
      <c r="CV95" s="997">
        <f>IFERROR(VLOOKUP($B95,PirteiKisuiBeMutzar_procerur!$C$6:$AA$100,5,FALSE),0)</f>
        <v>0</v>
      </c>
      <c r="CW95" s="997">
        <f>IFERROR(VLOOKUP($B95,PirteiKisuiBeMutzar_procerur!$C$6:$AA$100,6,FALSE),0)</f>
        <v>0</v>
      </c>
      <c r="CX95" s="997">
        <f>IFERROR(VLOOKUP($B95,PirteiKisuiBeMutzar_procerur!$C$6:$AA$100,7,FALSE),0)</f>
        <v>0</v>
      </c>
      <c r="CY95" s="997">
        <f>IFERROR(VLOOKUP($B95,PirteiKisuiBeMutzar_procerur!$C$6:$AA$100,8,FALSE),0)</f>
        <v>0</v>
      </c>
      <c r="CZ95" s="997">
        <f>IFERROR(VLOOKUP($B95,PirteiKisuiBeMutzar_procerur!$C$6:$AA$100,9,FALSE),0)</f>
        <v>0</v>
      </c>
      <c r="DA95" s="997">
        <f>IFERROR(VLOOKUP($B95,PirteiKisuiBeMutzar_procerur!$C$6:$AA$100,10,FALSE),0)</f>
        <v>0</v>
      </c>
      <c r="DB95" s="997">
        <f>IFERROR(VLOOKUP($B95,PirteiKisuiBeMutzar_procerur!$C$6:$AA$100,11,FALSE),0)</f>
        <v>0</v>
      </c>
      <c r="DC95" s="997">
        <f>IFERROR(VLOOKUP($B95,PirteiKisuiBeMutzarPrmia!$C$6:$Z$100,2,FALSE),0)</f>
        <v>0</v>
      </c>
      <c r="DD95" s="997">
        <f>IFERROR(VLOOKUP($B95,PirteiKisuiBeMutzarPrmia!$C$6:$Z$100,3,FALSE),0)</f>
        <v>0</v>
      </c>
      <c r="DE95" s="997">
        <f>IFERROR(VLOOKUP($B95,PirteiKisuiBeMutzarPrmia!$C$6:$Z$100,4,FALSE),0)</f>
        <v>0</v>
      </c>
      <c r="DF95" s="997">
        <f>IFERROR(VLOOKUP($B95,PirteiKisuiBeMutzarPrmia!$C$6:$Z$100,5,FALSE),0)</f>
        <v>0</v>
      </c>
      <c r="DG95" s="997">
        <f>IFERROR(VLOOKUP($B95,PirteiKisuiBeMutzarPrmia!$C$6:$Z$100,6,FALSE),0)</f>
        <v>0</v>
      </c>
      <c r="DH95" s="997">
        <f>IFERROR(VLOOKUP($B95,PirteiKisuiBeMutzarPrmia!$C$6:$Z$100,7,FALSE),0)</f>
        <v>0</v>
      </c>
      <c r="DI95" s="997">
        <f>IFERROR(VLOOKUP($B95,PirteiKisuiBeMutzarPrmia!$C$6:$Z$100,8,FALSE),0)</f>
        <v>0</v>
      </c>
      <c r="DJ95" s="997">
        <f>IFERROR(VLOOKUP($B95,PirteiKisuiBeMutzarPrmia!$C$6:$Z$100,9,FALSE),0)</f>
        <v>0</v>
      </c>
      <c r="DK95" s="997">
        <f>IFERROR(VLOOKUP($B95,PirteiKisuiBeMutzarPrmia!$C$6:$Z$100,10,FALSE),0)</f>
        <v>0</v>
      </c>
      <c r="DL95" s="997">
        <f>IFERROR(VLOOKUP($B95,PirteiKisuiBeMutzarPrmia!$C$6:$Z$100,11,FALSE),0)</f>
        <v>0</v>
      </c>
      <c r="DM95" s="997">
        <f t="shared" si="110"/>
        <v>0</v>
      </c>
      <c r="DN95" s="997">
        <f t="shared" si="91"/>
        <v>0</v>
      </c>
      <c r="DO95" s="997">
        <f t="shared" si="92"/>
        <v>0</v>
      </c>
      <c r="DP95" s="997">
        <f t="shared" si="67"/>
        <v>0</v>
      </c>
      <c r="DQ95" s="997">
        <f t="shared" si="93"/>
        <v>0</v>
      </c>
      <c r="DR95" s="997">
        <f>IF(OR(L95=1,L95=3),IFERROR(VLOOKUP($B95,PerutHafkadotMetchilatShanaAvgM!$C$6:$G$100,3,FALSE),0),0)</f>
        <v>0</v>
      </c>
      <c r="DS95" s="997">
        <f>IF(OR(L95=2,L95=4),IFERROR(VLOOKUP($B95,PerutHafkadotMetchilatShanaAvgM!$C$6:$G$100,3,FALSE),0),0)</f>
        <v>0</v>
      </c>
      <c r="DT95" s="997">
        <f>IFERROR(VLOOKUP($B95,PerutHafkadotMetchilatShanaAvgM!$C$6:$G$100,4,FALSE),0)</f>
        <v>0</v>
      </c>
      <c r="DU95" s="997">
        <f>IFERROR(VLOOKUP($B95,Kupa!$D$6:$AA$100,5,FALSE),0)</f>
        <v>0</v>
      </c>
      <c r="DV95" s="997">
        <f>IFERROR(VLOOKUP($B95,Kupa!$D$6:$AA$100,6,FALSE),0)</f>
        <v>0</v>
      </c>
      <c r="DW95" s="997">
        <f>IFERROR(VLOOKUP($B95,KisuiBKerenPensiaDBWithParams!$D$6:$AP$100,9,FALSE),0)</f>
        <v>0</v>
      </c>
      <c r="DX95" s="997">
        <f>IFERROR(VLOOKUP($B95,KisuiBKerenPensiaDBWithParams!$D$6:$AP$100,12,FALSE),0)</f>
        <v>0</v>
      </c>
      <c r="DY95" s="997">
        <f>IFERROR(VLOOKUP($B95,KisuiBKerenPensiaDBWithParams!$D$6:$AP$100,13,FALSE),0)</f>
        <v>0</v>
      </c>
      <c r="DZ95" s="997">
        <f>IFERROR(VLOOKUP($B95,KisuiBKerenPensiaDBWithParams!$D$6:$AP$100,7,FALSE),0)</f>
        <v>0</v>
      </c>
      <c r="EA95" s="997">
        <f>IFERROR(VLOOKUP($B95,KisuiBKerenPensiaDBWithParams!$D$6:$AP$100,17,FALSE),0)</f>
        <v>0</v>
      </c>
      <c r="EB95" s="997">
        <f>IFERROR(VLOOKUP($B95,KisuiBKerenPensiaDBWithParams!$D$6:$AP$100,20,FALSE),0)</f>
        <v>0</v>
      </c>
      <c r="EC95" s="997">
        <f>IFERROR(VLOOKUP($B95,KisuiBKerenPensiaDBWithParams!$D$6:$AP$100,21,FALSE),0)</f>
        <v>0</v>
      </c>
      <c r="ED95" s="997">
        <f t="shared" si="111"/>
        <v>0</v>
      </c>
      <c r="EE95" s="997"/>
      <c r="EF95" s="1020">
        <f>IFERROR(VLOOKUP($B95,KisuiBKerenPensiaDBWithParams!$D$6:$AP$100,21,FALSE),0)</f>
        <v>0</v>
      </c>
      <c r="EG95" s="1020">
        <f>IFERROR(VLOOKUP($B95,KisuiBKerenPensiaDBWithParams!$D$6:$AP$100,21,FALSE),0)</f>
        <v>0</v>
      </c>
      <c r="EH95">
        <f>IF(OR(G95=MyData!$J$51,G95=MyData!$J$52,G95=MyData!$J$53),1,IF(G95=MyData!$J$50,2,0))</f>
        <v>0</v>
      </c>
    </row>
    <row r="96" spans="1:147" x14ac:dyDescent="0.2">
      <c r="A96">
        <f t="shared" si="112"/>
        <v>0</v>
      </c>
      <c r="B96" s="20">
        <f>RicusPolice!E93</f>
        <v>0</v>
      </c>
      <c r="C96" s="20">
        <f>RicusPolice!AL93</f>
        <v>0</v>
      </c>
      <c r="D96" s="20">
        <f>RicusPolice!F93</f>
        <v>0</v>
      </c>
      <c r="E96" s="20">
        <f>RicusPolice!R93</f>
        <v>0</v>
      </c>
      <c r="F96" s="20">
        <f>RicusPolice!N93</f>
        <v>0</v>
      </c>
      <c r="G96" s="20">
        <f>IFERROR(VLOOKUP($B96,PerutYitrot!$D$6:$P$100,4,FALSE),0)</f>
        <v>0</v>
      </c>
      <c r="H96" s="20">
        <f t="shared" si="94"/>
        <v>0</v>
      </c>
      <c r="I96" s="20">
        <f>RicusPolice!L93</f>
        <v>0</v>
      </c>
      <c r="J96" s="179">
        <f>IFERROR(VLOOKUP(TRIM(K96),MyData!$J$44:$K$50,2,FALSE),0)</f>
        <v>0</v>
      </c>
      <c r="K96" s="20">
        <f>RicusPolice!M93</f>
        <v>0</v>
      </c>
      <c r="L96" s="20">
        <f>RicusPolice!AM93</f>
        <v>0</v>
      </c>
      <c r="M96" s="20" t="str">
        <f>IF(B96&gt;0,RicusPolice!Y93," ")</f>
        <v xml:space="preserve"> </v>
      </c>
      <c r="N96" s="20" t="str">
        <f t="shared" si="95"/>
        <v/>
      </c>
      <c r="O96" s="20">
        <f>RicusPolice!N93</f>
        <v>0</v>
      </c>
      <c r="P96" s="20">
        <f>IFERROR(VLOOKUP(B96,PerutMasluleiHashkaa!$D$6:$R$100,4,FALSE),0)</f>
        <v>0</v>
      </c>
      <c r="Q96" s="19"/>
      <c r="R96" s="1011" t="str">
        <f>IF(B96&gt;0,RicusPolice!P95," ")</f>
        <v xml:space="preserve"> </v>
      </c>
      <c r="S96" s="20">
        <f>IFERROR(VLOOKUP($B96,'נתונים ידניים'!$B$9:$G$51,6,FALSE),0)</f>
        <v>0</v>
      </c>
      <c r="T96" s="21">
        <f>'נתונים ידניים'!J97</f>
        <v>0</v>
      </c>
      <c r="U96" s="21">
        <f>'נתונים ידניים'!K97</f>
        <v>0</v>
      </c>
      <c r="V96" s="20">
        <f>IFERROR(VLOOKUP($B96,PerutHafrashotLePolisa!$D$6:$N$50,2,FALSE),0)</f>
        <v>0</v>
      </c>
      <c r="W96" s="20">
        <f>IFERROR(VLOOKUP($B96,PerutHafrashotLePolisa!$D$6:$N$50,4,FALSE),0)</f>
        <v>0</v>
      </c>
      <c r="X96" s="20">
        <f>IFERROR(VLOOKUP($B96,PerutHafrashotLePolisa!$D$6:$N$50,3,FALSE),0)</f>
        <v>0</v>
      </c>
      <c r="Y96">
        <f t="shared" si="96"/>
        <v>0</v>
      </c>
      <c r="Z96">
        <f>RicusPolice!AP93</f>
        <v>0</v>
      </c>
      <c r="AA96">
        <f>IFERROR(VLOOKUP(B96,PirteiHaasaka!$D$6:$R$100,5,FALSE),0)</f>
        <v>0</v>
      </c>
      <c r="AC96">
        <f>IFERROR(VLOOKUP(B96,HafkadotMetchilatShanaAverages!$D$6:$E$100,2,FALSE),0)</f>
        <v>0</v>
      </c>
      <c r="AF96">
        <f>'נתונים ידניים'!L97</f>
        <v>0</v>
      </c>
      <c r="AG96">
        <f>IFERROR(VLOOKUP(B96,CrossTabYitraLeTkufa_till_2000!$D$6:$AB$100,6,FALSE),0)+IFERROR(VLOOKUP(B96,CrossTabYitraLeTkufa_after_2000!$D$6:$AB$100,6,FALSE),0)</f>
        <v>0</v>
      </c>
      <c r="AH96">
        <f>IFERROR(VLOOKUP(B96,CrossTabYitraLeTkufa_till_2000!$D$6:$AB$100,16,FALSE),0)</f>
        <v>0</v>
      </c>
      <c r="AI96">
        <f>IFERROR(VLOOKUP(B96,CrossTabYitraLeTkufa_after_2000!$D$6:$AB$100,16,FALSE),0)</f>
        <v>0</v>
      </c>
      <c r="AJ96">
        <f>IFERROR(VLOOKUP(B96,CrossTabYitraLeTkufa_till_2000!$D$6:$AB$100,17,FALSE),0)</f>
        <v>0</v>
      </c>
      <c r="AK96">
        <f>IFERROR(VLOOKUP(B96,CrossTabYitraLeTkufa_after_2000!$D$6:$AB$100,17,FALSE),0)</f>
        <v>0</v>
      </c>
      <c r="AL96" s="5">
        <f t="shared" si="97"/>
        <v>0</v>
      </c>
      <c r="AO96">
        <f>IFERROR(VLOOKUP(B96,PirteiKisuiBeMutzar_procerur!$C$6:$AA$100,2,FALSE),0)</f>
        <v>0</v>
      </c>
      <c r="AQ96">
        <f>IFERROR(VLOOKUP($B96,PirteiKisuiBeMutzar_procerur!$C$6:$AA$100,5,FALSE),0)</f>
        <v>0</v>
      </c>
      <c r="AR96">
        <f>IFERROR(VLOOKUP($B96,PirteiKisuiBeMutzar_procerur!$C$6:$AA$100,3,FALSE),0)</f>
        <v>0</v>
      </c>
      <c r="AS96">
        <f>IFERROR(VLOOKUP($B96,PirteiKisuiBeMutzar_procerur!$C$6:$AA$100,6,FALSE),0)</f>
        <v>0</v>
      </c>
      <c r="AT96">
        <f>IFERROR(VLOOKUP($B96,PirteiKisuiBeMutzar_procerur!$C$6:$AA$100,7,FALSE),0)</f>
        <v>0</v>
      </c>
      <c r="AX96" s="997">
        <f t="shared" si="98"/>
        <v>0</v>
      </c>
      <c r="AY96" s="997">
        <f t="shared" si="99"/>
        <v>0</v>
      </c>
      <c r="AZ96" s="997">
        <f t="shared" si="100"/>
        <v>0</v>
      </c>
      <c r="BA96" s="997">
        <f>IFERROR(FV(S96/100/12,'נתוני יסוד'!$B$16*12,AX96,AG96)*(-1),0)</f>
        <v>0</v>
      </c>
      <c r="BB96" s="997">
        <f>IFERROR(FV(S96/100/12,'נתוני יסוד'!$B$16*12,0,AH96)*(-1),0)</f>
        <v>0</v>
      </c>
      <c r="BC96" s="997">
        <f>IFERROR(FV(S96/100/12,'נתוני יסוד'!$B$16*12,AY96,AI96)*(-1),0)</f>
        <v>0</v>
      </c>
      <c r="BD96" s="997">
        <f>IFERROR(FV(S96/100/12,'נתוני יסוד'!$B$16*12,0,AJ96)*(-1),0)</f>
        <v>0</v>
      </c>
      <c r="BE96" s="997">
        <f>IFERROR(FV(S96/100/12,'נתוני יסוד'!$B$16*12,AZ96,AK96)*(-1),0)</f>
        <v>0</v>
      </c>
      <c r="BF96" s="997">
        <f t="shared" si="101"/>
        <v>0</v>
      </c>
      <c r="BG96" s="997">
        <f>IFERROR(FV(S96/100/12,'נתוני יסוד'!$B$16*12,AF96,AL96)*(-1),0)</f>
        <v>0</v>
      </c>
      <c r="BH96" s="997">
        <f t="shared" si="102"/>
        <v>0</v>
      </c>
      <c r="BI96" s="997">
        <f t="shared" si="103"/>
        <v>0</v>
      </c>
      <c r="BJ96" s="997">
        <f t="shared" si="104"/>
        <v>0</v>
      </c>
      <c r="BK96" s="997">
        <f t="shared" si="105"/>
        <v>0</v>
      </c>
      <c r="BL96" s="997">
        <f t="shared" si="68"/>
        <v>0</v>
      </c>
      <c r="BM96" s="997">
        <f t="shared" si="69"/>
        <v>0</v>
      </c>
      <c r="BN96" s="997">
        <f t="shared" si="70"/>
        <v>0</v>
      </c>
      <c r="BO96" s="997">
        <f t="shared" si="106"/>
        <v>0</v>
      </c>
      <c r="BP96" s="997">
        <f t="shared" si="71"/>
        <v>0</v>
      </c>
      <c r="BS96">
        <f t="shared" si="72"/>
        <v>0</v>
      </c>
      <c r="BT96">
        <f t="shared" si="73"/>
        <v>0</v>
      </c>
      <c r="BU96">
        <f t="shared" si="74"/>
        <v>0</v>
      </c>
      <c r="BV96">
        <f t="shared" si="107"/>
        <v>0</v>
      </c>
      <c r="BW96">
        <f t="shared" si="75"/>
        <v>0</v>
      </c>
      <c r="BY96" s="997">
        <f t="shared" si="76"/>
        <v>0</v>
      </c>
      <c r="BZ96" s="997">
        <f t="shared" si="77"/>
        <v>0</v>
      </c>
      <c r="CA96" s="997">
        <f t="shared" si="78"/>
        <v>0</v>
      </c>
      <c r="CB96" s="997">
        <f t="shared" si="108"/>
        <v>0</v>
      </c>
      <c r="CC96" s="997">
        <f t="shared" si="79"/>
        <v>0</v>
      </c>
      <c r="CD96" s="997">
        <f t="shared" si="80"/>
        <v>0</v>
      </c>
      <c r="CE96" s="997">
        <f t="shared" si="81"/>
        <v>0</v>
      </c>
      <c r="CF96" s="997">
        <f t="shared" si="82"/>
        <v>0</v>
      </c>
      <c r="CG96" s="997">
        <f t="shared" si="83"/>
        <v>0</v>
      </c>
      <c r="CH96" s="997">
        <f t="shared" si="84"/>
        <v>0</v>
      </c>
      <c r="CI96" s="997">
        <f t="shared" si="85"/>
        <v>0</v>
      </c>
      <c r="CJ96" s="997">
        <f t="shared" si="86"/>
        <v>0</v>
      </c>
      <c r="CK96" s="997"/>
      <c r="CL96" s="997"/>
      <c r="CM96" s="997">
        <f t="shared" si="87"/>
        <v>0</v>
      </c>
      <c r="CN96" s="997">
        <f t="shared" si="88"/>
        <v>0</v>
      </c>
      <c r="CO96" s="997">
        <f t="shared" si="89"/>
        <v>0</v>
      </c>
      <c r="CP96" s="997">
        <f t="shared" si="109"/>
        <v>0</v>
      </c>
      <c r="CQ96" s="997">
        <f t="shared" si="90"/>
        <v>0</v>
      </c>
      <c r="CR96" s="997">
        <f>IFERROR(VLOOKUP($B96,SchumeiBituahYesodi!$C$6:$AA$100,8,FALSE),0)</f>
        <v>0</v>
      </c>
      <c r="CS96" s="997">
        <f>IFERROR(VLOOKUP($B96,PirteiKisuiBeMutzar_procerur!$C$6:$AA$100,2,FALSE),0)</f>
        <v>0</v>
      </c>
      <c r="CT96" s="997">
        <f>IFERROR(VLOOKUP($B96,PirteiKisuiBeMutzar_procerur!$C$6:$AA$100,3,FALSE),0)</f>
        <v>0</v>
      </c>
      <c r="CU96" s="997">
        <f>IFERROR(VLOOKUP($B96,PirteiKisuiBeMutzar_procerur!$C$6:$AA$100,4,FALSE),0)</f>
        <v>0</v>
      </c>
      <c r="CV96" s="997">
        <f>IFERROR(VLOOKUP($B96,PirteiKisuiBeMutzar_procerur!$C$6:$AA$100,5,FALSE),0)</f>
        <v>0</v>
      </c>
      <c r="CW96" s="997">
        <f>IFERROR(VLOOKUP($B96,PirteiKisuiBeMutzar_procerur!$C$6:$AA$100,6,FALSE),0)</f>
        <v>0</v>
      </c>
      <c r="CX96" s="997">
        <f>IFERROR(VLOOKUP($B96,PirteiKisuiBeMutzar_procerur!$C$6:$AA$100,7,FALSE),0)</f>
        <v>0</v>
      </c>
      <c r="CY96" s="997">
        <f>IFERROR(VLOOKUP($B96,PirteiKisuiBeMutzar_procerur!$C$6:$AA$100,8,FALSE),0)</f>
        <v>0</v>
      </c>
      <c r="CZ96" s="997">
        <f>IFERROR(VLOOKUP($B96,PirteiKisuiBeMutzar_procerur!$C$6:$AA$100,9,FALSE),0)</f>
        <v>0</v>
      </c>
      <c r="DA96" s="997">
        <f>IFERROR(VLOOKUP($B96,PirteiKisuiBeMutzar_procerur!$C$6:$AA$100,10,FALSE),0)</f>
        <v>0</v>
      </c>
      <c r="DB96" s="997">
        <f>IFERROR(VLOOKUP($B96,PirteiKisuiBeMutzar_procerur!$C$6:$AA$100,11,FALSE),0)</f>
        <v>0</v>
      </c>
      <c r="DC96" s="997">
        <f>IFERROR(VLOOKUP($B96,PirteiKisuiBeMutzarPrmia!$C$6:$Z$100,2,FALSE),0)</f>
        <v>0</v>
      </c>
      <c r="DD96" s="997">
        <f>IFERROR(VLOOKUP($B96,PirteiKisuiBeMutzarPrmia!$C$6:$Z$100,3,FALSE),0)</f>
        <v>0</v>
      </c>
      <c r="DE96" s="997">
        <f>IFERROR(VLOOKUP($B96,PirteiKisuiBeMutzarPrmia!$C$6:$Z$100,4,FALSE),0)</f>
        <v>0</v>
      </c>
      <c r="DF96" s="997">
        <f>IFERROR(VLOOKUP($B96,PirteiKisuiBeMutzarPrmia!$C$6:$Z$100,5,FALSE),0)</f>
        <v>0</v>
      </c>
      <c r="DG96" s="997">
        <f>IFERROR(VLOOKUP($B96,PirteiKisuiBeMutzarPrmia!$C$6:$Z$100,6,FALSE),0)</f>
        <v>0</v>
      </c>
      <c r="DH96" s="997">
        <f>IFERROR(VLOOKUP($B96,PirteiKisuiBeMutzarPrmia!$C$6:$Z$100,7,FALSE),0)</f>
        <v>0</v>
      </c>
      <c r="DI96" s="997">
        <f>IFERROR(VLOOKUP($B96,PirteiKisuiBeMutzarPrmia!$C$6:$Z$100,8,FALSE),0)</f>
        <v>0</v>
      </c>
      <c r="DJ96" s="997">
        <f>IFERROR(VLOOKUP($B96,PirteiKisuiBeMutzarPrmia!$C$6:$Z$100,9,FALSE),0)</f>
        <v>0</v>
      </c>
      <c r="DK96" s="997">
        <f>IFERROR(VLOOKUP($B96,PirteiKisuiBeMutzarPrmia!$C$6:$Z$100,10,FALSE),0)</f>
        <v>0</v>
      </c>
      <c r="DL96" s="997">
        <f>IFERROR(VLOOKUP($B96,PirteiKisuiBeMutzarPrmia!$C$6:$Z$100,11,FALSE),0)</f>
        <v>0</v>
      </c>
      <c r="DM96" s="997">
        <f t="shared" si="110"/>
        <v>0</v>
      </c>
      <c r="DN96" s="997">
        <f t="shared" si="91"/>
        <v>0</v>
      </c>
      <c r="DO96" s="997">
        <f t="shared" si="92"/>
        <v>0</v>
      </c>
      <c r="DP96" s="997">
        <f t="shared" si="67"/>
        <v>0</v>
      </c>
      <c r="DQ96" s="997">
        <f t="shared" si="93"/>
        <v>0</v>
      </c>
      <c r="DR96" s="997">
        <f>IF(OR(L96=1,L96=3),IFERROR(VLOOKUP($B96,PerutHafkadotMetchilatShanaAvgM!$C$6:$G$100,3,FALSE),0),0)</f>
        <v>0</v>
      </c>
      <c r="DS96" s="997">
        <f>IF(OR(L96=2,L96=4),IFERROR(VLOOKUP($B96,PerutHafkadotMetchilatShanaAvgM!$C$6:$G$100,3,FALSE),0),0)</f>
        <v>0</v>
      </c>
      <c r="DT96" s="997">
        <f>IFERROR(VLOOKUP($B96,PerutHafkadotMetchilatShanaAvgM!$C$6:$G$100,4,FALSE),0)</f>
        <v>0</v>
      </c>
      <c r="DU96" s="997">
        <f>IFERROR(VLOOKUP($B96,Kupa!$D$6:$AA$100,5,FALSE),0)</f>
        <v>0</v>
      </c>
      <c r="DV96" s="997">
        <f>IFERROR(VLOOKUP($B96,Kupa!$D$6:$AA$100,6,FALSE),0)</f>
        <v>0</v>
      </c>
      <c r="DW96" s="997">
        <f>IFERROR(VLOOKUP($B96,KisuiBKerenPensiaDBWithParams!$D$6:$AP$100,9,FALSE),0)</f>
        <v>0</v>
      </c>
      <c r="DX96" s="997">
        <f>IFERROR(VLOOKUP($B96,KisuiBKerenPensiaDBWithParams!$D$6:$AP$100,12,FALSE),0)</f>
        <v>0</v>
      </c>
      <c r="DY96" s="997">
        <f>IFERROR(VLOOKUP($B96,KisuiBKerenPensiaDBWithParams!$D$6:$AP$100,13,FALSE),0)</f>
        <v>0</v>
      </c>
      <c r="DZ96" s="997">
        <f>IFERROR(VLOOKUP($B96,KisuiBKerenPensiaDBWithParams!$D$6:$AP$100,7,FALSE),0)</f>
        <v>0</v>
      </c>
      <c r="EA96" s="997">
        <f>IFERROR(VLOOKUP($B96,KisuiBKerenPensiaDBWithParams!$D$6:$AP$100,17,FALSE),0)</f>
        <v>0</v>
      </c>
      <c r="EB96" s="997">
        <f>IFERROR(VLOOKUP($B96,KisuiBKerenPensiaDBWithParams!$D$6:$AP$100,20,FALSE),0)</f>
        <v>0</v>
      </c>
      <c r="EC96" s="997">
        <f>IFERROR(VLOOKUP($B96,KisuiBKerenPensiaDBWithParams!$D$6:$AP$100,21,FALSE),0)</f>
        <v>0</v>
      </c>
      <c r="ED96" s="997">
        <f t="shared" si="111"/>
        <v>0</v>
      </c>
      <c r="EE96" s="997"/>
      <c r="EF96" s="1020">
        <f>IFERROR(VLOOKUP($B96,KisuiBKerenPensiaDBWithParams!$D$6:$AP$100,21,FALSE),0)</f>
        <v>0</v>
      </c>
      <c r="EG96" s="1020">
        <f>IFERROR(VLOOKUP($B96,KisuiBKerenPensiaDBWithParams!$D$6:$AP$100,21,FALSE),0)</f>
        <v>0</v>
      </c>
      <c r="EH96">
        <f>IF(OR(G96=MyData!$J$51,G96=MyData!$J$52,G96=MyData!$J$53),1,IF(G96=MyData!$J$50,2,0))</f>
        <v>0</v>
      </c>
    </row>
    <row r="97" spans="1:138" x14ac:dyDescent="0.2">
      <c r="A97">
        <f t="shared" si="112"/>
        <v>0</v>
      </c>
      <c r="B97" s="20">
        <f>RicusPolice!E94</f>
        <v>0</v>
      </c>
      <c r="C97" s="20">
        <f>RicusPolice!AL94</f>
        <v>0</v>
      </c>
      <c r="D97" s="20">
        <f>RicusPolice!F94</f>
        <v>0</v>
      </c>
      <c r="E97" s="20">
        <f>RicusPolice!R94</f>
        <v>0</v>
      </c>
      <c r="F97" s="20">
        <f>RicusPolice!N94</f>
        <v>0</v>
      </c>
      <c r="G97" s="20">
        <f>IFERROR(VLOOKUP($B97,PerutYitrot!$D$6:$P$100,4,FALSE),0)</f>
        <v>0</v>
      </c>
      <c r="H97" s="20">
        <f t="shared" si="94"/>
        <v>0</v>
      </c>
      <c r="I97" s="20">
        <f>RicusPolice!L94</f>
        <v>0</v>
      </c>
      <c r="J97" s="179">
        <f>IFERROR(VLOOKUP(TRIM(K97),MyData!$J$44:$K$50,2,FALSE),0)</f>
        <v>0</v>
      </c>
      <c r="K97" s="20">
        <f>RicusPolice!M94</f>
        <v>0</v>
      </c>
      <c r="L97" s="20">
        <f>RicusPolice!AM94</f>
        <v>0</v>
      </c>
      <c r="M97" s="20" t="str">
        <f>IF(B97&gt;0,RicusPolice!Y94," ")</f>
        <v xml:space="preserve"> </v>
      </c>
      <c r="N97" s="20" t="str">
        <f t="shared" si="95"/>
        <v/>
      </c>
      <c r="O97" s="20">
        <f>RicusPolice!N94</f>
        <v>0</v>
      </c>
      <c r="P97" s="20">
        <f>IFERROR(VLOOKUP(B97,PerutMasluleiHashkaa!$D$6:$R$100,4,FALSE),0)</f>
        <v>0</v>
      </c>
      <c r="Q97" s="19"/>
      <c r="R97" s="1011" t="str">
        <f>IF(B97&gt;0,RicusPolice!P96," ")</f>
        <v xml:space="preserve"> </v>
      </c>
      <c r="S97" s="20">
        <f>IFERROR(VLOOKUP($B97,'נתונים ידניים'!$B$9:$G$51,6,FALSE),0)</f>
        <v>0</v>
      </c>
      <c r="T97" s="21">
        <f>'נתונים ידניים'!J98</f>
        <v>0</v>
      </c>
      <c r="U97" s="21">
        <f>'נתונים ידניים'!K98</f>
        <v>0</v>
      </c>
      <c r="V97" s="20">
        <f>IFERROR(VLOOKUP($B97,PerutHafrashotLePolisa!$D$6:$N$50,2,FALSE),0)</f>
        <v>0</v>
      </c>
      <c r="W97" s="20">
        <f>IFERROR(VLOOKUP($B97,PerutHafrashotLePolisa!$D$6:$N$50,4,FALSE),0)</f>
        <v>0</v>
      </c>
      <c r="X97" s="20">
        <f>IFERROR(VLOOKUP($B97,PerutHafrashotLePolisa!$D$6:$N$50,3,FALSE),0)</f>
        <v>0</v>
      </c>
      <c r="Y97">
        <f t="shared" si="96"/>
        <v>0</v>
      </c>
      <c r="Z97">
        <f>RicusPolice!AP94</f>
        <v>0</v>
      </c>
      <c r="AA97">
        <f>IFERROR(VLOOKUP(B97,PirteiHaasaka!$D$6:$R$100,5,FALSE),0)</f>
        <v>0</v>
      </c>
      <c r="AC97">
        <f>IFERROR(VLOOKUP(B97,HafkadotMetchilatShanaAverages!$D$6:$E$100,2,FALSE),0)</f>
        <v>0</v>
      </c>
      <c r="AF97">
        <f>'נתונים ידניים'!L98</f>
        <v>0</v>
      </c>
      <c r="AG97">
        <f>IFERROR(VLOOKUP(B97,CrossTabYitraLeTkufa_till_2000!$D$6:$AB$100,6,FALSE),0)+IFERROR(VLOOKUP(B97,CrossTabYitraLeTkufa_after_2000!$D$6:$AB$100,6,FALSE),0)</f>
        <v>0</v>
      </c>
      <c r="AH97">
        <f>IFERROR(VLOOKUP(B97,CrossTabYitraLeTkufa_till_2000!$D$6:$AB$100,16,FALSE),0)</f>
        <v>0</v>
      </c>
      <c r="AI97">
        <f>IFERROR(VLOOKUP(B97,CrossTabYitraLeTkufa_after_2000!$D$6:$AB$100,16,FALSE),0)</f>
        <v>0</v>
      </c>
      <c r="AJ97">
        <f>IFERROR(VLOOKUP(B97,CrossTabYitraLeTkufa_till_2000!$D$6:$AB$100,17,FALSE),0)</f>
        <v>0</v>
      </c>
      <c r="AK97">
        <f>IFERROR(VLOOKUP(B97,CrossTabYitraLeTkufa_after_2000!$D$6:$AB$100,17,FALSE),0)</f>
        <v>0</v>
      </c>
      <c r="AL97" s="5">
        <f t="shared" si="97"/>
        <v>0</v>
      </c>
      <c r="AO97">
        <f>IFERROR(VLOOKUP(B97,PirteiKisuiBeMutzar_procerur!$C$6:$AA$100,2,FALSE),0)</f>
        <v>0</v>
      </c>
      <c r="AQ97">
        <f>IFERROR(VLOOKUP($B97,PirteiKisuiBeMutzar_procerur!$C$6:$AA$100,5,FALSE),0)</f>
        <v>0</v>
      </c>
      <c r="AR97">
        <f>IFERROR(VLOOKUP($B97,PirteiKisuiBeMutzar_procerur!$C$6:$AA$100,3,FALSE),0)</f>
        <v>0</v>
      </c>
      <c r="AS97">
        <f>IFERROR(VLOOKUP($B97,PirteiKisuiBeMutzar_procerur!$C$6:$AA$100,6,FALSE),0)</f>
        <v>0</v>
      </c>
      <c r="AT97">
        <f>IFERROR(VLOOKUP($B97,PirteiKisuiBeMutzar_procerur!$C$6:$AA$100,7,FALSE),0)</f>
        <v>0</v>
      </c>
      <c r="AX97" s="997">
        <f t="shared" si="98"/>
        <v>0</v>
      </c>
      <c r="AY97" s="997">
        <f t="shared" si="99"/>
        <v>0</v>
      </c>
      <c r="AZ97" s="997">
        <f t="shared" si="100"/>
        <v>0</v>
      </c>
      <c r="BA97" s="997">
        <f>IFERROR(FV(S97/100/12,'נתוני יסוד'!$B$16*12,AX97,AG97)*(-1),0)</f>
        <v>0</v>
      </c>
      <c r="BB97" s="997">
        <f>IFERROR(FV(S97/100/12,'נתוני יסוד'!$B$16*12,0,AH97)*(-1),0)</f>
        <v>0</v>
      </c>
      <c r="BC97" s="997">
        <f>IFERROR(FV(S97/100/12,'נתוני יסוד'!$B$16*12,AY97,AI97)*(-1),0)</f>
        <v>0</v>
      </c>
      <c r="BD97" s="997">
        <f>IFERROR(FV(S97/100/12,'נתוני יסוד'!$B$16*12,0,AJ97)*(-1),0)</f>
        <v>0</v>
      </c>
      <c r="BE97" s="997">
        <f>IFERROR(FV(S97/100/12,'נתוני יסוד'!$B$16*12,AZ97,AK97)*(-1),0)</f>
        <v>0</v>
      </c>
      <c r="BF97" s="997">
        <f t="shared" si="101"/>
        <v>0</v>
      </c>
      <c r="BG97" s="997">
        <f>IFERROR(FV(S97/100/12,'נתוני יסוד'!$B$16*12,AF97,AL97)*(-1),0)</f>
        <v>0</v>
      </c>
      <c r="BH97" s="997">
        <f t="shared" si="102"/>
        <v>0</v>
      </c>
      <c r="BI97" s="997">
        <f t="shared" si="103"/>
        <v>0</v>
      </c>
      <c r="BJ97" s="997">
        <f t="shared" si="104"/>
        <v>0</v>
      </c>
      <c r="BK97" s="997">
        <f t="shared" si="105"/>
        <v>0</v>
      </c>
      <c r="BL97" s="997">
        <f t="shared" si="68"/>
        <v>0</v>
      </c>
      <c r="BM97" s="997">
        <f t="shared" si="69"/>
        <v>0</v>
      </c>
      <c r="BN97" s="997">
        <f t="shared" si="70"/>
        <v>0</v>
      </c>
      <c r="BO97" s="997">
        <f t="shared" si="106"/>
        <v>0</v>
      </c>
      <c r="BP97" s="997">
        <f t="shared" si="71"/>
        <v>0</v>
      </c>
      <c r="BS97">
        <f t="shared" si="72"/>
        <v>0</v>
      </c>
      <c r="BT97">
        <f t="shared" si="73"/>
        <v>0</v>
      </c>
      <c r="BU97">
        <f t="shared" si="74"/>
        <v>0</v>
      </c>
      <c r="BV97">
        <f t="shared" si="107"/>
        <v>0</v>
      </c>
      <c r="BW97">
        <f t="shared" si="75"/>
        <v>0</v>
      </c>
      <c r="BY97" s="997">
        <f t="shared" si="76"/>
        <v>0</v>
      </c>
      <c r="BZ97" s="997">
        <f t="shared" si="77"/>
        <v>0</v>
      </c>
      <c r="CA97" s="997">
        <f t="shared" si="78"/>
        <v>0</v>
      </c>
      <c r="CB97" s="997">
        <f t="shared" si="108"/>
        <v>0</v>
      </c>
      <c r="CC97" s="997">
        <f t="shared" si="79"/>
        <v>0</v>
      </c>
      <c r="CD97" s="997">
        <f t="shared" si="80"/>
        <v>0</v>
      </c>
      <c r="CE97" s="997">
        <f t="shared" si="81"/>
        <v>0</v>
      </c>
      <c r="CF97" s="997">
        <f t="shared" si="82"/>
        <v>0</v>
      </c>
      <c r="CG97" s="997">
        <f t="shared" si="83"/>
        <v>0</v>
      </c>
      <c r="CH97" s="997">
        <f t="shared" si="84"/>
        <v>0</v>
      </c>
      <c r="CI97" s="997">
        <f t="shared" si="85"/>
        <v>0</v>
      </c>
      <c r="CJ97" s="997">
        <f t="shared" si="86"/>
        <v>0</v>
      </c>
      <c r="CK97" s="997"/>
      <c r="CL97" s="997"/>
      <c r="CM97" s="997">
        <f t="shared" si="87"/>
        <v>0</v>
      </c>
      <c r="CN97" s="997">
        <f t="shared" si="88"/>
        <v>0</v>
      </c>
      <c r="CO97" s="997">
        <f t="shared" si="89"/>
        <v>0</v>
      </c>
      <c r="CP97" s="997">
        <f t="shared" si="109"/>
        <v>0</v>
      </c>
      <c r="CQ97" s="997">
        <f t="shared" si="90"/>
        <v>0</v>
      </c>
      <c r="CR97" s="997">
        <f>IFERROR(VLOOKUP($B97,SchumeiBituahYesodi!$C$6:$AA$100,8,FALSE),0)</f>
        <v>0</v>
      </c>
      <c r="CS97" s="997">
        <f>IFERROR(VLOOKUP($B97,PirteiKisuiBeMutzar_procerur!$C$6:$AA$100,2,FALSE),0)</f>
        <v>0</v>
      </c>
      <c r="CT97" s="997">
        <f>IFERROR(VLOOKUP($B97,PirteiKisuiBeMutzar_procerur!$C$6:$AA$100,3,FALSE),0)</f>
        <v>0</v>
      </c>
      <c r="CU97" s="997">
        <f>IFERROR(VLOOKUP($B97,PirteiKisuiBeMutzar_procerur!$C$6:$AA$100,4,FALSE),0)</f>
        <v>0</v>
      </c>
      <c r="CV97" s="997">
        <f>IFERROR(VLOOKUP($B97,PirteiKisuiBeMutzar_procerur!$C$6:$AA$100,5,FALSE),0)</f>
        <v>0</v>
      </c>
      <c r="CW97" s="997">
        <f>IFERROR(VLOOKUP($B97,PirteiKisuiBeMutzar_procerur!$C$6:$AA$100,6,FALSE),0)</f>
        <v>0</v>
      </c>
      <c r="CX97" s="997">
        <f>IFERROR(VLOOKUP($B97,PirteiKisuiBeMutzar_procerur!$C$6:$AA$100,7,FALSE),0)</f>
        <v>0</v>
      </c>
      <c r="CY97" s="997">
        <f>IFERROR(VLOOKUP($B97,PirteiKisuiBeMutzar_procerur!$C$6:$AA$100,8,FALSE),0)</f>
        <v>0</v>
      </c>
      <c r="CZ97" s="997">
        <f>IFERROR(VLOOKUP($B97,PirteiKisuiBeMutzar_procerur!$C$6:$AA$100,9,FALSE),0)</f>
        <v>0</v>
      </c>
      <c r="DA97" s="997">
        <f>IFERROR(VLOOKUP($B97,PirteiKisuiBeMutzar_procerur!$C$6:$AA$100,10,FALSE),0)</f>
        <v>0</v>
      </c>
      <c r="DB97" s="997">
        <f>IFERROR(VLOOKUP($B97,PirteiKisuiBeMutzar_procerur!$C$6:$AA$100,11,FALSE),0)</f>
        <v>0</v>
      </c>
      <c r="DC97" s="997">
        <f>IFERROR(VLOOKUP($B97,PirteiKisuiBeMutzarPrmia!$C$6:$Z$100,2,FALSE),0)</f>
        <v>0</v>
      </c>
      <c r="DD97" s="997">
        <f>IFERROR(VLOOKUP($B97,PirteiKisuiBeMutzarPrmia!$C$6:$Z$100,3,FALSE),0)</f>
        <v>0</v>
      </c>
      <c r="DE97" s="997">
        <f>IFERROR(VLOOKUP($B97,PirteiKisuiBeMutzarPrmia!$C$6:$Z$100,4,FALSE),0)</f>
        <v>0</v>
      </c>
      <c r="DF97" s="997">
        <f>IFERROR(VLOOKUP($B97,PirteiKisuiBeMutzarPrmia!$C$6:$Z$100,5,FALSE),0)</f>
        <v>0</v>
      </c>
      <c r="DG97" s="997">
        <f>IFERROR(VLOOKUP($B97,PirteiKisuiBeMutzarPrmia!$C$6:$Z$100,6,FALSE),0)</f>
        <v>0</v>
      </c>
      <c r="DH97" s="997">
        <f>IFERROR(VLOOKUP($B97,PirteiKisuiBeMutzarPrmia!$C$6:$Z$100,7,FALSE),0)</f>
        <v>0</v>
      </c>
      <c r="DI97" s="997">
        <f>IFERROR(VLOOKUP($B97,PirteiKisuiBeMutzarPrmia!$C$6:$Z$100,8,FALSE),0)</f>
        <v>0</v>
      </c>
      <c r="DJ97" s="997">
        <f>IFERROR(VLOOKUP($B97,PirteiKisuiBeMutzarPrmia!$C$6:$Z$100,9,FALSE),0)</f>
        <v>0</v>
      </c>
      <c r="DK97" s="997">
        <f>IFERROR(VLOOKUP($B97,PirteiKisuiBeMutzarPrmia!$C$6:$Z$100,10,FALSE),0)</f>
        <v>0</v>
      </c>
      <c r="DL97" s="997">
        <f>IFERROR(VLOOKUP($B97,PirteiKisuiBeMutzarPrmia!$C$6:$Z$100,11,FALSE),0)</f>
        <v>0</v>
      </c>
      <c r="DM97" s="997">
        <f t="shared" si="110"/>
        <v>0</v>
      </c>
      <c r="DN97" s="997">
        <f t="shared" si="91"/>
        <v>0</v>
      </c>
      <c r="DO97" s="997">
        <f t="shared" si="92"/>
        <v>0</v>
      </c>
      <c r="DP97" s="997">
        <f t="shared" si="67"/>
        <v>0</v>
      </c>
      <c r="DQ97" s="997">
        <f t="shared" si="93"/>
        <v>0</v>
      </c>
      <c r="DR97" s="997">
        <f>IF(OR(L97=1,L97=3),IFERROR(VLOOKUP($B97,PerutHafkadotMetchilatShanaAvgM!$C$6:$G$100,3,FALSE),0),0)</f>
        <v>0</v>
      </c>
      <c r="DS97" s="997">
        <f>IF(OR(L97=2,L97=4),IFERROR(VLOOKUP($B97,PerutHafkadotMetchilatShanaAvgM!$C$6:$G$100,3,FALSE),0),0)</f>
        <v>0</v>
      </c>
      <c r="DT97" s="997">
        <f>IFERROR(VLOOKUP($B97,PerutHafkadotMetchilatShanaAvgM!$C$6:$G$100,4,FALSE),0)</f>
        <v>0</v>
      </c>
      <c r="DU97" s="997">
        <f>IFERROR(VLOOKUP($B97,Kupa!$D$6:$AA$100,5,FALSE),0)</f>
        <v>0</v>
      </c>
      <c r="DV97" s="997">
        <f>IFERROR(VLOOKUP($B97,Kupa!$D$6:$AA$100,6,FALSE),0)</f>
        <v>0</v>
      </c>
      <c r="DW97" s="997">
        <f>IFERROR(VLOOKUP($B97,KisuiBKerenPensiaDBWithParams!$D$6:$AP$100,9,FALSE),0)</f>
        <v>0</v>
      </c>
      <c r="DX97" s="997">
        <f>IFERROR(VLOOKUP($B97,KisuiBKerenPensiaDBWithParams!$D$6:$AP$100,12,FALSE),0)</f>
        <v>0</v>
      </c>
      <c r="DY97" s="997">
        <f>IFERROR(VLOOKUP($B97,KisuiBKerenPensiaDBWithParams!$D$6:$AP$100,13,FALSE),0)</f>
        <v>0</v>
      </c>
      <c r="DZ97" s="997">
        <f>IFERROR(VLOOKUP($B97,KisuiBKerenPensiaDBWithParams!$D$6:$AP$100,7,FALSE),0)</f>
        <v>0</v>
      </c>
      <c r="EA97" s="997">
        <f>IFERROR(VLOOKUP($B97,KisuiBKerenPensiaDBWithParams!$D$6:$AP$100,17,FALSE),0)</f>
        <v>0</v>
      </c>
      <c r="EB97" s="997">
        <f>IFERROR(VLOOKUP($B97,KisuiBKerenPensiaDBWithParams!$D$6:$AP$100,20,FALSE),0)</f>
        <v>0</v>
      </c>
      <c r="EC97" s="997">
        <f>IFERROR(VLOOKUP($B97,KisuiBKerenPensiaDBWithParams!$D$6:$AP$100,21,FALSE),0)</f>
        <v>0</v>
      </c>
      <c r="ED97" s="997">
        <f t="shared" si="111"/>
        <v>0</v>
      </c>
      <c r="EE97" s="997"/>
      <c r="EF97" s="1020">
        <f>IFERROR(VLOOKUP($B97,KisuiBKerenPensiaDBWithParams!$D$6:$AP$100,21,FALSE),0)</f>
        <v>0</v>
      </c>
      <c r="EG97" s="1020">
        <f>IFERROR(VLOOKUP($B97,KisuiBKerenPensiaDBWithParams!$D$6:$AP$100,21,FALSE),0)</f>
        <v>0</v>
      </c>
      <c r="EH97">
        <f>IF(OR(G97=MyData!$J$51,G97=MyData!$J$52,G97=MyData!$J$53),1,IF(G97=MyData!$J$50,2,0))</f>
        <v>0</v>
      </c>
    </row>
    <row r="98" spans="1:138" x14ac:dyDescent="0.2">
      <c r="A98">
        <f t="shared" si="112"/>
        <v>0</v>
      </c>
      <c r="B98" s="20">
        <f>RicusPolice!E95</f>
        <v>0</v>
      </c>
      <c r="C98" s="20">
        <f>RicusPolice!AL95</f>
        <v>0</v>
      </c>
      <c r="D98" s="20">
        <f>RicusPolice!F95</f>
        <v>0</v>
      </c>
      <c r="E98" s="20">
        <f>RicusPolice!R95</f>
        <v>0</v>
      </c>
      <c r="F98" s="20">
        <f>RicusPolice!N95</f>
        <v>0</v>
      </c>
      <c r="G98" s="20">
        <f>IFERROR(VLOOKUP($B98,PerutYitrot!$D$6:$P$100,4,FALSE),0)</f>
        <v>0</v>
      </c>
      <c r="H98" s="20">
        <f t="shared" si="94"/>
        <v>0</v>
      </c>
      <c r="I98" s="20">
        <f>RicusPolice!L95</f>
        <v>0</v>
      </c>
      <c r="J98" s="179">
        <f>IFERROR(VLOOKUP(TRIM(K98),MyData!$J$44:$K$50,2,FALSE),0)</f>
        <v>0</v>
      </c>
      <c r="K98" s="20">
        <f>RicusPolice!M95</f>
        <v>0</v>
      </c>
      <c r="L98" s="20">
        <f>RicusPolice!AM95</f>
        <v>0</v>
      </c>
      <c r="M98" s="20" t="str">
        <f>IF(B98&gt;0,RicusPolice!Y95," ")</f>
        <v xml:space="preserve"> </v>
      </c>
      <c r="N98" s="20" t="str">
        <f t="shared" si="95"/>
        <v/>
      </c>
      <c r="O98" s="20">
        <f>RicusPolice!N95</f>
        <v>0</v>
      </c>
      <c r="P98" s="20">
        <f>IFERROR(VLOOKUP(B98,PerutMasluleiHashkaa!$D$6:$R$100,4,FALSE),0)</f>
        <v>0</v>
      </c>
      <c r="Q98" s="19"/>
      <c r="R98" s="1011" t="str">
        <f>IF(B98&gt;0,RicusPolice!P97," ")</f>
        <v xml:space="preserve"> </v>
      </c>
      <c r="S98" s="20">
        <f>IFERROR(VLOOKUP($B98,'נתונים ידניים'!$B$9:$G$51,6,FALSE),0)</f>
        <v>0</v>
      </c>
      <c r="T98" s="21">
        <f>'נתונים ידניים'!J99</f>
        <v>0</v>
      </c>
      <c r="U98" s="21">
        <f>'נתונים ידניים'!K99</f>
        <v>0</v>
      </c>
      <c r="V98" s="20">
        <f>IFERROR(VLOOKUP($B98,PerutHafrashotLePolisa!$D$6:$N$50,2,FALSE),0)</f>
        <v>0</v>
      </c>
      <c r="W98" s="20">
        <f>IFERROR(VLOOKUP($B98,PerutHafrashotLePolisa!$D$6:$N$50,4,FALSE),0)</f>
        <v>0</v>
      </c>
      <c r="X98" s="20">
        <f>IFERROR(VLOOKUP($B98,PerutHafrashotLePolisa!$D$6:$N$50,3,FALSE),0)</f>
        <v>0</v>
      </c>
      <c r="Y98">
        <f t="shared" si="96"/>
        <v>0</v>
      </c>
      <c r="Z98">
        <f>RicusPolice!AP95</f>
        <v>0</v>
      </c>
      <c r="AA98">
        <f>IFERROR(VLOOKUP(B98,PirteiHaasaka!$D$6:$R$100,5,FALSE),0)</f>
        <v>0</v>
      </c>
      <c r="AC98">
        <f>IFERROR(VLOOKUP(B98,HafkadotMetchilatShanaAverages!$D$6:$E$100,2,FALSE),0)</f>
        <v>0</v>
      </c>
      <c r="AF98">
        <f>'נתונים ידניים'!L99</f>
        <v>0</v>
      </c>
      <c r="AG98">
        <f>IFERROR(VLOOKUP(B98,CrossTabYitraLeTkufa_till_2000!$D$6:$AB$100,6,FALSE),0)+IFERROR(VLOOKUP(B98,CrossTabYitraLeTkufa_after_2000!$D$6:$AB$100,6,FALSE),0)</f>
        <v>0</v>
      </c>
      <c r="AH98">
        <f>IFERROR(VLOOKUP(B98,CrossTabYitraLeTkufa_till_2000!$D$6:$AB$100,16,FALSE),0)</f>
        <v>0</v>
      </c>
      <c r="AI98">
        <f>IFERROR(VLOOKUP(B98,CrossTabYitraLeTkufa_after_2000!$D$6:$AB$100,16,FALSE),0)</f>
        <v>0</v>
      </c>
      <c r="AJ98">
        <f>IFERROR(VLOOKUP(B98,CrossTabYitraLeTkufa_till_2000!$D$6:$AB$100,17,FALSE),0)</f>
        <v>0</v>
      </c>
      <c r="AK98">
        <f>IFERROR(VLOOKUP(B98,CrossTabYitraLeTkufa_after_2000!$D$6:$AB$100,17,FALSE),0)</f>
        <v>0</v>
      </c>
      <c r="AL98" s="5">
        <f t="shared" si="97"/>
        <v>0</v>
      </c>
      <c r="AO98">
        <f>IFERROR(VLOOKUP(B98,PirteiKisuiBeMutzar_procerur!$C$6:$AA$100,2,FALSE),0)</f>
        <v>0</v>
      </c>
      <c r="AQ98">
        <f>IFERROR(VLOOKUP($B98,PirteiKisuiBeMutzar_procerur!$C$6:$AA$100,5,FALSE),0)</f>
        <v>0</v>
      </c>
      <c r="AR98">
        <f>IFERROR(VLOOKUP($B98,PirteiKisuiBeMutzar_procerur!$C$6:$AA$100,3,FALSE),0)</f>
        <v>0</v>
      </c>
      <c r="AS98">
        <f>IFERROR(VLOOKUP($B98,PirteiKisuiBeMutzar_procerur!$C$6:$AA$100,6,FALSE),0)</f>
        <v>0</v>
      </c>
      <c r="AT98">
        <f>IFERROR(VLOOKUP($B98,PirteiKisuiBeMutzar_procerur!$C$6:$AA$100,7,FALSE),0)</f>
        <v>0</v>
      </c>
      <c r="AX98" s="997">
        <f t="shared" si="98"/>
        <v>0</v>
      </c>
      <c r="AY98" s="997">
        <f t="shared" si="99"/>
        <v>0</v>
      </c>
      <c r="AZ98" s="997">
        <f t="shared" si="100"/>
        <v>0</v>
      </c>
      <c r="BA98" s="997">
        <f>IFERROR(FV(S98/100/12,'נתוני יסוד'!$B$16*12,AX98,AG98)*(-1),0)</f>
        <v>0</v>
      </c>
      <c r="BB98" s="997">
        <f>IFERROR(FV(S98/100/12,'נתוני יסוד'!$B$16*12,0,AH98)*(-1),0)</f>
        <v>0</v>
      </c>
      <c r="BC98" s="997">
        <f>IFERROR(FV(S98/100/12,'נתוני יסוד'!$B$16*12,AY98,AI98)*(-1),0)</f>
        <v>0</v>
      </c>
      <c r="BD98" s="997">
        <f>IFERROR(FV(S98/100/12,'נתוני יסוד'!$B$16*12,0,AJ98)*(-1),0)</f>
        <v>0</v>
      </c>
      <c r="BE98" s="997">
        <f>IFERROR(FV(S98/100/12,'נתוני יסוד'!$B$16*12,AZ98,AK98)*(-1),0)</f>
        <v>0</v>
      </c>
      <c r="BF98" s="997">
        <f t="shared" si="101"/>
        <v>0</v>
      </c>
      <c r="BG98" s="997">
        <f>IFERROR(FV(S98/100/12,'נתוני יסוד'!$B$16*12,AF98,AL98)*(-1),0)</f>
        <v>0</v>
      </c>
      <c r="BH98" s="997">
        <f t="shared" si="102"/>
        <v>0</v>
      </c>
      <c r="BI98" s="997">
        <f t="shared" si="103"/>
        <v>0</v>
      </c>
      <c r="BJ98" s="997">
        <f t="shared" si="104"/>
        <v>0</v>
      </c>
      <c r="BK98" s="997">
        <f t="shared" si="105"/>
        <v>0</v>
      </c>
      <c r="BL98" s="997">
        <f t="shared" si="68"/>
        <v>0</v>
      </c>
      <c r="BM98" s="997">
        <f t="shared" si="69"/>
        <v>0</v>
      </c>
      <c r="BN98" s="997">
        <f t="shared" si="70"/>
        <v>0</v>
      </c>
      <c r="BO98" s="997">
        <f t="shared" si="106"/>
        <v>0</v>
      </c>
      <c r="BP98" s="997">
        <f t="shared" si="71"/>
        <v>0</v>
      </c>
      <c r="BS98">
        <f t="shared" si="72"/>
        <v>0</v>
      </c>
      <c r="BT98">
        <f t="shared" si="73"/>
        <v>0</v>
      </c>
      <c r="BU98">
        <f t="shared" si="74"/>
        <v>0</v>
      </c>
      <c r="BV98">
        <f t="shared" si="107"/>
        <v>0</v>
      </c>
      <c r="BW98">
        <f t="shared" si="75"/>
        <v>0</v>
      </c>
      <c r="BY98" s="997">
        <f t="shared" si="76"/>
        <v>0</v>
      </c>
      <c r="BZ98" s="997">
        <f t="shared" si="77"/>
        <v>0</v>
      </c>
      <c r="CA98" s="997">
        <f t="shared" si="78"/>
        <v>0</v>
      </c>
      <c r="CB98" s="997">
        <f t="shared" si="108"/>
        <v>0</v>
      </c>
      <c r="CC98" s="997">
        <f t="shared" si="79"/>
        <v>0</v>
      </c>
      <c r="CD98" s="997">
        <f t="shared" si="80"/>
        <v>0</v>
      </c>
      <c r="CE98" s="997">
        <f t="shared" si="81"/>
        <v>0</v>
      </c>
      <c r="CF98" s="997">
        <f t="shared" si="82"/>
        <v>0</v>
      </c>
      <c r="CG98" s="997">
        <f t="shared" si="83"/>
        <v>0</v>
      </c>
      <c r="CH98" s="997">
        <f t="shared" si="84"/>
        <v>0</v>
      </c>
      <c r="CI98" s="997">
        <f t="shared" si="85"/>
        <v>0</v>
      </c>
      <c r="CJ98" s="997">
        <f t="shared" si="86"/>
        <v>0</v>
      </c>
      <c r="CK98" s="997"/>
      <c r="CL98" s="997"/>
      <c r="CM98" s="997">
        <f t="shared" si="87"/>
        <v>0</v>
      </c>
      <c r="CN98" s="997">
        <f t="shared" si="88"/>
        <v>0</v>
      </c>
      <c r="CO98" s="997">
        <f t="shared" si="89"/>
        <v>0</v>
      </c>
      <c r="CP98" s="997">
        <f t="shared" si="109"/>
        <v>0</v>
      </c>
      <c r="CQ98" s="997">
        <f t="shared" si="90"/>
        <v>0</v>
      </c>
      <c r="CR98" s="997">
        <f>IFERROR(VLOOKUP($B98,SchumeiBituahYesodi!$C$6:$AA$100,8,FALSE),0)</f>
        <v>0</v>
      </c>
      <c r="CS98" s="997">
        <f>IFERROR(VLOOKUP($B98,PirteiKisuiBeMutzar_procerur!$C$6:$AA$100,2,FALSE),0)</f>
        <v>0</v>
      </c>
      <c r="CT98" s="997">
        <f>IFERROR(VLOOKUP($B98,PirteiKisuiBeMutzar_procerur!$C$6:$AA$100,3,FALSE),0)</f>
        <v>0</v>
      </c>
      <c r="CU98" s="997">
        <f>IFERROR(VLOOKUP($B98,PirteiKisuiBeMutzar_procerur!$C$6:$AA$100,4,FALSE),0)</f>
        <v>0</v>
      </c>
      <c r="CV98" s="997">
        <f>IFERROR(VLOOKUP($B98,PirteiKisuiBeMutzar_procerur!$C$6:$AA$100,5,FALSE),0)</f>
        <v>0</v>
      </c>
      <c r="CW98" s="997">
        <f>IFERROR(VLOOKUP($B98,PirteiKisuiBeMutzar_procerur!$C$6:$AA$100,6,FALSE),0)</f>
        <v>0</v>
      </c>
      <c r="CX98" s="997">
        <f>IFERROR(VLOOKUP($B98,PirteiKisuiBeMutzar_procerur!$C$6:$AA$100,7,FALSE),0)</f>
        <v>0</v>
      </c>
      <c r="CY98" s="997">
        <f>IFERROR(VLOOKUP($B98,PirteiKisuiBeMutzar_procerur!$C$6:$AA$100,8,FALSE),0)</f>
        <v>0</v>
      </c>
      <c r="CZ98" s="997">
        <f>IFERROR(VLOOKUP($B98,PirteiKisuiBeMutzar_procerur!$C$6:$AA$100,9,FALSE),0)</f>
        <v>0</v>
      </c>
      <c r="DA98" s="997">
        <f>IFERROR(VLOOKUP($B98,PirteiKisuiBeMutzar_procerur!$C$6:$AA$100,10,FALSE),0)</f>
        <v>0</v>
      </c>
      <c r="DB98" s="997">
        <f>IFERROR(VLOOKUP($B98,PirteiKisuiBeMutzar_procerur!$C$6:$AA$100,11,FALSE),0)</f>
        <v>0</v>
      </c>
      <c r="DC98" s="997">
        <f>IFERROR(VLOOKUP($B98,PirteiKisuiBeMutzarPrmia!$C$6:$Z$100,2,FALSE),0)</f>
        <v>0</v>
      </c>
      <c r="DD98" s="997">
        <f>IFERROR(VLOOKUP($B98,PirteiKisuiBeMutzarPrmia!$C$6:$Z$100,3,FALSE),0)</f>
        <v>0</v>
      </c>
      <c r="DE98" s="997">
        <f>IFERROR(VLOOKUP($B98,PirteiKisuiBeMutzarPrmia!$C$6:$Z$100,4,FALSE),0)</f>
        <v>0</v>
      </c>
      <c r="DF98" s="997">
        <f>IFERROR(VLOOKUP($B98,PirteiKisuiBeMutzarPrmia!$C$6:$Z$100,5,FALSE),0)</f>
        <v>0</v>
      </c>
      <c r="DG98" s="997">
        <f>IFERROR(VLOOKUP($B98,PirteiKisuiBeMutzarPrmia!$C$6:$Z$100,6,FALSE),0)</f>
        <v>0</v>
      </c>
      <c r="DH98" s="997">
        <f>IFERROR(VLOOKUP($B98,PirteiKisuiBeMutzarPrmia!$C$6:$Z$100,7,FALSE),0)</f>
        <v>0</v>
      </c>
      <c r="DI98" s="997">
        <f>IFERROR(VLOOKUP($B98,PirteiKisuiBeMutzarPrmia!$C$6:$Z$100,8,FALSE),0)</f>
        <v>0</v>
      </c>
      <c r="DJ98" s="997">
        <f>IFERROR(VLOOKUP($B98,PirteiKisuiBeMutzarPrmia!$C$6:$Z$100,9,FALSE),0)</f>
        <v>0</v>
      </c>
      <c r="DK98" s="997">
        <f>IFERROR(VLOOKUP($B98,PirteiKisuiBeMutzarPrmia!$C$6:$Z$100,10,FALSE),0)</f>
        <v>0</v>
      </c>
      <c r="DL98" s="997">
        <f>IFERROR(VLOOKUP($B98,PirteiKisuiBeMutzarPrmia!$C$6:$Z$100,11,FALSE),0)</f>
        <v>0</v>
      </c>
      <c r="DM98" s="997">
        <f t="shared" si="110"/>
        <v>0</v>
      </c>
      <c r="DN98" s="997">
        <f t="shared" si="91"/>
        <v>0</v>
      </c>
      <c r="DO98" s="997">
        <f t="shared" si="92"/>
        <v>0</v>
      </c>
      <c r="DP98" s="997">
        <f t="shared" ref="DP98:DP101" si="113">AH98+AI98+AJ98+AK98</f>
        <v>0</v>
      </c>
      <c r="DQ98" s="997">
        <f t="shared" si="93"/>
        <v>0</v>
      </c>
      <c r="DR98" s="997">
        <f>IF(OR(L98=1,L98=3),IFERROR(VLOOKUP($B98,PerutHafkadotMetchilatShanaAvgM!$C$6:$G$100,3,FALSE),0),0)</f>
        <v>0</v>
      </c>
      <c r="DS98" s="997">
        <f>IF(OR(L98=2,L98=4),IFERROR(VLOOKUP($B98,PerutHafkadotMetchilatShanaAvgM!$C$6:$G$100,3,FALSE),0),0)</f>
        <v>0</v>
      </c>
      <c r="DT98" s="997">
        <f>IFERROR(VLOOKUP($B98,PerutHafkadotMetchilatShanaAvgM!$C$6:$G$100,4,FALSE),0)</f>
        <v>0</v>
      </c>
      <c r="DU98" s="997">
        <f>IFERROR(VLOOKUP($B98,Kupa!$D$6:$AA$100,5,FALSE),0)</f>
        <v>0</v>
      </c>
      <c r="DV98" s="997">
        <f>IFERROR(VLOOKUP($B98,Kupa!$D$6:$AA$100,6,FALSE),0)</f>
        <v>0</v>
      </c>
      <c r="DW98" s="997">
        <f>IFERROR(VLOOKUP($B98,KisuiBKerenPensiaDBWithParams!$D$6:$AP$100,9,FALSE),0)</f>
        <v>0</v>
      </c>
      <c r="DX98" s="997">
        <f>IFERROR(VLOOKUP($B98,KisuiBKerenPensiaDBWithParams!$D$6:$AP$100,12,FALSE),0)</f>
        <v>0</v>
      </c>
      <c r="DY98" s="997">
        <f>IFERROR(VLOOKUP($B98,KisuiBKerenPensiaDBWithParams!$D$6:$AP$100,13,FALSE),0)</f>
        <v>0</v>
      </c>
      <c r="DZ98" s="997">
        <f>IFERROR(VLOOKUP($B98,KisuiBKerenPensiaDBWithParams!$D$6:$AP$100,7,FALSE),0)</f>
        <v>0</v>
      </c>
      <c r="EA98" s="997">
        <f>IFERROR(VLOOKUP($B98,KisuiBKerenPensiaDBWithParams!$D$6:$AP$100,17,FALSE),0)</f>
        <v>0</v>
      </c>
      <c r="EB98" s="997">
        <f>IFERROR(VLOOKUP($B98,KisuiBKerenPensiaDBWithParams!$D$6:$AP$100,20,FALSE),0)</f>
        <v>0</v>
      </c>
      <c r="EC98" s="997">
        <f>IFERROR(VLOOKUP($B98,KisuiBKerenPensiaDBWithParams!$D$6:$AP$100,21,FALSE),0)</f>
        <v>0</v>
      </c>
      <c r="ED98" s="997">
        <f t="shared" si="111"/>
        <v>0</v>
      </c>
      <c r="EE98" s="997"/>
      <c r="EF98" s="1020">
        <f>IFERROR(VLOOKUP($B98,KisuiBKerenPensiaDBWithParams!$D$6:$AP$100,21,FALSE),0)</f>
        <v>0</v>
      </c>
      <c r="EG98" s="1020">
        <f>IFERROR(VLOOKUP($B98,KisuiBKerenPensiaDBWithParams!$D$6:$AP$100,21,FALSE),0)</f>
        <v>0</v>
      </c>
      <c r="EH98">
        <f>IF(OR(G98=MyData!$J$51,G98=MyData!$J$52,G98=MyData!$J$53),1,IF(G98=MyData!$J$50,2,0))</f>
        <v>0</v>
      </c>
    </row>
    <row r="99" spans="1:138" x14ac:dyDescent="0.2">
      <c r="A99">
        <f t="shared" si="112"/>
        <v>0</v>
      </c>
      <c r="B99" s="20">
        <f>RicusPolice!E96</f>
        <v>0</v>
      </c>
      <c r="C99" s="20">
        <f>RicusPolice!AL96</f>
        <v>0</v>
      </c>
      <c r="D99" s="20">
        <f>RicusPolice!F96</f>
        <v>0</v>
      </c>
      <c r="E99" s="20">
        <f>RicusPolice!R96</f>
        <v>0</v>
      </c>
      <c r="F99" s="20">
        <f>RicusPolice!N96</f>
        <v>0</v>
      </c>
      <c r="G99" s="20">
        <f>IFERROR(VLOOKUP($B99,PerutYitrot!$D$6:$P$100,4,FALSE),0)</f>
        <v>0</v>
      </c>
      <c r="H99" s="20">
        <f t="shared" si="94"/>
        <v>0</v>
      </c>
      <c r="I99" s="20">
        <f>RicusPolice!L96</f>
        <v>0</v>
      </c>
      <c r="J99" s="179">
        <f>IFERROR(VLOOKUP(TRIM(K99),MyData!$J$44:$K$50,2,FALSE),0)</f>
        <v>0</v>
      </c>
      <c r="K99" s="20">
        <f>RicusPolice!M96</f>
        <v>0</v>
      </c>
      <c r="L99" s="20">
        <f>RicusPolice!AM96</f>
        <v>0</v>
      </c>
      <c r="M99" s="20" t="str">
        <f>IF(B99&gt;0,RicusPolice!Y96," ")</f>
        <v xml:space="preserve"> </v>
      </c>
      <c r="N99" s="20" t="str">
        <f t="shared" si="95"/>
        <v/>
      </c>
      <c r="O99" s="20">
        <f>RicusPolice!N96</f>
        <v>0</v>
      </c>
      <c r="P99" s="20">
        <f>IFERROR(VLOOKUP(B99,PerutMasluleiHashkaa!$D$6:$R$100,4,FALSE),0)</f>
        <v>0</v>
      </c>
      <c r="Q99" s="19"/>
      <c r="R99" s="1011" t="str">
        <f>IF(B99&gt;0,RicusPolice!P98," ")</f>
        <v xml:space="preserve"> </v>
      </c>
      <c r="S99" s="20">
        <f>IFERROR(VLOOKUP($B99,'נתונים ידניים'!$B$9:$G$51,6,FALSE),0)</f>
        <v>0</v>
      </c>
      <c r="T99" s="21">
        <f>'נתונים ידניים'!J100</f>
        <v>0</v>
      </c>
      <c r="U99" s="21">
        <f>'נתונים ידניים'!K100</f>
        <v>0</v>
      </c>
      <c r="V99" s="20">
        <f>IFERROR(VLOOKUP($B99,PerutHafrashotLePolisa!$D$6:$N$50,2,FALSE),0)</f>
        <v>0</v>
      </c>
      <c r="W99" s="20">
        <f>IFERROR(VLOOKUP($B99,PerutHafrashotLePolisa!$D$6:$N$50,4,FALSE),0)</f>
        <v>0</v>
      </c>
      <c r="X99" s="20">
        <f>IFERROR(VLOOKUP($B99,PerutHafrashotLePolisa!$D$6:$N$50,3,FALSE),0)</f>
        <v>0</v>
      </c>
      <c r="Y99">
        <f t="shared" si="96"/>
        <v>0</v>
      </c>
      <c r="Z99">
        <f>RicusPolice!AP96</f>
        <v>0</v>
      </c>
      <c r="AA99">
        <f>IFERROR(VLOOKUP(B99,PirteiHaasaka!$D$6:$R$100,5,FALSE),0)</f>
        <v>0</v>
      </c>
      <c r="AC99">
        <f>IFERROR(VLOOKUP(B99,HafkadotMetchilatShanaAverages!$D$6:$E$100,2,FALSE),0)</f>
        <v>0</v>
      </c>
      <c r="AF99">
        <f>'נתונים ידניים'!L100</f>
        <v>0</v>
      </c>
      <c r="AG99">
        <f>IFERROR(VLOOKUP(B99,CrossTabYitraLeTkufa_till_2000!$D$6:$AB$100,6,FALSE),0)+IFERROR(VLOOKUP(B99,CrossTabYitraLeTkufa_after_2000!$D$6:$AB$100,6,FALSE),0)</f>
        <v>0</v>
      </c>
      <c r="AH99">
        <f>IFERROR(VLOOKUP(B99,CrossTabYitraLeTkufa_till_2000!$D$6:$AB$100,16,FALSE),0)</f>
        <v>0</v>
      </c>
      <c r="AI99">
        <f>IFERROR(VLOOKUP(B99,CrossTabYitraLeTkufa_after_2000!$D$6:$AB$100,16,FALSE),0)</f>
        <v>0</v>
      </c>
      <c r="AJ99">
        <f>IFERROR(VLOOKUP(B99,CrossTabYitraLeTkufa_till_2000!$D$6:$AB$100,17,FALSE),0)</f>
        <v>0</v>
      </c>
      <c r="AK99">
        <f>IFERROR(VLOOKUP(B99,CrossTabYitraLeTkufa_after_2000!$D$6:$AB$100,17,FALSE),0)</f>
        <v>0</v>
      </c>
      <c r="AL99" s="5">
        <f t="shared" si="97"/>
        <v>0</v>
      </c>
      <c r="AO99">
        <f>IFERROR(VLOOKUP(B99,PirteiKisuiBeMutzar_procerur!$C$6:$AA$100,2,FALSE),0)</f>
        <v>0</v>
      </c>
      <c r="AQ99">
        <f>IFERROR(VLOOKUP($B99,PirteiKisuiBeMutzar_procerur!$C$6:$AA$100,5,FALSE),0)</f>
        <v>0</v>
      </c>
      <c r="AR99">
        <f>IFERROR(VLOOKUP($B99,PirteiKisuiBeMutzar_procerur!$C$6:$AA$100,3,FALSE),0)</f>
        <v>0</v>
      </c>
      <c r="AS99">
        <f>IFERROR(VLOOKUP($B99,PirteiKisuiBeMutzar_procerur!$C$6:$AA$100,6,FALSE),0)</f>
        <v>0</v>
      </c>
      <c r="AT99">
        <f>IFERROR(VLOOKUP($B99,PirteiKisuiBeMutzar_procerur!$C$6:$AA$100,7,FALSE),0)</f>
        <v>0</v>
      </c>
      <c r="AX99" s="997">
        <f t="shared" si="98"/>
        <v>0</v>
      </c>
      <c r="AY99" s="997">
        <f t="shared" si="99"/>
        <v>0</v>
      </c>
      <c r="AZ99" s="997">
        <f t="shared" si="100"/>
        <v>0</v>
      </c>
      <c r="BA99" s="997">
        <f>IFERROR(FV(S99/100/12,'נתוני יסוד'!$B$16*12,AX99,AG99)*(-1),0)</f>
        <v>0</v>
      </c>
      <c r="BB99" s="997">
        <f>IFERROR(FV(S99/100/12,'נתוני יסוד'!$B$16*12,0,AH99)*(-1),0)</f>
        <v>0</v>
      </c>
      <c r="BC99" s="997">
        <f>IFERROR(FV(S99/100/12,'נתוני יסוד'!$B$16*12,AY99,AI99)*(-1),0)</f>
        <v>0</v>
      </c>
      <c r="BD99" s="997">
        <f>IFERROR(FV(S99/100/12,'נתוני יסוד'!$B$16*12,0,AJ99)*(-1),0)</f>
        <v>0</v>
      </c>
      <c r="BE99" s="997">
        <f>IFERROR(FV(S99/100/12,'נתוני יסוד'!$B$16*12,AZ99,AK99)*(-1),0)</f>
        <v>0</v>
      </c>
      <c r="BF99" s="997">
        <f t="shared" si="101"/>
        <v>0</v>
      </c>
      <c r="BG99" s="997">
        <f>IFERROR(FV(S99/100/12,'נתוני יסוד'!$B$16*12,AF99,AL99)*(-1),0)</f>
        <v>0</v>
      </c>
      <c r="BH99" s="997">
        <f t="shared" si="102"/>
        <v>0</v>
      </c>
      <c r="BI99" s="997">
        <f t="shared" si="103"/>
        <v>0</v>
      </c>
      <c r="BJ99" s="997">
        <f t="shared" si="104"/>
        <v>0</v>
      </c>
      <c r="BK99" s="997">
        <f t="shared" si="105"/>
        <v>0</v>
      </c>
      <c r="BL99" s="997">
        <f t="shared" si="68"/>
        <v>0</v>
      </c>
      <c r="BM99" s="997">
        <f t="shared" si="69"/>
        <v>0</v>
      </c>
      <c r="BN99" s="997">
        <f t="shared" si="70"/>
        <v>0</v>
      </c>
      <c r="BO99" s="997">
        <f t="shared" si="106"/>
        <v>0</v>
      </c>
      <c r="BP99" s="997">
        <f t="shared" si="71"/>
        <v>0</v>
      </c>
      <c r="BS99">
        <f t="shared" si="72"/>
        <v>0</v>
      </c>
      <c r="BT99">
        <f t="shared" si="73"/>
        <v>0</v>
      </c>
      <c r="BU99">
        <f t="shared" si="74"/>
        <v>0</v>
      </c>
      <c r="BV99">
        <f t="shared" si="107"/>
        <v>0</v>
      </c>
      <c r="BW99">
        <f t="shared" si="75"/>
        <v>0</v>
      </c>
      <c r="BY99" s="997">
        <f t="shared" si="76"/>
        <v>0</v>
      </c>
      <c r="BZ99" s="997">
        <f t="shared" si="77"/>
        <v>0</v>
      </c>
      <c r="CA99" s="997">
        <f t="shared" si="78"/>
        <v>0</v>
      </c>
      <c r="CB99" s="997">
        <f t="shared" si="108"/>
        <v>0</v>
      </c>
      <c r="CC99" s="997">
        <f t="shared" si="79"/>
        <v>0</v>
      </c>
      <c r="CD99" s="997">
        <f t="shared" si="80"/>
        <v>0</v>
      </c>
      <c r="CE99" s="997">
        <f t="shared" si="81"/>
        <v>0</v>
      </c>
      <c r="CF99" s="997">
        <f t="shared" si="82"/>
        <v>0</v>
      </c>
      <c r="CG99" s="997">
        <f t="shared" si="83"/>
        <v>0</v>
      </c>
      <c r="CH99" s="997">
        <f t="shared" si="84"/>
        <v>0</v>
      </c>
      <c r="CI99" s="997">
        <f t="shared" si="85"/>
        <v>0</v>
      </c>
      <c r="CJ99" s="997">
        <f t="shared" si="86"/>
        <v>0</v>
      </c>
      <c r="CK99" s="997"/>
      <c r="CL99" s="997"/>
      <c r="CM99" s="997">
        <f t="shared" si="87"/>
        <v>0</v>
      </c>
      <c r="CN99" s="997">
        <f t="shared" si="88"/>
        <v>0</v>
      </c>
      <c r="CO99" s="997">
        <f t="shared" si="89"/>
        <v>0</v>
      </c>
      <c r="CP99" s="997">
        <f t="shared" si="109"/>
        <v>0</v>
      </c>
      <c r="CQ99" s="997">
        <f t="shared" si="90"/>
        <v>0</v>
      </c>
      <c r="CR99" s="997">
        <f>IFERROR(VLOOKUP($B99,SchumeiBituahYesodi!$C$6:$AA$100,8,FALSE),0)</f>
        <v>0</v>
      </c>
      <c r="CS99" s="997">
        <f>IFERROR(VLOOKUP($B99,PirteiKisuiBeMutzar_procerur!$C$6:$AA$100,2,FALSE),0)</f>
        <v>0</v>
      </c>
      <c r="CT99" s="997">
        <f>IFERROR(VLOOKUP($B99,PirteiKisuiBeMutzar_procerur!$C$6:$AA$100,3,FALSE),0)</f>
        <v>0</v>
      </c>
      <c r="CU99" s="997">
        <f>IFERROR(VLOOKUP($B99,PirteiKisuiBeMutzar_procerur!$C$6:$AA$100,4,FALSE),0)</f>
        <v>0</v>
      </c>
      <c r="CV99" s="997">
        <f>IFERROR(VLOOKUP($B99,PirteiKisuiBeMutzar_procerur!$C$6:$AA$100,5,FALSE),0)</f>
        <v>0</v>
      </c>
      <c r="CW99" s="997">
        <f>IFERROR(VLOOKUP($B99,PirteiKisuiBeMutzar_procerur!$C$6:$AA$100,6,FALSE),0)</f>
        <v>0</v>
      </c>
      <c r="CX99" s="997">
        <f>IFERROR(VLOOKUP($B99,PirteiKisuiBeMutzar_procerur!$C$6:$AA$100,7,FALSE),0)</f>
        <v>0</v>
      </c>
      <c r="CY99" s="997">
        <f>IFERROR(VLOOKUP($B99,PirteiKisuiBeMutzar_procerur!$C$6:$AA$100,8,FALSE),0)</f>
        <v>0</v>
      </c>
      <c r="CZ99" s="997">
        <f>IFERROR(VLOOKUP($B99,PirteiKisuiBeMutzar_procerur!$C$6:$AA$100,9,FALSE),0)</f>
        <v>0</v>
      </c>
      <c r="DA99" s="997">
        <f>IFERROR(VLOOKUP($B99,PirteiKisuiBeMutzar_procerur!$C$6:$AA$100,10,FALSE),0)</f>
        <v>0</v>
      </c>
      <c r="DB99" s="997">
        <f>IFERROR(VLOOKUP($B99,PirteiKisuiBeMutzar_procerur!$C$6:$AA$100,11,FALSE),0)</f>
        <v>0</v>
      </c>
      <c r="DC99" s="997">
        <f>IFERROR(VLOOKUP($B99,PirteiKisuiBeMutzarPrmia!$C$6:$Z$100,2,FALSE),0)</f>
        <v>0</v>
      </c>
      <c r="DD99" s="997">
        <f>IFERROR(VLOOKUP($B99,PirteiKisuiBeMutzarPrmia!$C$6:$Z$100,3,FALSE),0)</f>
        <v>0</v>
      </c>
      <c r="DE99" s="997">
        <f>IFERROR(VLOOKUP($B99,PirteiKisuiBeMutzarPrmia!$C$6:$Z$100,4,FALSE),0)</f>
        <v>0</v>
      </c>
      <c r="DF99" s="997">
        <f>IFERROR(VLOOKUP($B99,PirteiKisuiBeMutzarPrmia!$C$6:$Z$100,5,FALSE),0)</f>
        <v>0</v>
      </c>
      <c r="DG99" s="997">
        <f>IFERROR(VLOOKUP($B99,PirteiKisuiBeMutzarPrmia!$C$6:$Z$100,6,FALSE),0)</f>
        <v>0</v>
      </c>
      <c r="DH99" s="997">
        <f>IFERROR(VLOOKUP($B99,PirteiKisuiBeMutzarPrmia!$C$6:$Z$100,7,FALSE),0)</f>
        <v>0</v>
      </c>
      <c r="DI99" s="997">
        <f>IFERROR(VLOOKUP($B99,PirteiKisuiBeMutzarPrmia!$C$6:$Z$100,8,FALSE),0)</f>
        <v>0</v>
      </c>
      <c r="DJ99" s="997">
        <f>IFERROR(VLOOKUP($B99,PirteiKisuiBeMutzarPrmia!$C$6:$Z$100,9,FALSE),0)</f>
        <v>0</v>
      </c>
      <c r="DK99" s="997">
        <f>IFERROR(VLOOKUP($B99,PirteiKisuiBeMutzarPrmia!$C$6:$Z$100,10,FALSE),0)</f>
        <v>0</v>
      </c>
      <c r="DL99" s="997">
        <f>IFERROR(VLOOKUP($B99,PirteiKisuiBeMutzarPrmia!$C$6:$Z$100,11,FALSE),0)</f>
        <v>0</v>
      </c>
      <c r="DM99" s="997">
        <f t="shared" si="110"/>
        <v>0</v>
      </c>
      <c r="DN99" s="997">
        <f t="shared" si="91"/>
        <v>0</v>
      </c>
      <c r="DO99" s="997">
        <f t="shared" si="92"/>
        <v>0</v>
      </c>
      <c r="DP99" s="997">
        <f t="shared" si="113"/>
        <v>0</v>
      </c>
      <c r="DQ99" s="997">
        <f t="shared" si="93"/>
        <v>0</v>
      </c>
      <c r="DR99" s="997">
        <f>IF(OR(L99=1,L99=3),IFERROR(VLOOKUP($B99,PerutHafkadotMetchilatShanaAvgM!$C$6:$G$100,3,FALSE),0),0)</f>
        <v>0</v>
      </c>
      <c r="DS99" s="997">
        <f>IF(OR(L99=2,L99=4),IFERROR(VLOOKUP($B99,PerutHafkadotMetchilatShanaAvgM!$C$6:$G$100,3,FALSE),0),0)</f>
        <v>0</v>
      </c>
      <c r="DT99" s="997">
        <f>IFERROR(VLOOKUP($B99,PerutHafkadotMetchilatShanaAvgM!$C$6:$G$100,4,FALSE),0)</f>
        <v>0</v>
      </c>
      <c r="DU99" s="997">
        <f>IFERROR(VLOOKUP($B99,Kupa!$D$6:$AA$100,5,FALSE),0)</f>
        <v>0</v>
      </c>
      <c r="DV99" s="997">
        <f>IFERROR(VLOOKUP($B99,Kupa!$D$6:$AA$100,6,FALSE),0)</f>
        <v>0</v>
      </c>
      <c r="DW99" s="997">
        <f>IFERROR(VLOOKUP($B99,KisuiBKerenPensiaDBWithParams!$D$6:$AP$100,9,FALSE),0)</f>
        <v>0</v>
      </c>
      <c r="DX99" s="997">
        <f>IFERROR(VLOOKUP($B99,KisuiBKerenPensiaDBWithParams!$D$6:$AP$100,12,FALSE),0)</f>
        <v>0</v>
      </c>
      <c r="DY99" s="997">
        <f>IFERROR(VLOOKUP($B99,KisuiBKerenPensiaDBWithParams!$D$6:$AP$100,13,FALSE),0)</f>
        <v>0</v>
      </c>
      <c r="DZ99" s="997">
        <f>IFERROR(VLOOKUP($B99,KisuiBKerenPensiaDBWithParams!$D$6:$AP$100,7,FALSE),0)</f>
        <v>0</v>
      </c>
      <c r="EA99" s="997">
        <f>IFERROR(VLOOKUP($B99,KisuiBKerenPensiaDBWithParams!$D$6:$AP$100,17,FALSE),0)</f>
        <v>0</v>
      </c>
      <c r="EB99" s="997">
        <f>IFERROR(VLOOKUP($B99,KisuiBKerenPensiaDBWithParams!$D$6:$AP$100,20,FALSE),0)</f>
        <v>0</v>
      </c>
      <c r="EC99" s="997">
        <f>IFERROR(VLOOKUP($B99,KisuiBKerenPensiaDBWithParams!$D$6:$AP$100,21,FALSE),0)</f>
        <v>0</v>
      </c>
      <c r="ED99" s="997">
        <f t="shared" si="111"/>
        <v>0</v>
      </c>
      <c r="EE99" s="997"/>
      <c r="EF99" s="1020">
        <f>IFERROR(VLOOKUP($B99,KisuiBKerenPensiaDBWithParams!$D$6:$AP$100,21,FALSE),0)</f>
        <v>0</v>
      </c>
      <c r="EG99" s="1020">
        <f>IFERROR(VLOOKUP($B99,KisuiBKerenPensiaDBWithParams!$D$6:$AP$100,21,FALSE),0)</f>
        <v>0</v>
      </c>
      <c r="EH99">
        <f>IF(OR(G99=MyData!$J$51,G99=MyData!$J$52,G99=MyData!$J$53),1,IF(G99=MyData!$J$50,2,0))</f>
        <v>0</v>
      </c>
    </row>
    <row r="100" spans="1:138" x14ac:dyDescent="0.2">
      <c r="A100">
        <f t="shared" si="112"/>
        <v>0</v>
      </c>
      <c r="B100" s="20">
        <f>RicusPolice!E97</f>
        <v>0</v>
      </c>
      <c r="C100" s="20">
        <f>RicusPolice!AL97</f>
        <v>0</v>
      </c>
      <c r="D100" s="20">
        <f>RicusPolice!F97</f>
        <v>0</v>
      </c>
      <c r="E100" s="20">
        <f>RicusPolice!R97</f>
        <v>0</v>
      </c>
      <c r="F100" s="20">
        <f>RicusPolice!N97</f>
        <v>0</v>
      </c>
      <c r="G100" s="20">
        <f>IFERROR(VLOOKUP($B100,PerutYitrot!$D$6:$P$100,4,FALSE),0)</f>
        <v>0</v>
      </c>
      <c r="H100" s="20">
        <f t="shared" si="94"/>
        <v>0</v>
      </c>
      <c r="I100" s="20">
        <f>RicusPolice!L97</f>
        <v>0</v>
      </c>
      <c r="J100" s="179">
        <f>IFERROR(VLOOKUP(TRIM(K100),MyData!$J$44:$K$50,2,FALSE),0)</f>
        <v>0</v>
      </c>
      <c r="K100" s="20">
        <f>RicusPolice!M97</f>
        <v>0</v>
      </c>
      <c r="L100" s="20">
        <f>RicusPolice!AM97</f>
        <v>0</v>
      </c>
      <c r="M100" s="20" t="str">
        <f>IF(B100&gt;0,RicusPolice!Y97," ")</f>
        <v xml:space="preserve"> </v>
      </c>
      <c r="N100" s="20" t="str">
        <f t="shared" si="95"/>
        <v/>
      </c>
      <c r="O100" s="20">
        <f>RicusPolice!N97</f>
        <v>0</v>
      </c>
      <c r="P100" s="20">
        <f>IFERROR(VLOOKUP(B100,PerutMasluleiHashkaa!$D$6:$R$100,4,FALSE),0)</f>
        <v>0</v>
      </c>
      <c r="Q100" s="19"/>
      <c r="R100" s="1011" t="str">
        <f>IF(B100&gt;0,RicusPolice!P99," ")</f>
        <v xml:space="preserve"> </v>
      </c>
      <c r="S100" s="20">
        <f>IFERROR(VLOOKUP($B100,'נתונים ידניים'!$B$9:$G$51,6,FALSE),0)</f>
        <v>0</v>
      </c>
      <c r="T100" s="21">
        <f>'נתונים ידניים'!J101</f>
        <v>0</v>
      </c>
      <c r="U100" s="21">
        <f>'נתונים ידניים'!K101</f>
        <v>0</v>
      </c>
      <c r="V100" s="20">
        <f>IFERROR(VLOOKUP($B100,PerutHafrashotLePolisa!$D$6:$N$50,2,FALSE),0)</f>
        <v>0</v>
      </c>
      <c r="W100" s="20">
        <f>IFERROR(VLOOKUP($B100,PerutHafrashotLePolisa!$D$6:$N$50,4,FALSE),0)</f>
        <v>0</v>
      </c>
      <c r="X100" s="20">
        <f>IFERROR(VLOOKUP($B100,PerutHafrashotLePolisa!$D$6:$N$50,3,FALSE),0)</f>
        <v>0</v>
      </c>
      <c r="Y100">
        <f t="shared" si="96"/>
        <v>0</v>
      </c>
      <c r="Z100">
        <f>RicusPolice!AP97</f>
        <v>0</v>
      </c>
      <c r="AA100">
        <f>IFERROR(VLOOKUP(B100,PirteiHaasaka!$D$6:$R$100,5,FALSE),0)</f>
        <v>0</v>
      </c>
      <c r="AC100">
        <f>IFERROR(VLOOKUP(B100,HafkadotMetchilatShanaAverages!$D$6:$E$100,2,FALSE),0)</f>
        <v>0</v>
      </c>
      <c r="AF100">
        <f>'נתונים ידניים'!L101</f>
        <v>0</v>
      </c>
      <c r="AG100">
        <f>IFERROR(VLOOKUP(B100,CrossTabYitraLeTkufa_till_2000!$D$6:$AB$100,6,FALSE),0)+IFERROR(VLOOKUP(B100,CrossTabYitraLeTkufa_after_2000!$D$6:$AB$100,6,FALSE),0)</f>
        <v>0</v>
      </c>
      <c r="AH100">
        <f>IFERROR(VLOOKUP(B100,CrossTabYitraLeTkufa_till_2000!$D$6:$AB$100,16,FALSE),0)</f>
        <v>0</v>
      </c>
      <c r="AI100">
        <f>IFERROR(VLOOKUP(B100,CrossTabYitraLeTkufa_after_2000!$D$6:$AB$100,16,FALSE),0)</f>
        <v>0</v>
      </c>
      <c r="AJ100">
        <f>IFERROR(VLOOKUP(B100,CrossTabYitraLeTkufa_till_2000!$D$6:$AB$100,17,FALSE),0)</f>
        <v>0</v>
      </c>
      <c r="AK100">
        <f>IFERROR(VLOOKUP(B100,CrossTabYitraLeTkufa_after_2000!$D$6:$AB$100,17,FALSE),0)</f>
        <v>0</v>
      </c>
      <c r="AL100" s="5">
        <f t="shared" si="97"/>
        <v>0</v>
      </c>
      <c r="AO100">
        <f>IFERROR(VLOOKUP(B100,PirteiKisuiBeMutzar_procerur!$C$6:$AA$100,2,FALSE),0)</f>
        <v>0</v>
      </c>
      <c r="AQ100">
        <f>IFERROR(VLOOKUP($B100,PirteiKisuiBeMutzar_procerur!$C$6:$AA$100,5,FALSE),0)</f>
        <v>0</v>
      </c>
      <c r="AR100">
        <f>IFERROR(VLOOKUP($B100,PirteiKisuiBeMutzar_procerur!$C$6:$AA$100,3,FALSE),0)</f>
        <v>0</v>
      </c>
      <c r="AS100">
        <f>IFERROR(VLOOKUP($B100,PirteiKisuiBeMutzar_procerur!$C$6:$AA$100,6,FALSE),0)</f>
        <v>0</v>
      </c>
      <c r="AT100">
        <f>IFERROR(VLOOKUP($B100,PirteiKisuiBeMutzar_procerur!$C$6:$AA$100,7,FALSE),0)</f>
        <v>0</v>
      </c>
      <c r="AX100" s="997">
        <f t="shared" si="98"/>
        <v>0</v>
      </c>
      <c r="AY100" s="997">
        <f t="shared" si="99"/>
        <v>0</v>
      </c>
      <c r="AZ100" s="997">
        <f t="shared" si="100"/>
        <v>0</v>
      </c>
      <c r="BA100" s="997">
        <f>IFERROR(FV(S100/100/12,'נתוני יסוד'!$B$16*12,AX100,AG100)*(-1),0)</f>
        <v>0</v>
      </c>
      <c r="BB100" s="997">
        <f>IFERROR(FV(S100/100/12,'נתוני יסוד'!$B$16*12,0,AH100)*(-1),0)</f>
        <v>0</v>
      </c>
      <c r="BC100" s="997">
        <f>IFERROR(FV(S100/100/12,'נתוני יסוד'!$B$16*12,AY100,AI100)*(-1),0)</f>
        <v>0</v>
      </c>
      <c r="BD100" s="997">
        <f>IFERROR(FV(S100/100/12,'נתוני יסוד'!$B$16*12,0,AJ100)*(-1),0)</f>
        <v>0</v>
      </c>
      <c r="BE100" s="997">
        <f>IFERROR(FV(S100/100/12,'נתוני יסוד'!$B$16*12,AZ100,AK100)*(-1),0)</f>
        <v>0</v>
      </c>
      <c r="BF100" s="997">
        <f t="shared" si="101"/>
        <v>0</v>
      </c>
      <c r="BG100" s="997">
        <f>IFERROR(FV(S100/100/12,'נתוני יסוד'!$B$16*12,AF100,AL100)*(-1),0)</f>
        <v>0</v>
      </c>
      <c r="BH100" s="997">
        <f t="shared" si="102"/>
        <v>0</v>
      </c>
      <c r="BI100" s="997">
        <f t="shared" si="103"/>
        <v>0</v>
      </c>
      <c r="BJ100" s="997">
        <f t="shared" si="104"/>
        <v>0</v>
      </c>
      <c r="BK100" s="997">
        <f t="shared" si="105"/>
        <v>0</v>
      </c>
      <c r="BL100" s="997">
        <f t="shared" si="68"/>
        <v>0</v>
      </c>
      <c r="BM100" s="997">
        <f t="shared" si="69"/>
        <v>0</v>
      </c>
      <c r="BN100" s="997">
        <f t="shared" si="70"/>
        <v>0</v>
      </c>
      <c r="BO100" s="997">
        <f t="shared" si="106"/>
        <v>0</v>
      </c>
      <c r="BP100" s="997">
        <f t="shared" si="71"/>
        <v>0</v>
      </c>
      <c r="BS100">
        <f t="shared" si="72"/>
        <v>0</v>
      </c>
      <c r="BT100">
        <f t="shared" si="73"/>
        <v>0</v>
      </c>
      <c r="BU100">
        <f t="shared" si="74"/>
        <v>0</v>
      </c>
      <c r="BV100">
        <f t="shared" si="107"/>
        <v>0</v>
      </c>
      <c r="BW100">
        <f t="shared" si="75"/>
        <v>0</v>
      </c>
      <c r="BY100" s="997">
        <f t="shared" si="76"/>
        <v>0</v>
      </c>
      <c r="BZ100" s="997">
        <f t="shared" si="77"/>
        <v>0</v>
      </c>
      <c r="CA100" s="997">
        <f t="shared" si="78"/>
        <v>0</v>
      </c>
      <c r="CB100" s="997">
        <f t="shared" si="108"/>
        <v>0</v>
      </c>
      <c r="CC100" s="997">
        <f t="shared" si="79"/>
        <v>0</v>
      </c>
      <c r="CD100" s="997">
        <f t="shared" si="80"/>
        <v>0</v>
      </c>
      <c r="CE100" s="997">
        <f t="shared" si="81"/>
        <v>0</v>
      </c>
      <c r="CF100" s="997">
        <f t="shared" si="82"/>
        <v>0</v>
      </c>
      <c r="CG100" s="997">
        <f t="shared" si="83"/>
        <v>0</v>
      </c>
      <c r="CH100" s="997">
        <f t="shared" si="84"/>
        <v>0</v>
      </c>
      <c r="CI100" s="997">
        <f t="shared" si="85"/>
        <v>0</v>
      </c>
      <c r="CJ100" s="997">
        <f t="shared" si="86"/>
        <v>0</v>
      </c>
      <c r="CK100" s="997"/>
      <c r="CL100" s="997"/>
      <c r="CM100" s="997">
        <f t="shared" si="87"/>
        <v>0</v>
      </c>
      <c r="CN100" s="997">
        <f t="shared" si="88"/>
        <v>0</v>
      </c>
      <c r="CO100" s="997">
        <f t="shared" si="89"/>
        <v>0</v>
      </c>
      <c r="CP100" s="997">
        <f t="shared" si="109"/>
        <v>0</v>
      </c>
      <c r="CQ100" s="997">
        <f t="shared" si="90"/>
        <v>0</v>
      </c>
      <c r="CR100" s="997">
        <f>IFERROR(VLOOKUP($B100,SchumeiBituahYesodi!$C$6:$AA$100,8,FALSE),0)</f>
        <v>0</v>
      </c>
      <c r="CS100" s="997">
        <f>IFERROR(VLOOKUP($B100,PirteiKisuiBeMutzar_procerur!$C$6:$AA$100,2,FALSE),0)</f>
        <v>0</v>
      </c>
      <c r="CT100" s="997">
        <f>IFERROR(VLOOKUP($B100,PirteiKisuiBeMutzar_procerur!$C$6:$AA$100,3,FALSE),0)</f>
        <v>0</v>
      </c>
      <c r="CU100" s="997">
        <f>IFERROR(VLOOKUP($B100,PirteiKisuiBeMutzar_procerur!$C$6:$AA$100,4,FALSE),0)</f>
        <v>0</v>
      </c>
      <c r="CV100" s="997">
        <f>IFERROR(VLOOKUP($B100,PirteiKisuiBeMutzar_procerur!$C$6:$AA$100,5,FALSE),0)</f>
        <v>0</v>
      </c>
      <c r="CW100" s="997">
        <f>IFERROR(VLOOKUP($B100,PirteiKisuiBeMutzar_procerur!$C$6:$AA$100,6,FALSE),0)</f>
        <v>0</v>
      </c>
      <c r="CX100" s="997">
        <f>IFERROR(VLOOKUP($B100,PirteiKisuiBeMutzar_procerur!$C$6:$AA$100,7,FALSE),0)</f>
        <v>0</v>
      </c>
      <c r="CY100" s="997">
        <f>IFERROR(VLOOKUP($B100,PirteiKisuiBeMutzar_procerur!$C$6:$AA$100,8,FALSE),0)</f>
        <v>0</v>
      </c>
      <c r="CZ100" s="997">
        <f>IFERROR(VLOOKUP($B100,PirteiKisuiBeMutzar_procerur!$C$6:$AA$100,9,FALSE),0)</f>
        <v>0</v>
      </c>
      <c r="DA100" s="997">
        <f>IFERROR(VLOOKUP($B100,PirteiKisuiBeMutzar_procerur!$C$6:$AA$100,10,FALSE),0)</f>
        <v>0</v>
      </c>
      <c r="DB100" s="997">
        <f>IFERROR(VLOOKUP($B100,PirteiKisuiBeMutzar_procerur!$C$6:$AA$100,11,FALSE),0)</f>
        <v>0</v>
      </c>
      <c r="DC100" s="997">
        <f>IFERROR(VLOOKUP($B100,PirteiKisuiBeMutzarPrmia!$C$6:$Z$100,2,FALSE),0)</f>
        <v>0</v>
      </c>
      <c r="DD100" s="997">
        <f>IFERROR(VLOOKUP($B100,PirteiKisuiBeMutzarPrmia!$C$6:$Z$100,3,FALSE),0)</f>
        <v>0</v>
      </c>
      <c r="DE100" s="997">
        <f>IFERROR(VLOOKUP($B100,PirteiKisuiBeMutzarPrmia!$C$6:$Z$100,4,FALSE),0)</f>
        <v>0</v>
      </c>
      <c r="DF100" s="997">
        <f>IFERROR(VLOOKUP($B100,PirteiKisuiBeMutzarPrmia!$C$6:$Z$100,5,FALSE),0)</f>
        <v>0</v>
      </c>
      <c r="DG100" s="997">
        <f>IFERROR(VLOOKUP($B100,PirteiKisuiBeMutzarPrmia!$C$6:$Z$100,6,FALSE),0)</f>
        <v>0</v>
      </c>
      <c r="DH100" s="997">
        <f>IFERROR(VLOOKUP($B100,PirteiKisuiBeMutzarPrmia!$C$6:$Z$100,7,FALSE),0)</f>
        <v>0</v>
      </c>
      <c r="DI100" s="997">
        <f>IFERROR(VLOOKUP($B100,PirteiKisuiBeMutzarPrmia!$C$6:$Z$100,8,FALSE),0)</f>
        <v>0</v>
      </c>
      <c r="DJ100" s="997">
        <f>IFERROR(VLOOKUP($B100,PirteiKisuiBeMutzarPrmia!$C$6:$Z$100,9,FALSE),0)</f>
        <v>0</v>
      </c>
      <c r="DK100" s="997">
        <f>IFERROR(VLOOKUP($B100,PirteiKisuiBeMutzarPrmia!$C$6:$Z$100,10,FALSE),0)</f>
        <v>0</v>
      </c>
      <c r="DL100" s="997">
        <f>IFERROR(VLOOKUP($B100,PirteiKisuiBeMutzarPrmia!$C$6:$Z$100,11,FALSE),0)</f>
        <v>0</v>
      </c>
      <c r="DM100" s="997">
        <f t="shared" si="110"/>
        <v>0</v>
      </c>
      <c r="DN100" s="997">
        <f t="shared" si="91"/>
        <v>0</v>
      </c>
      <c r="DO100" s="997">
        <f t="shared" si="92"/>
        <v>0</v>
      </c>
      <c r="DP100" s="997">
        <f t="shared" si="113"/>
        <v>0</v>
      </c>
      <c r="DQ100" s="997">
        <f t="shared" si="93"/>
        <v>0</v>
      </c>
      <c r="DR100" s="997">
        <f>IF(OR(L100=1,L100=3),IFERROR(VLOOKUP($B100,PerutHafkadotMetchilatShanaAvgM!$C$6:$G$100,3,FALSE),0),0)</f>
        <v>0</v>
      </c>
      <c r="DS100" s="997">
        <f>IF(OR(L100=2,L100=4),IFERROR(VLOOKUP($B100,PerutHafkadotMetchilatShanaAvgM!$C$6:$G$100,3,FALSE),0),0)</f>
        <v>0</v>
      </c>
      <c r="DT100" s="997">
        <f>IFERROR(VLOOKUP($B100,PerutHafkadotMetchilatShanaAvgM!$C$6:$G$100,4,FALSE),0)</f>
        <v>0</v>
      </c>
      <c r="DU100" s="997">
        <f>IFERROR(VLOOKUP($B100,Kupa!$D$6:$AA$100,5,FALSE),0)</f>
        <v>0</v>
      </c>
      <c r="DV100" s="997">
        <f>IFERROR(VLOOKUP($B100,Kupa!$D$6:$AA$100,6,FALSE),0)</f>
        <v>0</v>
      </c>
      <c r="DW100" s="997">
        <f>IFERROR(VLOOKUP($B100,KisuiBKerenPensiaDBWithParams!$D$6:$AP$100,9,FALSE),0)</f>
        <v>0</v>
      </c>
      <c r="DX100" s="997">
        <f>IFERROR(VLOOKUP($B100,KisuiBKerenPensiaDBWithParams!$D$6:$AP$100,12,FALSE),0)</f>
        <v>0</v>
      </c>
      <c r="DY100" s="997">
        <f>IFERROR(VLOOKUP($B100,KisuiBKerenPensiaDBWithParams!$D$6:$AP$100,13,FALSE),0)</f>
        <v>0</v>
      </c>
      <c r="DZ100" s="997">
        <f>IFERROR(VLOOKUP($B100,KisuiBKerenPensiaDBWithParams!$D$6:$AP$100,7,FALSE),0)</f>
        <v>0</v>
      </c>
      <c r="EA100" s="997">
        <f>IFERROR(VLOOKUP($B100,KisuiBKerenPensiaDBWithParams!$D$6:$AP$100,17,FALSE),0)</f>
        <v>0</v>
      </c>
      <c r="EB100" s="997">
        <f>IFERROR(VLOOKUP($B100,KisuiBKerenPensiaDBWithParams!$D$6:$AP$100,20,FALSE),0)</f>
        <v>0</v>
      </c>
      <c r="EC100" s="997">
        <f>IFERROR(VLOOKUP($B100,KisuiBKerenPensiaDBWithParams!$D$6:$AP$100,21,FALSE),0)</f>
        <v>0</v>
      </c>
      <c r="ED100" s="997">
        <f t="shared" si="111"/>
        <v>0</v>
      </c>
      <c r="EE100" s="997"/>
      <c r="EF100" s="1020">
        <f>IFERROR(VLOOKUP($B100,KisuiBKerenPensiaDBWithParams!$D$6:$AP$100,21,FALSE),0)</f>
        <v>0</v>
      </c>
      <c r="EG100" s="1020">
        <f>IFERROR(VLOOKUP($B100,KisuiBKerenPensiaDBWithParams!$D$6:$AP$100,21,FALSE),0)</f>
        <v>0</v>
      </c>
      <c r="EH100">
        <f>IF(OR(G100=MyData!$J$51,G100=MyData!$J$52,G100=MyData!$J$53),1,IF(G100=MyData!$J$50,2,0))</f>
        <v>0</v>
      </c>
    </row>
    <row r="101" spans="1:138" x14ac:dyDescent="0.2">
      <c r="A101">
        <f t="shared" si="112"/>
        <v>0</v>
      </c>
      <c r="B101" s="20">
        <f>RicusPolice!E98</f>
        <v>0</v>
      </c>
      <c r="C101" s="20">
        <f>RicusPolice!AL98</f>
        <v>0</v>
      </c>
      <c r="D101" s="20">
        <f>RicusPolice!F98</f>
        <v>0</v>
      </c>
      <c r="E101" s="20">
        <f>RicusPolice!R98</f>
        <v>0</v>
      </c>
      <c r="F101" s="20">
        <f>RicusPolice!N98</f>
        <v>0</v>
      </c>
      <c r="G101" s="20">
        <f>IFERROR(VLOOKUP($B101,PerutYitrot!$D$6:$P$100,4,FALSE),0)</f>
        <v>0</v>
      </c>
      <c r="H101" s="20">
        <f t="shared" si="94"/>
        <v>0</v>
      </c>
      <c r="I101" s="20">
        <f>RicusPolice!L98</f>
        <v>0</v>
      </c>
      <c r="J101" s="179">
        <f>IFERROR(VLOOKUP(TRIM(K101),MyData!$J$44:$K$50,2,FALSE),0)</f>
        <v>0</v>
      </c>
      <c r="K101" s="20">
        <f>RicusPolice!M98</f>
        <v>0</v>
      </c>
      <c r="L101" s="20">
        <f>RicusPolice!AM98</f>
        <v>0</v>
      </c>
      <c r="M101" s="20" t="str">
        <f>IF(B101&gt;0,RicusPolice!Y98," ")</f>
        <v xml:space="preserve"> </v>
      </c>
      <c r="N101" s="20" t="str">
        <f t="shared" si="95"/>
        <v/>
      </c>
      <c r="O101" s="20">
        <f>RicusPolice!N98</f>
        <v>0</v>
      </c>
      <c r="P101" s="20">
        <f>IFERROR(VLOOKUP(B101,PerutMasluleiHashkaa!$D$6:$R$100,4,FALSE),0)</f>
        <v>0</v>
      </c>
      <c r="Q101" s="19"/>
      <c r="R101" s="1011" t="str">
        <f>IF(B101&gt;0,RicusPolice!P100," ")</f>
        <v xml:space="preserve"> </v>
      </c>
      <c r="S101" s="20">
        <f>IFERROR(VLOOKUP($B101,'נתונים ידניים'!$B$9:$G$51,6,FALSE),0)</f>
        <v>0</v>
      </c>
      <c r="T101" s="21">
        <f>'נתונים ידניים'!J102</f>
        <v>0</v>
      </c>
      <c r="U101" s="21">
        <f>'נתונים ידניים'!K102</f>
        <v>0</v>
      </c>
      <c r="V101" s="20">
        <f>IFERROR(VLOOKUP($B101,PerutHafrashotLePolisa!$D$6:$N$50,2,FALSE),0)</f>
        <v>0</v>
      </c>
      <c r="W101" s="20">
        <f>IFERROR(VLOOKUP($B101,PerutHafrashotLePolisa!$D$6:$N$50,4,FALSE),0)</f>
        <v>0</v>
      </c>
      <c r="X101" s="20">
        <f>IFERROR(VLOOKUP($B101,PerutHafrashotLePolisa!$D$6:$N$50,3,FALSE),0)</f>
        <v>0</v>
      </c>
      <c r="Y101">
        <f t="shared" si="96"/>
        <v>0</v>
      </c>
      <c r="Z101">
        <f>RicusPolice!AP98</f>
        <v>0</v>
      </c>
      <c r="AA101">
        <f>IFERROR(VLOOKUP(B101,PirteiHaasaka!$D$6:$R$100,5,FALSE),0)</f>
        <v>0</v>
      </c>
      <c r="AC101">
        <f>IFERROR(VLOOKUP(B101,HafkadotMetchilatShanaAverages!$D$6:$E$100,2,FALSE),0)</f>
        <v>0</v>
      </c>
      <c r="AF101">
        <f>'נתונים ידניים'!L102</f>
        <v>0</v>
      </c>
      <c r="AG101">
        <f>IFERROR(VLOOKUP(B101,CrossTabYitraLeTkufa_till_2000!$D$6:$AB$100,6,FALSE),0)+IFERROR(VLOOKUP(B101,CrossTabYitraLeTkufa_after_2000!$D$6:$AB$100,6,FALSE),0)</f>
        <v>0</v>
      </c>
      <c r="AH101">
        <f>IFERROR(VLOOKUP(B101,CrossTabYitraLeTkufa_till_2000!$D$6:$AB$100,16,FALSE),0)</f>
        <v>0</v>
      </c>
      <c r="AI101">
        <f>IFERROR(VLOOKUP(B101,CrossTabYitraLeTkufa_after_2000!$D$6:$AB$100,16,FALSE),0)</f>
        <v>0</v>
      </c>
      <c r="AJ101">
        <f>IFERROR(VLOOKUP(B101,CrossTabYitraLeTkufa_till_2000!$D$6:$AB$100,17,FALSE),0)</f>
        <v>0</v>
      </c>
      <c r="AK101">
        <f>IFERROR(VLOOKUP(B101,CrossTabYitraLeTkufa_after_2000!$D$6:$AB$100,17,FALSE),0)</f>
        <v>0</v>
      </c>
      <c r="AL101" s="5">
        <f t="shared" si="97"/>
        <v>0</v>
      </c>
      <c r="AO101">
        <f>IFERROR(VLOOKUP(B101,PirteiKisuiBeMutzar_procerur!$C$6:$AA$100,2,FALSE),0)</f>
        <v>0</v>
      </c>
      <c r="AQ101">
        <f>IFERROR(VLOOKUP($B101,PirteiKisuiBeMutzar_procerur!$C$6:$AA$100,5,FALSE),0)</f>
        <v>0</v>
      </c>
      <c r="AR101">
        <f>IFERROR(VLOOKUP($B101,PirteiKisuiBeMutzar_procerur!$C$6:$AA$100,3,FALSE),0)</f>
        <v>0</v>
      </c>
      <c r="AS101">
        <f>IFERROR(VLOOKUP($B101,PirteiKisuiBeMutzar_procerur!$C$6:$AA$100,6,FALSE),0)</f>
        <v>0</v>
      </c>
      <c r="AT101">
        <f>IFERROR(VLOOKUP($B101,PirteiKisuiBeMutzar_procerur!$C$6:$AA$100,7,FALSE),0)</f>
        <v>0</v>
      </c>
      <c r="AX101" s="997">
        <f t="shared" si="98"/>
        <v>0</v>
      </c>
      <c r="AY101" s="997">
        <f t="shared" si="99"/>
        <v>0</v>
      </c>
      <c r="AZ101" s="997">
        <f t="shared" si="100"/>
        <v>0</v>
      </c>
      <c r="BA101" s="997">
        <f>IFERROR(FV(S101/100/12,'נתוני יסוד'!$B$16*12,AX101,AG101)*(-1),0)</f>
        <v>0</v>
      </c>
      <c r="BB101" s="997">
        <f>IFERROR(FV(S101/100/12,'נתוני יסוד'!$B$16*12,0,AH101)*(-1),0)</f>
        <v>0</v>
      </c>
      <c r="BC101" s="997">
        <f>IFERROR(FV(S101/100/12,'נתוני יסוד'!$B$16*12,AY101,AI101)*(-1),0)</f>
        <v>0</v>
      </c>
      <c r="BD101" s="997">
        <f>IFERROR(FV(S101/100/12,'נתוני יסוד'!$B$16*12,0,AJ101)*(-1),0)</f>
        <v>0</v>
      </c>
      <c r="BE101" s="997">
        <f>IFERROR(FV(S101/100/12,'נתוני יסוד'!$B$16*12,AZ101,AK101)*(-1),0)</f>
        <v>0</v>
      </c>
      <c r="BF101" s="997">
        <f t="shared" si="101"/>
        <v>0</v>
      </c>
      <c r="BG101" s="997">
        <f>IFERROR(FV(S101/100/12,'נתוני יסוד'!$B$16*12,AF101,AL101)*(-1),0)</f>
        <v>0</v>
      </c>
      <c r="BH101" s="997">
        <f t="shared" si="102"/>
        <v>0</v>
      </c>
      <c r="BI101" s="997">
        <f t="shared" si="103"/>
        <v>0</v>
      </c>
      <c r="BJ101" s="997">
        <f t="shared" si="104"/>
        <v>0</v>
      </c>
      <c r="BK101" s="997">
        <f t="shared" si="105"/>
        <v>0</v>
      </c>
      <c r="BL101" s="997">
        <f t="shared" si="68"/>
        <v>0</v>
      </c>
      <c r="BM101" s="997">
        <f t="shared" si="69"/>
        <v>0</v>
      </c>
      <c r="BN101" s="997">
        <f t="shared" si="70"/>
        <v>0</v>
      </c>
      <c r="BO101" s="997">
        <f t="shared" si="106"/>
        <v>0</v>
      </c>
      <c r="BP101" s="997">
        <f t="shared" si="71"/>
        <v>0</v>
      </c>
      <c r="BS101">
        <f t="shared" si="72"/>
        <v>0</v>
      </c>
      <c r="BT101">
        <f t="shared" si="73"/>
        <v>0</v>
      </c>
      <c r="BU101">
        <f t="shared" si="74"/>
        <v>0</v>
      </c>
      <c r="BV101">
        <f t="shared" si="107"/>
        <v>0</v>
      </c>
      <c r="BW101">
        <f t="shared" si="75"/>
        <v>0</v>
      </c>
      <c r="BY101" s="997">
        <f t="shared" si="76"/>
        <v>0</v>
      </c>
      <c r="BZ101" s="997">
        <f t="shared" si="77"/>
        <v>0</v>
      </c>
      <c r="CA101" s="997">
        <f t="shared" si="78"/>
        <v>0</v>
      </c>
      <c r="CB101" s="997">
        <f t="shared" si="108"/>
        <v>0</v>
      </c>
      <c r="CC101" s="997">
        <f t="shared" si="79"/>
        <v>0</v>
      </c>
      <c r="CD101" s="997">
        <f t="shared" si="80"/>
        <v>0</v>
      </c>
      <c r="CE101" s="997">
        <f t="shared" si="81"/>
        <v>0</v>
      </c>
      <c r="CF101" s="997">
        <f t="shared" si="82"/>
        <v>0</v>
      </c>
      <c r="CG101" s="997">
        <f t="shared" si="83"/>
        <v>0</v>
      </c>
      <c r="CH101" s="997">
        <f t="shared" si="84"/>
        <v>0</v>
      </c>
      <c r="CI101" s="997">
        <f t="shared" si="85"/>
        <v>0</v>
      </c>
      <c r="CJ101" s="997">
        <f t="shared" si="86"/>
        <v>0</v>
      </c>
      <c r="CK101" s="997"/>
      <c r="CL101" s="997"/>
      <c r="CM101" s="997">
        <f t="shared" si="87"/>
        <v>0</v>
      </c>
      <c r="CN101" s="997">
        <f t="shared" si="88"/>
        <v>0</v>
      </c>
      <c r="CO101" s="997">
        <f t="shared" si="89"/>
        <v>0</v>
      </c>
      <c r="CP101" s="997">
        <f t="shared" si="109"/>
        <v>0</v>
      </c>
      <c r="CQ101" s="997">
        <f t="shared" si="90"/>
        <v>0</v>
      </c>
      <c r="CR101" s="997">
        <f>IFERROR(VLOOKUP($B101,SchumeiBituahYesodi!$C$6:$AA$100,8,FALSE),0)</f>
        <v>0</v>
      </c>
      <c r="CS101" s="997">
        <f>IFERROR(VLOOKUP($B101,PirteiKisuiBeMutzar_procerur!$C$6:$AA$100,2,FALSE),0)</f>
        <v>0</v>
      </c>
      <c r="CT101" s="997">
        <f>IFERROR(VLOOKUP($B101,PirteiKisuiBeMutzar_procerur!$C$6:$AA$100,3,FALSE),0)</f>
        <v>0</v>
      </c>
      <c r="CU101" s="997">
        <f>IFERROR(VLOOKUP($B101,PirteiKisuiBeMutzar_procerur!$C$6:$AA$100,4,FALSE),0)</f>
        <v>0</v>
      </c>
      <c r="CV101" s="997">
        <f>IFERROR(VLOOKUP($B101,PirteiKisuiBeMutzar_procerur!$C$6:$AA$100,5,FALSE),0)</f>
        <v>0</v>
      </c>
      <c r="CW101" s="997">
        <f>IFERROR(VLOOKUP($B101,PirteiKisuiBeMutzar_procerur!$C$6:$AA$100,6,FALSE),0)</f>
        <v>0</v>
      </c>
      <c r="CX101" s="997">
        <f>IFERROR(VLOOKUP($B101,PirteiKisuiBeMutzar_procerur!$C$6:$AA$100,7,FALSE),0)</f>
        <v>0</v>
      </c>
      <c r="CY101" s="997">
        <f>IFERROR(VLOOKUP($B101,PirteiKisuiBeMutzar_procerur!$C$6:$AA$100,8,FALSE),0)</f>
        <v>0</v>
      </c>
      <c r="CZ101" s="997">
        <f>IFERROR(VLOOKUP($B101,PirteiKisuiBeMutzar_procerur!$C$6:$AA$100,9,FALSE),0)</f>
        <v>0</v>
      </c>
      <c r="DA101" s="997">
        <f>IFERROR(VLOOKUP($B101,PirteiKisuiBeMutzar_procerur!$C$6:$AA$100,10,FALSE),0)</f>
        <v>0</v>
      </c>
      <c r="DB101" s="997">
        <f>IFERROR(VLOOKUP($B101,PirteiKisuiBeMutzar_procerur!$C$6:$AA$100,11,FALSE),0)</f>
        <v>0</v>
      </c>
      <c r="DC101" s="997">
        <f>IFERROR(VLOOKUP($B101,PirteiKisuiBeMutzarPrmia!$C$6:$Z$100,2,FALSE),0)</f>
        <v>0</v>
      </c>
      <c r="DD101" s="997">
        <f>IFERROR(VLOOKUP($B101,PirteiKisuiBeMutzarPrmia!$C$6:$Z$100,3,FALSE),0)</f>
        <v>0</v>
      </c>
      <c r="DE101" s="997">
        <f>IFERROR(VLOOKUP($B101,PirteiKisuiBeMutzarPrmia!$C$6:$Z$100,4,FALSE),0)</f>
        <v>0</v>
      </c>
      <c r="DF101" s="997">
        <f>IFERROR(VLOOKUP($B101,PirteiKisuiBeMutzarPrmia!$C$6:$Z$100,5,FALSE),0)</f>
        <v>0</v>
      </c>
      <c r="DG101" s="997">
        <f>IFERROR(VLOOKUP($B101,PirteiKisuiBeMutzarPrmia!$C$6:$Z$100,6,FALSE),0)</f>
        <v>0</v>
      </c>
      <c r="DH101" s="997">
        <f>IFERROR(VLOOKUP($B101,PirteiKisuiBeMutzarPrmia!$C$6:$Z$100,7,FALSE),0)</f>
        <v>0</v>
      </c>
      <c r="DI101" s="997">
        <f>IFERROR(VLOOKUP($B101,PirteiKisuiBeMutzarPrmia!$C$6:$Z$100,8,FALSE),0)</f>
        <v>0</v>
      </c>
      <c r="DJ101" s="997">
        <f>IFERROR(VLOOKUP($B101,PirteiKisuiBeMutzarPrmia!$C$6:$Z$100,9,FALSE),0)</f>
        <v>0</v>
      </c>
      <c r="DK101" s="997">
        <f>IFERROR(VLOOKUP($B101,PirteiKisuiBeMutzarPrmia!$C$6:$Z$100,10,FALSE),0)</f>
        <v>0</v>
      </c>
      <c r="DL101" s="997">
        <f>IFERROR(VLOOKUP($B101,PirteiKisuiBeMutzarPrmia!$C$6:$Z$100,11,FALSE),0)</f>
        <v>0</v>
      </c>
      <c r="DM101" s="997">
        <f t="shared" si="110"/>
        <v>0</v>
      </c>
      <c r="DN101" s="997">
        <f t="shared" si="91"/>
        <v>0</v>
      </c>
      <c r="DO101" s="997">
        <f t="shared" si="92"/>
        <v>0</v>
      </c>
      <c r="DP101" s="997">
        <f t="shared" si="113"/>
        <v>0</v>
      </c>
      <c r="DQ101" s="997">
        <f t="shared" si="93"/>
        <v>0</v>
      </c>
      <c r="DR101" s="997">
        <f>IF(OR(L101=1,L101=3),IFERROR(VLOOKUP($B101,PerutHafkadotMetchilatShanaAvgM!$C$6:$G$100,3,FALSE),0),0)</f>
        <v>0</v>
      </c>
      <c r="DS101" s="997">
        <f>IF(OR(L101=2,L101=4),IFERROR(VLOOKUP($B101,PerutHafkadotMetchilatShanaAvgM!$C$6:$G$100,3,FALSE),0),0)</f>
        <v>0</v>
      </c>
      <c r="DT101" s="997">
        <f>IFERROR(VLOOKUP($B101,PerutHafkadotMetchilatShanaAvgM!$C$6:$G$100,4,FALSE),0)</f>
        <v>0</v>
      </c>
      <c r="DU101" s="997">
        <f>IFERROR(VLOOKUP($B101,Kupa!$D$6:$AA$100,5,FALSE),0)</f>
        <v>0</v>
      </c>
      <c r="DV101" s="997">
        <f>IFERROR(VLOOKUP($B101,Kupa!$D$6:$AA$100,6,FALSE),0)</f>
        <v>0</v>
      </c>
      <c r="DW101" s="997">
        <f>IFERROR(VLOOKUP($B101,KisuiBKerenPensiaDBWithParams!$D$6:$AP$100,9,FALSE),0)</f>
        <v>0</v>
      </c>
      <c r="DX101" s="997">
        <f>IFERROR(VLOOKUP($B101,KisuiBKerenPensiaDBWithParams!$D$6:$AP$100,12,FALSE),0)</f>
        <v>0</v>
      </c>
      <c r="DY101" s="997">
        <f>IFERROR(VLOOKUP($B101,KisuiBKerenPensiaDBWithParams!$D$6:$AP$100,13,FALSE),0)</f>
        <v>0</v>
      </c>
      <c r="DZ101" s="997">
        <f>IFERROR(VLOOKUP($B101,KisuiBKerenPensiaDBWithParams!$D$6:$AP$100,7,FALSE),0)</f>
        <v>0</v>
      </c>
      <c r="EA101" s="997">
        <f>IFERROR(VLOOKUP($B101,KisuiBKerenPensiaDBWithParams!$D$6:$AP$100,17,FALSE),0)</f>
        <v>0</v>
      </c>
      <c r="EB101" s="997">
        <f>IFERROR(VLOOKUP($B101,KisuiBKerenPensiaDBWithParams!$D$6:$AP$100,20,FALSE),0)</f>
        <v>0</v>
      </c>
      <c r="EC101" s="997">
        <f>IFERROR(VLOOKUP($B101,KisuiBKerenPensiaDBWithParams!$D$6:$AP$100,21,FALSE),0)</f>
        <v>0</v>
      </c>
      <c r="ED101" s="997">
        <f t="shared" si="111"/>
        <v>0</v>
      </c>
      <c r="EE101" s="997"/>
      <c r="EF101" s="1020">
        <f>IFERROR(VLOOKUP($B101,KisuiBKerenPensiaDBWithParams!$D$6:$AP$100,21,FALSE),0)</f>
        <v>0</v>
      </c>
      <c r="EG101" s="1020">
        <f>IFERROR(VLOOKUP($B101,KisuiBKerenPensiaDBWithParams!$D$6:$AP$100,21,FALSE),0)</f>
        <v>0</v>
      </c>
      <c r="EH101">
        <f>IF(OR(G101=MyData!$J$51,G101=MyData!$J$52,G101=MyData!$J$53),1,IF(G101=MyData!$J$50,2,0))</f>
        <v>0</v>
      </c>
    </row>
    <row r="102" spans="1:138" x14ac:dyDescent="0.2">
      <c r="A102">
        <f t="shared" si="112"/>
        <v>0</v>
      </c>
      <c r="B102" s="20">
        <f>RicusPolice!E99</f>
        <v>0</v>
      </c>
      <c r="C102" s="20">
        <f>RicusPolice!AL99</f>
        <v>0</v>
      </c>
      <c r="D102" s="20">
        <f>RicusPolice!F99</f>
        <v>0</v>
      </c>
      <c r="E102" s="20">
        <f>RicusPolice!R99</f>
        <v>0</v>
      </c>
      <c r="F102" s="20">
        <f>RicusPolice!N99</f>
        <v>0</v>
      </c>
      <c r="G102" s="20">
        <f>IFERROR(VLOOKUP($B102,PerutYitrot!$D$6:$P$100,4,FALSE),0)</f>
        <v>0</v>
      </c>
      <c r="H102" s="20">
        <f t="shared" si="94"/>
        <v>0</v>
      </c>
      <c r="I102" s="20">
        <f>RicusPolice!L99</f>
        <v>0</v>
      </c>
      <c r="J102" s="179">
        <f>IFERROR(VLOOKUP(TRIM(K102),MyData!$J$44:$K$50,2,FALSE),0)</f>
        <v>0</v>
      </c>
      <c r="K102" s="20">
        <f>RicusPolice!M99</f>
        <v>0</v>
      </c>
      <c r="L102" s="20">
        <f>RicusPolice!AM99</f>
        <v>0</v>
      </c>
      <c r="M102" s="20" t="str">
        <f>IF(B102&gt;0,RicusPolice!Y99," ")</f>
        <v xml:space="preserve"> </v>
      </c>
      <c r="N102" s="20" t="str">
        <f t="shared" si="95"/>
        <v/>
      </c>
      <c r="O102" s="20">
        <f>RicusPolice!N99</f>
        <v>0</v>
      </c>
      <c r="P102" s="20">
        <f>IFERROR(VLOOKUP(B102,PerutMasluleiHashkaa!$D$6:$R$100,4,FALSE),0)</f>
        <v>0</v>
      </c>
      <c r="Q102" s="19"/>
      <c r="R102" s="1011" t="str">
        <f>IF(B102&gt;0,RicusPolice!P101," ")</f>
        <v xml:space="preserve"> </v>
      </c>
      <c r="S102" s="20">
        <f>IFERROR(VLOOKUP($B102,'נתונים ידניים'!$B$9:$G$51,6,FALSE),0)</f>
        <v>0</v>
      </c>
      <c r="T102" s="21">
        <f>'נתונים ידניים'!J103</f>
        <v>0</v>
      </c>
      <c r="U102" s="21">
        <f>'נתונים ידניים'!K103</f>
        <v>0</v>
      </c>
      <c r="V102" s="20">
        <f>IFERROR(VLOOKUP($B102,PerutHafrashotLePolisa!$D$6:$N$50,2,FALSE),0)</f>
        <v>0</v>
      </c>
      <c r="W102" s="20">
        <f>IFERROR(VLOOKUP($B102,PerutHafrashotLePolisa!$D$6:$N$50,4,FALSE),0)</f>
        <v>0</v>
      </c>
      <c r="X102" s="20">
        <f>IFERROR(VLOOKUP($B102,PerutHafrashotLePolisa!$D$6:$N$50,3,FALSE),0)</f>
        <v>0</v>
      </c>
      <c r="Y102">
        <f t="shared" si="96"/>
        <v>0</v>
      </c>
      <c r="Z102">
        <f>RicusPolice!AP99</f>
        <v>0</v>
      </c>
      <c r="AA102">
        <f>IFERROR(VLOOKUP(B102,PirteiHaasaka!$D$6:$R$100,5,FALSE),0)</f>
        <v>0</v>
      </c>
      <c r="AC102">
        <f>IFERROR(VLOOKUP(B102,HafkadotMetchilatShanaAverages!$D$6:$E$100,2,FALSE),0)</f>
        <v>0</v>
      </c>
      <c r="AF102">
        <f>'נתונים ידניים'!L103</f>
        <v>0</v>
      </c>
      <c r="AG102">
        <f>IFERROR(VLOOKUP(B102,CrossTabYitraLeTkufa_till_2000!$D$6:$AB$100,6,FALSE),0)+IFERROR(VLOOKUP(B102,CrossTabYitraLeTkufa_after_2000!$D$6:$AB$100,6,FALSE),0)</f>
        <v>0</v>
      </c>
      <c r="AH102">
        <f>IFERROR(VLOOKUP(B102,CrossTabYitraLeTkufa_till_2000!$D$6:$AB$100,16,FALSE),0)</f>
        <v>0</v>
      </c>
      <c r="AI102">
        <f>IFERROR(VLOOKUP(B102,CrossTabYitraLeTkufa_after_2000!$D$6:$AB$100,16,FALSE),0)</f>
        <v>0</v>
      </c>
      <c r="AJ102">
        <f>IFERROR(VLOOKUP(B102,CrossTabYitraLeTkufa_till_2000!$D$6:$AB$100,17,FALSE),0)</f>
        <v>0</v>
      </c>
      <c r="AK102">
        <f>IFERROR(VLOOKUP(B102,CrossTabYitraLeTkufa_after_2000!$D$6:$AB$100,17,FALSE),0)</f>
        <v>0</v>
      </c>
      <c r="AL102" s="5">
        <f t="shared" si="97"/>
        <v>0</v>
      </c>
      <c r="AO102">
        <f>IFERROR(VLOOKUP(B102,PirteiKisuiBeMutzar_procerur!$C$6:$AA$100,2,FALSE),0)</f>
        <v>0</v>
      </c>
      <c r="AQ102">
        <f>IFERROR(VLOOKUP($B102,PirteiKisuiBeMutzar_procerur!$C$6:$AA$100,5,FALSE),0)</f>
        <v>0</v>
      </c>
      <c r="AR102">
        <f>IFERROR(VLOOKUP($B102,PirteiKisuiBeMutzar_procerur!$C$6:$AA$100,3,FALSE),0)</f>
        <v>0</v>
      </c>
      <c r="AS102">
        <f>IFERROR(VLOOKUP($B102,PirteiKisuiBeMutzar_procerur!$C$6:$AA$100,6,FALSE),0)</f>
        <v>0</v>
      </c>
      <c r="AT102">
        <f>IFERROR(VLOOKUP($B102,PirteiKisuiBeMutzar_procerur!$C$6:$AA$100,7,FALSE),0)</f>
        <v>0</v>
      </c>
    </row>
  </sheetData>
  <mergeCells count="17">
    <mergeCell ref="B7:J7"/>
    <mergeCell ref="V7:Y7"/>
    <mergeCell ref="AG7:AK7"/>
    <mergeCell ref="AM7:AN7"/>
    <mergeCell ref="AO7:AP7"/>
    <mergeCell ref="AC3:AD3"/>
    <mergeCell ref="BV1:BW1"/>
    <mergeCell ref="CC1:CD1"/>
    <mergeCell ref="CC3:CD3"/>
    <mergeCell ref="CM7:CQ7"/>
    <mergeCell ref="AX7:AZ7"/>
    <mergeCell ref="BL7:BP7"/>
    <mergeCell ref="BS7:BW7"/>
    <mergeCell ref="BY7:CC7"/>
    <mergeCell ref="CF7:CJ7"/>
    <mergeCell ref="BA7:BG7"/>
    <mergeCell ref="BH7:BK7"/>
  </mergeCells>
  <dataValidations count="2">
    <dataValidation type="list" errorStyle="warning" allowBlank="1" showInputMessage="1" showErrorMessage="1" sqref="Q9:Q102">
      <formula1>$BR$19:$BR$22</formula1>
    </dataValidation>
    <dataValidation errorStyle="warning" allowBlank="1" showInputMessage="1" showErrorMessage="1" sqref="S9:S102"/>
  </dataValidations>
  <pageMargins left="0.7" right="0.7" top="0.75" bottom="0.75" header="0.3" footer="0.3"/>
  <pageSetup orientation="portrait" horizontalDpi="4294967293" verticalDpi="4294967293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Q28"/>
  <sheetViews>
    <sheetView rightToLeft="1" workbookViewId="0">
      <selection activeCell="E5" sqref="E5:M5"/>
    </sheetView>
  </sheetViews>
  <sheetFormatPr defaultRowHeight="12.75" x14ac:dyDescent="0.2"/>
  <cols>
    <col min="3" max="3" width="13.140625" bestFit="1" customWidth="1"/>
  </cols>
  <sheetData>
    <row r="5" spans="3:17" ht="31.5" x14ac:dyDescent="0.25">
      <c r="C5" s="3" t="s">
        <v>2</v>
      </c>
      <c r="D5" s="3" t="s">
        <v>1163</v>
      </c>
      <c r="E5" s="3" t="s">
        <v>16</v>
      </c>
      <c r="F5" s="3" t="s">
        <v>205</v>
      </c>
      <c r="G5" s="3" t="s">
        <v>204</v>
      </c>
      <c r="H5" s="3">
        <v>47</v>
      </c>
      <c r="I5" s="3" t="s">
        <v>18</v>
      </c>
      <c r="J5" s="3" t="s">
        <v>206</v>
      </c>
      <c r="K5" s="3" t="s">
        <v>1167</v>
      </c>
      <c r="L5" s="3" t="s">
        <v>1168</v>
      </c>
      <c r="M5" s="3" t="s">
        <v>21</v>
      </c>
      <c r="N5" s="3"/>
      <c r="O5" s="1023"/>
      <c r="P5" s="3"/>
      <c r="Q5" s="3"/>
    </row>
    <row r="6" spans="3:17" x14ac:dyDescent="0.2">
      <c r="C6" t="s">
        <v>1330</v>
      </c>
      <c r="D6">
        <v>56078603</v>
      </c>
      <c r="E6">
        <v>209735.74</v>
      </c>
      <c r="F6">
        <v>242620.43</v>
      </c>
      <c r="G6">
        <v>260098.27</v>
      </c>
    </row>
    <row r="7" spans="3:17" x14ac:dyDescent="0.2">
      <c r="C7" t="s">
        <v>1214</v>
      </c>
      <c r="D7">
        <v>56078603</v>
      </c>
      <c r="H7">
        <v>0</v>
      </c>
    </row>
    <row r="8" spans="3:17" x14ac:dyDescent="0.2">
      <c r="C8" t="s">
        <v>1225</v>
      </c>
      <c r="D8">
        <v>56078603</v>
      </c>
      <c r="F8">
        <v>0</v>
      </c>
      <c r="G8">
        <v>0</v>
      </c>
    </row>
    <row r="9" spans="3:17" x14ac:dyDescent="0.2">
      <c r="C9" t="s">
        <v>1205</v>
      </c>
      <c r="D9">
        <v>56078603</v>
      </c>
      <c r="E9">
        <v>816</v>
      </c>
      <c r="F9">
        <v>1428</v>
      </c>
      <c r="G9">
        <v>1405</v>
      </c>
    </row>
    <row r="10" spans="3:17" x14ac:dyDescent="0.2">
      <c r="C10" t="s">
        <v>1237</v>
      </c>
      <c r="D10">
        <v>56078603</v>
      </c>
      <c r="E10">
        <v>0</v>
      </c>
      <c r="F10">
        <v>8525.33</v>
      </c>
      <c r="G10">
        <v>9134.31</v>
      </c>
    </row>
    <row r="11" spans="3:17" x14ac:dyDescent="0.2">
      <c r="C11" t="s">
        <v>1247</v>
      </c>
      <c r="D11">
        <v>56078603</v>
      </c>
      <c r="E11">
        <v>0</v>
      </c>
      <c r="F11">
        <v>4150.92</v>
      </c>
      <c r="G11">
        <v>4447.38</v>
      </c>
    </row>
    <row r="12" spans="3:17" x14ac:dyDescent="0.2">
      <c r="C12" t="s">
        <v>1321</v>
      </c>
      <c r="D12">
        <v>56078603</v>
      </c>
      <c r="F12">
        <v>120220.1</v>
      </c>
      <c r="G12">
        <v>124185.85</v>
      </c>
      <c r="M12">
        <v>16042</v>
      </c>
    </row>
    <row r="13" spans="3:17" x14ac:dyDescent="0.2">
      <c r="C13" t="s">
        <v>1325</v>
      </c>
      <c r="D13">
        <v>56078603</v>
      </c>
      <c r="F13">
        <v>6395</v>
      </c>
      <c r="G13">
        <v>6395</v>
      </c>
    </row>
    <row r="14" spans="3:17" x14ac:dyDescent="0.2">
      <c r="C14" t="s">
        <v>1309</v>
      </c>
      <c r="D14">
        <v>56078603</v>
      </c>
      <c r="E14">
        <v>87336</v>
      </c>
      <c r="F14">
        <v>38746</v>
      </c>
      <c r="G14">
        <v>38746</v>
      </c>
      <c r="H14">
        <v>18999</v>
      </c>
    </row>
    <row r="15" spans="3:17" x14ac:dyDescent="0.2">
      <c r="C15" t="s">
        <v>1293</v>
      </c>
      <c r="D15">
        <v>56078603</v>
      </c>
      <c r="F15">
        <v>1886</v>
      </c>
      <c r="G15">
        <v>1885</v>
      </c>
      <c r="M15">
        <v>13228</v>
      </c>
    </row>
    <row r="16" spans="3:17" x14ac:dyDescent="0.2">
      <c r="C16" t="s">
        <v>1303</v>
      </c>
      <c r="D16">
        <v>56078603</v>
      </c>
      <c r="M16">
        <v>11556</v>
      </c>
    </row>
    <row r="17" spans="3:13" x14ac:dyDescent="0.2">
      <c r="C17" t="s">
        <v>1261</v>
      </c>
      <c r="D17">
        <v>56078603</v>
      </c>
      <c r="F17">
        <v>0</v>
      </c>
      <c r="G17">
        <v>0</v>
      </c>
    </row>
    <row r="18" spans="3:13" x14ac:dyDescent="0.2">
      <c r="C18" t="s">
        <v>1254</v>
      </c>
      <c r="D18">
        <v>56078603</v>
      </c>
      <c r="E18">
        <v>9420.16</v>
      </c>
      <c r="F18">
        <v>8635.18</v>
      </c>
      <c r="G18">
        <v>9420.16</v>
      </c>
    </row>
    <row r="19" spans="3:13" x14ac:dyDescent="0.2">
      <c r="C19" t="s">
        <v>1171</v>
      </c>
      <c r="D19">
        <v>56078603</v>
      </c>
      <c r="K19">
        <v>6181.91</v>
      </c>
      <c r="L19">
        <v>28436.79</v>
      </c>
    </row>
    <row r="20" spans="3:13" x14ac:dyDescent="0.2">
      <c r="C20" t="s">
        <v>1184</v>
      </c>
      <c r="D20">
        <v>56078603</v>
      </c>
      <c r="K20">
        <v>4475.0600000000004</v>
      </c>
      <c r="L20">
        <v>20585.189999999999</v>
      </c>
    </row>
    <row r="21" spans="3:13" x14ac:dyDescent="0.2">
      <c r="C21" t="s">
        <v>1197</v>
      </c>
      <c r="D21">
        <v>56078603</v>
      </c>
      <c r="K21">
        <v>23301.59</v>
      </c>
      <c r="L21">
        <v>107187.26</v>
      </c>
    </row>
    <row r="22" spans="3:13" x14ac:dyDescent="0.2">
      <c r="C22" t="s">
        <v>1188</v>
      </c>
      <c r="D22">
        <v>56078603</v>
      </c>
      <c r="K22">
        <v>0</v>
      </c>
    </row>
    <row r="23" spans="3:13" x14ac:dyDescent="0.2">
      <c r="C23" t="s">
        <v>1227</v>
      </c>
      <c r="D23">
        <v>56078603</v>
      </c>
      <c r="E23">
        <v>2389</v>
      </c>
      <c r="F23">
        <v>1795</v>
      </c>
      <c r="G23">
        <v>1899</v>
      </c>
    </row>
    <row r="24" spans="3:13" x14ac:dyDescent="0.2">
      <c r="C24" t="s">
        <v>1271</v>
      </c>
      <c r="D24">
        <v>56078603</v>
      </c>
      <c r="E24">
        <v>20182.080000000002</v>
      </c>
    </row>
    <row r="25" spans="3:13" x14ac:dyDescent="0.2">
      <c r="C25" t="s">
        <v>1315</v>
      </c>
      <c r="D25">
        <v>56078603</v>
      </c>
      <c r="F25">
        <v>125824</v>
      </c>
      <c r="G25">
        <v>125821.98</v>
      </c>
      <c r="M25">
        <v>209</v>
      </c>
    </row>
    <row r="26" spans="3:13" x14ac:dyDescent="0.2">
      <c r="C26" t="s">
        <v>1351</v>
      </c>
      <c r="D26">
        <v>56078603</v>
      </c>
      <c r="E26">
        <v>89478</v>
      </c>
      <c r="F26">
        <v>89040</v>
      </c>
      <c r="G26">
        <v>92046</v>
      </c>
    </row>
    <row r="27" spans="3:13" x14ac:dyDescent="0.2">
      <c r="C27" t="s">
        <v>1280</v>
      </c>
      <c r="D27">
        <v>56078603</v>
      </c>
      <c r="F27">
        <v>14603.43</v>
      </c>
      <c r="G27">
        <v>15646.51</v>
      </c>
    </row>
    <row r="28" spans="3:13" x14ac:dyDescent="0.2">
      <c r="C28" t="s">
        <v>1289</v>
      </c>
      <c r="D28">
        <v>56078603</v>
      </c>
      <c r="H28">
        <v>156292.04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11"/>
  <dimension ref="C2:Q62"/>
  <sheetViews>
    <sheetView rightToLeft="1" topLeftCell="A37" workbookViewId="0">
      <selection activeCell="C5" sqref="C5:Q5"/>
    </sheetView>
  </sheetViews>
  <sheetFormatPr defaultRowHeight="12.75" x14ac:dyDescent="0.2"/>
  <cols>
    <col min="4" max="5" width="10.85546875" customWidth="1"/>
    <col min="7" max="7" width="12.5703125" customWidth="1"/>
    <col min="8" max="8" width="10.28515625" customWidth="1"/>
    <col min="9" max="9" width="11.140625" customWidth="1"/>
    <col min="10" max="10" width="14.85546875" customWidth="1"/>
    <col min="13" max="13" width="10.7109375" customWidth="1"/>
    <col min="15" max="15" width="10.85546875" style="1021" customWidth="1"/>
  </cols>
  <sheetData>
    <row r="2" spans="3:17" ht="23.25" x14ac:dyDescent="0.35">
      <c r="J2" s="10" t="s">
        <v>180</v>
      </c>
    </row>
    <row r="5" spans="3:17" ht="31.5" x14ac:dyDescent="0.25">
      <c r="C5" s="3" t="s">
        <v>0</v>
      </c>
      <c r="D5" s="3" t="s">
        <v>2</v>
      </c>
      <c r="E5" s="3" t="s">
        <v>37</v>
      </c>
      <c r="F5" s="3" t="s">
        <v>83</v>
      </c>
      <c r="G5" s="3" t="s">
        <v>136</v>
      </c>
      <c r="H5" s="3" t="s">
        <v>137</v>
      </c>
      <c r="I5" s="3" t="s">
        <v>138</v>
      </c>
      <c r="J5" s="3" t="s">
        <v>139</v>
      </c>
      <c r="K5" s="3" t="s">
        <v>83</v>
      </c>
      <c r="L5" s="3" t="s">
        <v>83</v>
      </c>
      <c r="M5" s="3" t="s">
        <v>140</v>
      </c>
      <c r="N5" s="3" t="s">
        <v>1</v>
      </c>
      <c r="O5" s="1023" t="s">
        <v>3</v>
      </c>
      <c r="P5" s="3" t="s">
        <v>83</v>
      </c>
      <c r="Q5" s="3" t="s">
        <v>83</v>
      </c>
    </row>
    <row r="6" spans="3:17" x14ac:dyDescent="0.2">
      <c r="C6">
        <v>249935</v>
      </c>
      <c r="D6" t="s">
        <v>1351</v>
      </c>
      <c r="E6" t="s">
        <v>1212</v>
      </c>
      <c r="F6">
        <v>1</v>
      </c>
      <c r="G6" t="s">
        <v>1125</v>
      </c>
      <c r="H6">
        <v>89478</v>
      </c>
      <c r="I6">
        <v>89478</v>
      </c>
      <c r="J6" t="s">
        <v>16</v>
      </c>
      <c r="K6">
        <v>2</v>
      </c>
      <c r="L6">
        <v>1</v>
      </c>
      <c r="N6">
        <v>56078603</v>
      </c>
      <c r="O6" s="1021" t="s">
        <v>1206</v>
      </c>
    </row>
    <row r="7" spans="3:17" x14ac:dyDescent="0.2">
      <c r="C7">
        <v>249936</v>
      </c>
      <c r="D7" t="s">
        <v>1351</v>
      </c>
      <c r="E7" t="s">
        <v>1212</v>
      </c>
      <c r="F7">
        <v>1</v>
      </c>
      <c r="G7" t="s">
        <v>1125</v>
      </c>
      <c r="H7">
        <v>89040</v>
      </c>
      <c r="I7">
        <v>89040</v>
      </c>
      <c r="J7" t="s">
        <v>1413</v>
      </c>
      <c r="K7">
        <v>2</v>
      </c>
      <c r="L7">
        <v>2</v>
      </c>
      <c r="N7">
        <v>56078603</v>
      </c>
      <c r="O7" s="1021" t="s">
        <v>1206</v>
      </c>
    </row>
    <row r="8" spans="3:17" x14ac:dyDescent="0.2">
      <c r="C8">
        <v>249937</v>
      </c>
      <c r="D8" t="s">
        <v>1351</v>
      </c>
      <c r="E8" t="s">
        <v>1212</v>
      </c>
      <c r="F8">
        <v>1</v>
      </c>
      <c r="G8" t="s">
        <v>1125</v>
      </c>
      <c r="H8">
        <v>92046</v>
      </c>
      <c r="I8">
        <v>92046</v>
      </c>
      <c r="J8" t="s">
        <v>1414</v>
      </c>
      <c r="K8">
        <v>2</v>
      </c>
      <c r="L8">
        <v>3</v>
      </c>
      <c r="N8">
        <v>56078603</v>
      </c>
      <c r="O8" s="1021" t="s">
        <v>1206</v>
      </c>
    </row>
    <row r="9" spans="3:17" x14ac:dyDescent="0.2">
      <c r="C9">
        <v>250145</v>
      </c>
      <c r="D9" t="s">
        <v>1205</v>
      </c>
      <c r="E9" t="s">
        <v>1212</v>
      </c>
      <c r="F9">
        <v>1</v>
      </c>
      <c r="G9" t="s">
        <v>1125</v>
      </c>
      <c r="H9">
        <v>816</v>
      </c>
      <c r="I9">
        <v>816</v>
      </c>
      <c r="J9" t="s">
        <v>16</v>
      </c>
      <c r="K9">
        <v>2</v>
      </c>
      <c r="L9">
        <v>1</v>
      </c>
      <c r="N9">
        <v>56078603</v>
      </c>
      <c r="O9" s="1021" t="s">
        <v>1206</v>
      </c>
    </row>
    <row r="10" spans="3:17" x14ac:dyDescent="0.2">
      <c r="C10">
        <v>250146</v>
      </c>
      <c r="D10" t="s">
        <v>1205</v>
      </c>
      <c r="E10" t="s">
        <v>1212</v>
      </c>
      <c r="F10">
        <v>1</v>
      </c>
      <c r="G10" t="s">
        <v>1125</v>
      </c>
      <c r="H10">
        <v>1428</v>
      </c>
      <c r="I10">
        <v>1428</v>
      </c>
      <c r="J10" t="s">
        <v>1413</v>
      </c>
      <c r="K10">
        <v>2</v>
      </c>
      <c r="L10">
        <v>2</v>
      </c>
      <c r="N10">
        <v>56078603</v>
      </c>
      <c r="O10" s="1021" t="s">
        <v>1206</v>
      </c>
    </row>
    <row r="11" spans="3:17" x14ac:dyDescent="0.2">
      <c r="C11">
        <v>250147</v>
      </c>
      <c r="D11" t="s">
        <v>1205</v>
      </c>
      <c r="E11" t="s">
        <v>1212</v>
      </c>
      <c r="F11">
        <v>1</v>
      </c>
      <c r="G11" t="s">
        <v>1125</v>
      </c>
      <c r="H11">
        <v>1405</v>
      </c>
      <c r="I11">
        <v>1405</v>
      </c>
      <c r="J11" t="s">
        <v>1414</v>
      </c>
      <c r="K11">
        <v>2</v>
      </c>
      <c r="L11">
        <v>3</v>
      </c>
      <c r="N11">
        <v>56078603</v>
      </c>
      <c r="O11" s="1021" t="s">
        <v>1206</v>
      </c>
    </row>
    <row r="12" spans="3:17" x14ac:dyDescent="0.2">
      <c r="C12">
        <v>304643</v>
      </c>
      <c r="D12" t="s">
        <v>1214</v>
      </c>
      <c r="E12" t="s">
        <v>1222</v>
      </c>
      <c r="F12">
        <v>662</v>
      </c>
      <c r="G12" t="s">
        <v>870</v>
      </c>
      <c r="H12">
        <v>3958.1</v>
      </c>
      <c r="I12">
        <v>0</v>
      </c>
      <c r="J12" t="s">
        <v>1415</v>
      </c>
      <c r="K12">
        <v>1</v>
      </c>
      <c r="L12">
        <v>4</v>
      </c>
      <c r="M12" t="s">
        <v>1173</v>
      </c>
      <c r="N12">
        <v>56078603</v>
      </c>
      <c r="O12" s="1021" t="s">
        <v>1173</v>
      </c>
    </row>
    <row r="13" spans="3:17" x14ac:dyDescent="0.2">
      <c r="C13">
        <v>304644</v>
      </c>
      <c r="D13" t="s">
        <v>1225</v>
      </c>
      <c r="E13" t="s">
        <v>1222</v>
      </c>
      <c r="F13">
        <v>624</v>
      </c>
      <c r="G13" t="s">
        <v>870</v>
      </c>
      <c r="H13">
        <v>1621.77</v>
      </c>
      <c r="I13">
        <v>0</v>
      </c>
      <c r="J13" t="s">
        <v>1414</v>
      </c>
      <c r="K13">
        <v>1</v>
      </c>
      <c r="L13">
        <v>3</v>
      </c>
      <c r="M13" t="s">
        <v>1173</v>
      </c>
      <c r="N13">
        <v>56078603</v>
      </c>
      <c r="O13" s="1021" t="s">
        <v>1173</v>
      </c>
    </row>
    <row r="14" spans="3:17" x14ac:dyDescent="0.2">
      <c r="C14">
        <v>304645</v>
      </c>
      <c r="D14" t="s">
        <v>1225</v>
      </c>
      <c r="E14" t="s">
        <v>1222</v>
      </c>
      <c r="F14">
        <v>624</v>
      </c>
      <c r="G14" t="s">
        <v>1126</v>
      </c>
      <c r="H14">
        <v>587.11</v>
      </c>
      <c r="I14">
        <v>0</v>
      </c>
      <c r="J14" t="s">
        <v>1414</v>
      </c>
      <c r="K14">
        <v>3</v>
      </c>
      <c r="L14">
        <v>3</v>
      </c>
      <c r="M14" t="s">
        <v>1173</v>
      </c>
      <c r="N14">
        <v>56078603</v>
      </c>
      <c r="O14" s="1021" t="s">
        <v>1173</v>
      </c>
    </row>
    <row r="15" spans="3:17" x14ac:dyDescent="0.2">
      <c r="C15">
        <v>304646</v>
      </c>
      <c r="D15" t="s">
        <v>1225</v>
      </c>
      <c r="E15" t="s">
        <v>1222</v>
      </c>
      <c r="F15">
        <v>624</v>
      </c>
      <c r="G15" t="s">
        <v>870</v>
      </c>
      <c r="H15">
        <v>1520.35</v>
      </c>
      <c r="I15">
        <v>0</v>
      </c>
      <c r="J15" t="s">
        <v>1413</v>
      </c>
      <c r="K15">
        <v>1</v>
      </c>
      <c r="L15">
        <v>2</v>
      </c>
      <c r="M15" t="s">
        <v>1173</v>
      </c>
      <c r="N15">
        <v>56078603</v>
      </c>
      <c r="O15" s="1021" t="s">
        <v>1173</v>
      </c>
    </row>
    <row r="16" spans="3:17" x14ac:dyDescent="0.2">
      <c r="C16">
        <v>304647</v>
      </c>
      <c r="D16" t="s">
        <v>1225</v>
      </c>
      <c r="E16" t="s">
        <v>1222</v>
      </c>
      <c r="F16">
        <v>624</v>
      </c>
      <c r="G16" t="s">
        <v>1126</v>
      </c>
      <c r="H16">
        <v>548.1</v>
      </c>
      <c r="I16">
        <v>0</v>
      </c>
      <c r="J16" t="s">
        <v>1413</v>
      </c>
      <c r="K16">
        <v>3</v>
      </c>
      <c r="L16">
        <v>2</v>
      </c>
      <c r="M16" t="s">
        <v>1173</v>
      </c>
      <c r="N16">
        <v>56078603</v>
      </c>
      <c r="O16" s="1021" t="s">
        <v>1173</v>
      </c>
    </row>
    <row r="17" spans="3:15" x14ac:dyDescent="0.2">
      <c r="C17">
        <v>304648</v>
      </c>
      <c r="D17" t="s">
        <v>1171</v>
      </c>
      <c r="E17" t="s">
        <v>1182</v>
      </c>
      <c r="F17">
        <v>449</v>
      </c>
      <c r="G17" t="s">
        <v>870</v>
      </c>
      <c r="H17">
        <v>6181.91</v>
      </c>
      <c r="I17">
        <v>6181.91</v>
      </c>
      <c r="J17" t="s">
        <v>1416</v>
      </c>
      <c r="K17">
        <v>1</v>
      </c>
      <c r="L17">
        <v>7</v>
      </c>
      <c r="M17" t="s">
        <v>1173</v>
      </c>
      <c r="N17">
        <v>56078603</v>
      </c>
      <c r="O17" s="1021" t="s">
        <v>1173</v>
      </c>
    </row>
    <row r="18" spans="3:15" x14ac:dyDescent="0.2">
      <c r="C18">
        <v>304649</v>
      </c>
      <c r="D18" t="s">
        <v>1171</v>
      </c>
      <c r="E18" t="s">
        <v>1182</v>
      </c>
      <c r="F18">
        <v>449</v>
      </c>
      <c r="G18" t="s">
        <v>870</v>
      </c>
      <c r="H18">
        <v>28436.79</v>
      </c>
      <c r="I18">
        <v>28436.79</v>
      </c>
      <c r="J18" t="s">
        <v>1417</v>
      </c>
      <c r="K18">
        <v>1</v>
      </c>
      <c r="L18">
        <v>8</v>
      </c>
      <c r="M18" t="s">
        <v>1173</v>
      </c>
      <c r="N18">
        <v>56078603</v>
      </c>
      <c r="O18" s="1021" t="s">
        <v>1173</v>
      </c>
    </row>
    <row r="19" spans="3:15" x14ac:dyDescent="0.2">
      <c r="C19">
        <v>304650</v>
      </c>
      <c r="D19" t="s">
        <v>1184</v>
      </c>
      <c r="E19" t="s">
        <v>1182</v>
      </c>
      <c r="F19">
        <v>92</v>
      </c>
      <c r="G19" t="s">
        <v>870</v>
      </c>
      <c r="H19">
        <v>4475.0600000000004</v>
      </c>
      <c r="I19">
        <v>4475.0600000000004</v>
      </c>
      <c r="J19" t="s">
        <v>1416</v>
      </c>
      <c r="K19">
        <v>1</v>
      </c>
      <c r="L19">
        <v>7</v>
      </c>
      <c r="M19" t="s">
        <v>1173</v>
      </c>
      <c r="N19">
        <v>56078603</v>
      </c>
      <c r="O19" s="1021" t="s">
        <v>1173</v>
      </c>
    </row>
    <row r="20" spans="3:15" x14ac:dyDescent="0.2">
      <c r="C20">
        <v>304651</v>
      </c>
      <c r="D20" t="s">
        <v>1184</v>
      </c>
      <c r="E20" t="s">
        <v>1182</v>
      </c>
      <c r="F20">
        <v>92</v>
      </c>
      <c r="G20" t="s">
        <v>870</v>
      </c>
      <c r="H20">
        <v>20585.189999999999</v>
      </c>
      <c r="I20">
        <v>20585.189999999999</v>
      </c>
      <c r="J20" t="s">
        <v>1417</v>
      </c>
      <c r="K20">
        <v>1</v>
      </c>
      <c r="L20">
        <v>8</v>
      </c>
      <c r="M20" t="s">
        <v>1173</v>
      </c>
      <c r="N20">
        <v>56078603</v>
      </c>
      <c r="O20" s="1021" t="s">
        <v>1173</v>
      </c>
    </row>
    <row r="21" spans="3:15" x14ac:dyDescent="0.2">
      <c r="C21">
        <v>304652</v>
      </c>
      <c r="D21" t="s">
        <v>1188</v>
      </c>
      <c r="E21" t="s">
        <v>1196</v>
      </c>
      <c r="F21">
        <v>713</v>
      </c>
      <c r="G21" t="s">
        <v>870</v>
      </c>
      <c r="H21">
        <v>12185.3</v>
      </c>
      <c r="I21">
        <v>0</v>
      </c>
      <c r="J21" t="s">
        <v>1416</v>
      </c>
      <c r="K21">
        <v>1</v>
      </c>
      <c r="L21">
        <v>7</v>
      </c>
      <c r="M21" t="s">
        <v>1173</v>
      </c>
      <c r="N21">
        <v>56078603</v>
      </c>
      <c r="O21" s="1021" t="s">
        <v>1173</v>
      </c>
    </row>
    <row r="22" spans="3:15" x14ac:dyDescent="0.2">
      <c r="C22">
        <v>304653</v>
      </c>
      <c r="D22" t="s">
        <v>1227</v>
      </c>
      <c r="E22" t="s">
        <v>1196</v>
      </c>
      <c r="F22">
        <v>453</v>
      </c>
      <c r="G22" t="s">
        <v>1125</v>
      </c>
      <c r="H22">
        <v>1795</v>
      </c>
      <c r="I22">
        <v>1795</v>
      </c>
      <c r="J22" t="s">
        <v>1413</v>
      </c>
      <c r="K22">
        <v>2</v>
      </c>
      <c r="L22">
        <v>2</v>
      </c>
      <c r="M22" t="s">
        <v>1173</v>
      </c>
      <c r="N22">
        <v>56078603</v>
      </c>
      <c r="O22" s="1021" t="s">
        <v>1173</v>
      </c>
    </row>
    <row r="23" spans="3:15" x14ac:dyDescent="0.2">
      <c r="C23">
        <v>304654</v>
      </c>
      <c r="D23" t="s">
        <v>1227</v>
      </c>
      <c r="E23" t="s">
        <v>1196</v>
      </c>
      <c r="F23">
        <v>453</v>
      </c>
      <c r="G23" t="s">
        <v>1125</v>
      </c>
      <c r="H23">
        <v>1899</v>
      </c>
      <c r="I23">
        <v>1899</v>
      </c>
      <c r="J23" t="s">
        <v>1414</v>
      </c>
      <c r="K23">
        <v>2</v>
      </c>
      <c r="L23">
        <v>3</v>
      </c>
      <c r="M23" t="s">
        <v>1173</v>
      </c>
      <c r="N23">
        <v>56078603</v>
      </c>
      <c r="O23" s="1021" t="s">
        <v>1173</v>
      </c>
    </row>
    <row r="24" spans="3:15" x14ac:dyDescent="0.2">
      <c r="C24">
        <v>304655</v>
      </c>
      <c r="D24" t="s">
        <v>1227</v>
      </c>
      <c r="E24" t="s">
        <v>1196</v>
      </c>
      <c r="F24">
        <v>453</v>
      </c>
      <c r="G24" t="s">
        <v>1125</v>
      </c>
      <c r="H24">
        <v>2389</v>
      </c>
      <c r="I24">
        <v>2389</v>
      </c>
      <c r="J24" t="s">
        <v>16</v>
      </c>
      <c r="K24">
        <v>2</v>
      </c>
      <c r="L24">
        <v>1</v>
      </c>
      <c r="M24" t="s">
        <v>1173</v>
      </c>
      <c r="N24">
        <v>56078603</v>
      </c>
      <c r="O24" s="1021" t="s">
        <v>1173</v>
      </c>
    </row>
    <row r="25" spans="3:15" x14ac:dyDescent="0.2">
      <c r="C25">
        <v>304656</v>
      </c>
      <c r="D25" t="s">
        <v>1237</v>
      </c>
      <c r="E25" t="s">
        <v>1246</v>
      </c>
      <c r="F25">
        <v>885</v>
      </c>
      <c r="G25" t="s">
        <v>1126</v>
      </c>
      <c r="H25">
        <v>0</v>
      </c>
      <c r="I25">
        <v>0</v>
      </c>
      <c r="J25" t="s">
        <v>16</v>
      </c>
      <c r="K25">
        <v>3</v>
      </c>
      <c r="L25">
        <v>1</v>
      </c>
      <c r="M25" t="s">
        <v>1173</v>
      </c>
      <c r="N25">
        <v>56078603</v>
      </c>
      <c r="O25" s="1021" t="s">
        <v>1173</v>
      </c>
    </row>
    <row r="26" spans="3:15" x14ac:dyDescent="0.2">
      <c r="C26">
        <v>304657</v>
      </c>
      <c r="D26" t="s">
        <v>1237</v>
      </c>
      <c r="E26" t="s">
        <v>1246</v>
      </c>
      <c r="F26">
        <v>885</v>
      </c>
      <c r="G26" t="s">
        <v>1126</v>
      </c>
      <c r="H26">
        <v>8525.33</v>
      </c>
      <c r="I26">
        <v>8525.33</v>
      </c>
      <c r="J26" t="s">
        <v>1413</v>
      </c>
      <c r="K26">
        <v>3</v>
      </c>
      <c r="L26">
        <v>2</v>
      </c>
      <c r="M26" t="s">
        <v>1173</v>
      </c>
      <c r="N26">
        <v>56078603</v>
      </c>
      <c r="O26" s="1021" t="s">
        <v>1173</v>
      </c>
    </row>
    <row r="27" spans="3:15" x14ac:dyDescent="0.2">
      <c r="C27">
        <v>304658</v>
      </c>
      <c r="D27" t="s">
        <v>1237</v>
      </c>
      <c r="E27" t="s">
        <v>1246</v>
      </c>
      <c r="F27">
        <v>885</v>
      </c>
      <c r="G27" t="s">
        <v>1126</v>
      </c>
      <c r="H27">
        <v>9134.31</v>
      </c>
      <c r="I27">
        <v>9134.31</v>
      </c>
      <c r="J27" t="s">
        <v>1414</v>
      </c>
      <c r="K27">
        <v>3</v>
      </c>
      <c r="L27">
        <v>3</v>
      </c>
      <c r="M27" t="s">
        <v>1173</v>
      </c>
      <c r="N27">
        <v>56078603</v>
      </c>
      <c r="O27" s="1021" t="s">
        <v>1173</v>
      </c>
    </row>
    <row r="28" spans="3:15" x14ac:dyDescent="0.2">
      <c r="C28">
        <v>304659</v>
      </c>
      <c r="D28" t="s">
        <v>1247</v>
      </c>
      <c r="E28" t="s">
        <v>1246</v>
      </c>
      <c r="F28">
        <v>188</v>
      </c>
      <c r="G28" t="s">
        <v>1126</v>
      </c>
      <c r="H28">
        <v>0</v>
      </c>
      <c r="I28">
        <v>0</v>
      </c>
      <c r="J28" t="s">
        <v>16</v>
      </c>
      <c r="K28">
        <v>3</v>
      </c>
      <c r="L28">
        <v>1</v>
      </c>
      <c r="M28" t="s">
        <v>1173</v>
      </c>
      <c r="N28">
        <v>56078603</v>
      </c>
      <c r="O28" s="1021" t="s">
        <v>1173</v>
      </c>
    </row>
    <row r="29" spans="3:15" x14ac:dyDescent="0.2">
      <c r="C29">
        <v>304660</v>
      </c>
      <c r="D29" t="s">
        <v>1247</v>
      </c>
      <c r="E29" t="s">
        <v>1246</v>
      </c>
      <c r="F29">
        <v>188</v>
      </c>
      <c r="G29" t="s">
        <v>1126</v>
      </c>
      <c r="H29">
        <v>4150.92</v>
      </c>
      <c r="I29">
        <v>4150.92</v>
      </c>
      <c r="J29" t="s">
        <v>1413</v>
      </c>
      <c r="K29">
        <v>3</v>
      </c>
      <c r="L29">
        <v>2</v>
      </c>
      <c r="M29" t="s">
        <v>1173</v>
      </c>
      <c r="N29">
        <v>56078603</v>
      </c>
      <c r="O29" s="1021" t="s">
        <v>1173</v>
      </c>
    </row>
    <row r="30" spans="3:15" x14ac:dyDescent="0.2">
      <c r="C30">
        <v>304661</v>
      </c>
      <c r="D30" t="s">
        <v>1247</v>
      </c>
      <c r="E30" t="s">
        <v>1246</v>
      </c>
      <c r="F30">
        <v>188</v>
      </c>
      <c r="G30" t="s">
        <v>1126</v>
      </c>
      <c r="H30">
        <v>4447.38</v>
      </c>
      <c r="I30">
        <v>4447.38</v>
      </c>
      <c r="J30" t="s">
        <v>1414</v>
      </c>
      <c r="K30">
        <v>3</v>
      </c>
      <c r="L30">
        <v>3</v>
      </c>
      <c r="M30" t="s">
        <v>1173</v>
      </c>
      <c r="N30">
        <v>56078603</v>
      </c>
      <c r="O30" s="1021" t="s">
        <v>1173</v>
      </c>
    </row>
    <row r="31" spans="3:15" x14ac:dyDescent="0.2">
      <c r="C31">
        <v>304665</v>
      </c>
      <c r="D31" t="s">
        <v>1254</v>
      </c>
      <c r="E31" t="s">
        <v>1246</v>
      </c>
      <c r="F31">
        <v>441</v>
      </c>
      <c r="G31" t="s">
        <v>1125</v>
      </c>
      <c r="H31">
        <v>9420.16</v>
      </c>
      <c r="I31">
        <v>9420.16</v>
      </c>
      <c r="J31" t="s">
        <v>16</v>
      </c>
      <c r="K31">
        <v>2</v>
      </c>
      <c r="L31">
        <v>1</v>
      </c>
      <c r="M31" t="s">
        <v>1173</v>
      </c>
      <c r="N31">
        <v>56078603</v>
      </c>
      <c r="O31" s="1021" t="s">
        <v>1173</v>
      </c>
    </row>
    <row r="32" spans="3:15" x14ac:dyDescent="0.2">
      <c r="C32">
        <v>304666</v>
      </c>
      <c r="D32" t="s">
        <v>1254</v>
      </c>
      <c r="E32" t="s">
        <v>1246</v>
      </c>
      <c r="F32">
        <v>441</v>
      </c>
      <c r="G32" t="s">
        <v>1125</v>
      </c>
      <c r="H32">
        <v>8635.18</v>
      </c>
      <c r="I32">
        <v>8635.18</v>
      </c>
      <c r="J32" t="s">
        <v>1413</v>
      </c>
      <c r="K32">
        <v>2</v>
      </c>
      <c r="L32">
        <v>2</v>
      </c>
      <c r="M32" t="s">
        <v>1173</v>
      </c>
      <c r="N32">
        <v>56078603</v>
      </c>
      <c r="O32" s="1021" t="s">
        <v>1173</v>
      </c>
    </row>
    <row r="33" spans="3:15" x14ac:dyDescent="0.2">
      <c r="C33">
        <v>304667</v>
      </c>
      <c r="D33" t="s">
        <v>1254</v>
      </c>
      <c r="E33" t="s">
        <v>1246</v>
      </c>
      <c r="F33">
        <v>441</v>
      </c>
      <c r="G33" t="s">
        <v>1125</v>
      </c>
      <c r="H33">
        <v>9420.16</v>
      </c>
      <c r="I33">
        <v>9420.16</v>
      </c>
      <c r="J33" t="s">
        <v>1414</v>
      </c>
      <c r="K33">
        <v>2</v>
      </c>
      <c r="L33">
        <v>3</v>
      </c>
      <c r="M33" t="s">
        <v>1173</v>
      </c>
      <c r="N33">
        <v>56078603</v>
      </c>
      <c r="O33" s="1021" t="s">
        <v>1173</v>
      </c>
    </row>
    <row r="34" spans="3:15" x14ac:dyDescent="0.2">
      <c r="C34">
        <v>304668</v>
      </c>
      <c r="D34" t="s">
        <v>1197</v>
      </c>
      <c r="E34" t="s">
        <v>1204</v>
      </c>
      <c r="F34">
        <v>416</v>
      </c>
      <c r="G34" t="s">
        <v>870</v>
      </c>
      <c r="H34">
        <v>23301.59</v>
      </c>
      <c r="I34">
        <v>23301.59</v>
      </c>
      <c r="J34" t="s">
        <v>1416</v>
      </c>
      <c r="K34">
        <v>1</v>
      </c>
      <c r="L34">
        <v>7</v>
      </c>
      <c r="M34" t="s">
        <v>1173</v>
      </c>
      <c r="N34">
        <v>56078603</v>
      </c>
      <c r="O34" s="1021" t="s">
        <v>1173</v>
      </c>
    </row>
    <row r="35" spans="3:15" x14ac:dyDescent="0.2">
      <c r="C35">
        <v>304669</v>
      </c>
      <c r="D35" t="s">
        <v>1197</v>
      </c>
      <c r="E35" t="s">
        <v>1204</v>
      </c>
      <c r="F35">
        <v>416</v>
      </c>
      <c r="G35" t="s">
        <v>870</v>
      </c>
      <c r="H35">
        <v>107187.26</v>
      </c>
      <c r="I35">
        <v>107187.26</v>
      </c>
      <c r="J35" t="s">
        <v>1417</v>
      </c>
      <c r="K35">
        <v>1</v>
      </c>
      <c r="L35">
        <v>8</v>
      </c>
      <c r="M35" t="s">
        <v>1173</v>
      </c>
      <c r="N35">
        <v>56078603</v>
      </c>
      <c r="O35" s="1021" t="s">
        <v>1173</v>
      </c>
    </row>
    <row r="36" spans="3:15" x14ac:dyDescent="0.2">
      <c r="C36">
        <v>304670</v>
      </c>
      <c r="D36" t="s">
        <v>1261</v>
      </c>
      <c r="E36" t="s">
        <v>1270</v>
      </c>
      <c r="F36">
        <v>201</v>
      </c>
      <c r="G36" t="s">
        <v>870</v>
      </c>
      <c r="H36">
        <v>22532.7</v>
      </c>
      <c r="I36">
        <v>0</v>
      </c>
      <c r="J36" t="s">
        <v>1413</v>
      </c>
      <c r="K36">
        <v>1</v>
      </c>
      <c r="L36">
        <v>2</v>
      </c>
      <c r="M36" t="s">
        <v>1173</v>
      </c>
      <c r="N36">
        <v>56078603</v>
      </c>
      <c r="O36" s="1021" t="s">
        <v>1173</v>
      </c>
    </row>
    <row r="37" spans="3:15" x14ac:dyDescent="0.2">
      <c r="C37">
        <v>304671</v>
      </c>
      <c r="D37" t="s">
        <v>1261</v>
      </c>
      <c r="E37" t="s">
        <v>1270</v>
      </c>
      <c r="F37">
        <v>201</v>
      </c>
      <c r="G37" t="s">
        <v>870</v>
      </c>
      <c r="H37">
        <v>23858.54</v>
      </c>
      <c r="I37">
        <v>0</v>
      </c>
      <c r="J37" t="s">
        <v>1414</v>
      </c>
      <c r="K37">
        <v>1</v>
      </c>
      <c r="L37">
        <v>3</v>
      </c>
      <c r="M37" t="s">
        <v>1173</v>
      </c>
      <c r="N37">
        <v>56078603</v>
      </c>
      <c r="O37" s="1021" t="s">
        <v>1173</v>
      </c>
    </row>
    <row r="38" spans="3:15" x14ac:dyDescent="0.2">
      <c r="C38">
        <v>304672</v>
      </c>
      <c r="D38" t="s">
        <v>1271</v>
      </c>
      <c r="E38" t="s">
        <v>1279</v>
      </c>
      <c r="F38">
        <v>204</v>
      </c>
      <c r="G38" t="s">
        <v>1125</v>
      </c>
      <c r="H38">
        <v>20182.080000000002</v>
      </c>
      <c r="I38">
        <v>20182.080000000002</v>
      </c>
      <c r="J38" t="s">
        <v>16</v>
      </c>
      <c r="K38">
        <v>2</v>
      </c>
      <c r="L38">
        <v>1</v>
      </c>
      <c r="M38" t="s">
        <v>1173</v>
      </c>
      <c r="N38">
        <v>56078603</v>
      </c>
      <c r="O38" s="1021" t="s">
        <v>1173</v>
      </c>
    </row>
    <row r="39" spans="3:15" x14ac:dyDescent="0.2">
      <c r="C39">
        <v>304673</v>
      </c>
      <c r="D39" t="s">
        <v>1280</v>
      </c>
      <c r="E39" t="s">
        <v>1287</v>
      </c>
      <c r="F39">
        <v>526</v>
      </c>
      <c r="G39" t="s">
        <v>870</v>
      </c>
      <c r="H39">
        <v>1189.17</v>
      </c>
      <c r="I39">
        <v>1189.17</v>
      </c>
      <c r="J39" t="s">
        <v>1413</v>
      </c>
      <c r="K39">
        <v>1</v>
      </c>
      <c r="L39">
        <v>2</v>
      </c>
      <c r="M39" t="s">
        <v>1173</v>
      </c>
      <c r="N39">
        <v>56078603</v>
      </c>
      <c r="O39" s="1021" t="s">
        <v>1173</v>
      </c>
    </row>
    <row r="40" spans="3:15" x14ac:dyDescent="0.2">
      <c r="C40">
        <v>304674</v>
      </c>
      <c r="D40" t="s">
        <v>1280</v>
      </c>
      <c r="E40" t="s">
        <v>1287</v>
      </c>
      <c r="F40">
        <v>526</v>
      </c>
      <c r="G40" t="s">
        <v>870</v>
      </c>
      <c r="H40">
        <v>1274.0999999999999</v>
      </c>
      <c r="I40">
        <v>1274.0999999999999</v>
      </c>
      <c r="J40" t="s">
        <v>1414</v>
      </c>
      <c r="K40">
        <v>1</v>
      </c>
      <c r="L40">
        <v>3</v>
      </c>
      <c r="M40" t="s">
        <v>1173</v>
      </c>
      <c r="N40">
        <v>56078603</v>
      </c>
      <c r="O40" s="1021" t="s">
        <v>1173</v>
      </c>
    </row>
    <row r="41" spans="3:15" x14ac:dyDescent="0.2">
      <c r="C41">
        <v>304675</v>
      </c>
      <c r="D41" t="s">
        <v>1280</v>
      </c>
      <c r="E41" t="s">
        <v>1287</v>
      </c>
      <c r="F41">
        <v>526</v>
      </c>
      <c r="G41" t="s">
        <v>1126</v>
      </c>
      <c r="H41">
        <v>13414.26</v>
      </c>
      <c r="I41">
        <v>13414.26</v>
      </c>
      <c r="J41" t="s">
        <v>1413</v>
      </c>
      <c r="K41">
        <v>3</v>
      </c>
      <c r="L41">
        <v>2</v>
      </c>
      <c r="M41" t="s">
        <v>1173</v>
      </c>
      <c r="N41">
        <v>56078603</v>
      </c>
      <c r="O41" s="1021" t="s">
        <v>1173</v>
      </c>
    </row>
    <row r="42" spans="3:15" x14ac:dyDescent="0.2">
      <c r="C42">
        <v>304676</v>
      </c>
      <c r="D42" t="s">
        <v>1280</v>
      </c>
      <c r="E42" t="s">
        <v>1287</v>
      </c>
      <c r="F42">
        <v>526</v>
      </c>
      <c r="G42" t="s">
        <v>1126</v>
      </c>
      <c r="H42">
        <v>14372.41</v>
      </c>
      <c r="I42">
        <v>14372.41</v>
      </c>
      <c r="J42" t="s">
        <v>1414</v>
      </c>
      <c r="K42">
        <v>3</v>
      </c>
      <c r="L42">
        <v>3</v>
      </c>
      <c r="M42" t="s">
        <v>1173</v>
      </c>
      <c r="N42">
        <v>56078603</v>
      </c>
      <c r="O42" s="1021" t="s">
        <v>1173</v>
      </c>
    </row>
    <row r="43" spans="3:15" x14ac:dyDescent="0.2">
      <c r="C43">
        <v>304677</v>
      </c>
      <c r="D43" t="s">
        <v>1289</v>
      </c>
      <c r="E43" t="s">
        <v>1287</v>
      </c>
      <c r="F43">
        <v>23</v>
      </c>
      <c r="G43" t="s">
        <v>870</v>
      </c>
      <c r="H43">
        <v>156292.04</v>
      </c>
      <c r="I43">
        <v>156292.04</v>
      </c>
      <c r="J43" t="s">
        <v>1415</v>
      </c>
      <c r="K43">
        <v>1</v>
      </c>
      <c r="L43">
        <v>4</v>
      </c>
      <c r="M43" t="s">
        <v>1173</v>
      </c>
      <c r="N43">
        <v>56078603</v>
      </c>
      <c r="O43" s="1021" t="s">
        <v>1173</v>
      </c>
    </row>
    <row r="44" spans="3:15" x14ac:dyDescent="0.2">
      <c r="C44">
        <v>304678</v>
      </c>
      <c r="D44" t="s">
        <v>1293</v>
      </c>
      <c r="E44" t="s">
        <v>1301</v>
      </c>
      <c r="F44">
        <v>443</v>
      </c>
      <c r="G44" t="s">
        <v>1125</v>
      </c>
      <c r="H44">
        <v>13228</v>
      </c>
      <c r="I44">
        <v>13228</v>
      </c>
      <c r="J44" t="s">
        <v>1418</v>
      </c>
      <c r="K44">
        <v>2</v>
      </c>
      <c r="L44">
        <v>9</v>
      </c>
      <c r="M44" t="s">
        <v>1419</v>
      </c>
      <c r="N44">
        <v>56078603</v>
      </c>
      <c r="O44" s="1021" t="s">
        <v>1173</v>
      </c>
    </row>
    <row r="45" spans="3:15" x14ac:dyDescent="0.2">
      <c r="C45">
        <v>304679</v>
      </c>
      <c r="D45" t="s">
        <v>1293</v>
      </c>
      <c r="E45" t="s">
        <v>1301</v>
      </c>
      <c r="F45">
        <v>443</v>
      </c>
      <c r="G45" t="s">
        <v>1125</v>
      </c>
      <c r="H45">
        <v>1885</v>
      </c>
      <c r="I45">
        <v>1885</v>
      </c>
      <c r="J45" t="s">
        <v>1414</v>
      </c>
      <c r="K45">
        <v>2</v>
      </c>
      <c r="L45">
        <v>3</v>
      </c>
      <c r="M45" t="s">
        <v>1419</v>
      </c>
      <c r="N45">
        <v>56078603</v>
      </c>
      <c r="O45" s="1021" t="s">
        <v>1173</v>
      </c>
    </row>
    <row r="46" spans="3:15" x14ac:dyDescent="0.2">
      <c r="C46">
        <v>304680</v>
      </c>
      <c r="D46" t="s">
        <v>1293</v>
      </c>
      <c r="E46" t="s">
        <v>1301</v>
      </c>
      <c r="F46">
        <v>443</v>
      </c>
      <c r="G46" t="s">
        <v>1125</v>
      </c>
      <c r="H46">
        <v>1886</v>
      </c>
      <c r="I46">
        <v>1886</v>
      </c>
      <c r="J46" t="s">
        <v>1413</v>
      </c>
      <c r="K46">
        <v>2</v>
      </c>
      <c r="L46">
        <v>2</v>
      </c>
      <c r="M46" t="s">
        <v>1419</v>
      </c>
      <c r="N46">
        <v>56078603</v>
      </c>
      <c r="O46" s="1021" t="s">
        <v>1173</v>
      </c>
    </row>
    <row r="47" spans="3:15" x14ac:dyDescent="0.2">
      <c r="C47">
        <v>304681</v>
      </c>
      <c r="D47" t="s">
        <v>1303</v>
      </c>
      <c r="E47" t="s">
        <v>1301</v>
      </c>
      <c r="F47">
        <v>807</v>
      </c>
      <c r="G47" t="s">
        <v>870</v>
      </c>
      <c r="H47">
        <v>11556</v>
      </c>
      <c r="I47">
        <v>11556</v>
      </c>
      <c r="J47" t="s">
        <v>1418</v>
      </c>
      <c r="K47">
        <v>1</v>
      </c>
      <c r="L47">
        <v>9</v>
      </c>
      <c r="M47" t="s">
        <v>1419</v>
      </c>
      <c r="N47">
        <v>56078603</v>
      </c>
      <c r="O47" s="1021" t="s">
        <v>1173</v>
      </c>
    </row>
    <row r="48" spans="3:15" x14ac:dyDescent="0.2">
      <c r="C48">
        <v>304682</v>
      </c>
      <c r="D48" t="s">
        <v>1309</v>
      </c>
      <c r="E48" t="s">
        <v>1301</v>
      </c>
      <c r="F48">
        <v>177</v>
      </c>
      <c r="G48" t="s">
        <v>1125</v>
      </c>
      <c r="H48">
        <v>38747</v>
      </c>
      <c r="I48">
        <v>38746</v>
      </c>
      <c r="J48" t="s">
        <v>1414</v>
      </c>
      <c r="K48">
        <v>2</v>
      </c>
      <c r="L48">
        <v>3</v>
      </c>
      <c r="M48" t="s">
        <v>1419</v>
      </c>
      <c r="N48">
        <v>56078603</v>
      </c>
      <c r="O48" s="1021" t="s">
        <v>1173</v>
      </c>
    </row>
    <row r="49" spans="3:15" x14ac:dyDescent="0.2">
      <c r="C49">
        <v>304683</v>
      </c>
      <c r="D49" t="s">
        <v>1309</v>
      </c>
      <c r="E49" t="s">
        <v>1301</v>
      </c>
      <c r="F49">
        <v>177</v>
      </c>
      <c r="G49" t="s">
        <v>1125</v>
      </c>
      <c r="H49">
        <v>18999</v>
      </c>
      <c r="I49">
        <v>18999</v>
      </c>
      <c r="J49" t="s">
        <v>1415</v>
      </c>
      <c r="K49">
        <v>2</v>
      </c>
      <c r="L49">
        <v>4</v>
      </c>
      <c r="M49" t="s">
        <v>1419</v>
      </c>
      <c r="N49">
        <v>56078603</v>
      </c>
      <c r="O49" s="1021" t="s">
        <v>1173</v>
      </c>
    </row>
    <row r="50" spans="3:15" x14ac:dyDescent="0.2">
      <c r="C50">
        <v>304684</v>
      </c>
      <c r="D50" t="s">
        <v>1309</v>
      </c>
      <c r="E50" t="s">
        <v>1301</v>
      </c>
      <c r="F50">
        <v>177</v>
      </c>
      <c r="G50" t="s">
        <v>1125</v>
      </c>
      <c r="H50">
        <v>38747</v>
      </c>
      <c r="I50">
        <v>38746</v>
      </c>
      <c r="J50" t="s">
        <v>1413</v>
      </c>
      <c r="K50">
        <v>2</v>
      </c>
      <c r="L50">
        <v>2</v>
      </c>
      <c r="M50" t="s">
        <v>1419</v>
      </c>
      <c r="N50">
        <v>56078603</v>
      </c>
      <c r="O50" s="1021" t="s">
        <v>1173</v>
      </c>
    </row>
    <row r="51" spans="3:15" x14ac:dyDescent="0.2">
      <c r="C51">
        <v>304685</v>
      </c>
      <c r="D51" t="s">
        <v>1309</v>
      </c>
      <c r="E51" t="s">
        <v>1301</v>
      </c>
      <c r="F51">
        <v>177</v>
      </c>
      <c r="G51" t="s">
        <v>1125</v>
      </c>
      <c r="H51">
        <v>87336</v>
      </c>
      <c r="I51">
        <v>87336</v>
      </c>
      <c r="J51" t="s">
        <v>16</v>
      </c>
      <c r="K51">
        <v>2</v>
      </c>
      <c r="L51">
        <v>1</v>
      </c>
      <c r="M51" t="s">
        <v>1419</v>
      </c>
      <c r="N51">
        <v>56078603</v>
      </c>
      <c r="O51" s="1021" t="s">
        <v>1173</v>
      </c>
    </row>
    <row r="52" spans="3:15" x14ac:dyDescent="0.2">
      <c r="C52">
        <v>304686</v>
      </c>
      <c r="D52" t="s">
        <v>1315</v>
      </c>
      <c r="E52" t="s">
        <v>1301</v>
      </c>
      <c r="F52">
        <v>56</v>
      </c>
      <c r="G52" t="s">
        <v>1125</v>
      </c>
      <c r="H52">
        <v>209</v>
      </c>
      <c r="I52">
        <v>209</v>
      </c>
      <c r="J52" t="s">
        <v>1418</v>
      </c>
      <c r="K52">
        <v>2</v>
      </c>
      <c r="L52">
        <v>9</v>
      </c>
      <c r="M52" t="s">
        <v>1419</v>
      </c>
      <c r="N52">
        <v>56078603</v>
      </c>
      <c r="O52" s="1021" t="s">
        <v>1173</v>
      </c>
    </row>
    <row r="53" spans="3:15" x14ac:dyDescent="0.2">
      <c r="C53">
        <v>304687</v>
      </c>
      <c r="D53" t="s">
        <v>1315</v>
      </c>
      <c r="E53" t="s">
        <v>1301</v>
      </c>
      <c r="F53">
        <v>56</v>
      </c>
      <c r="G53" t="s">
        <v>1125</v>
      </c>
      <c r="H53">
        <v>125822</v>
      </c>
      <c r="I53">
        <v>125821.98</v>
      </c>
      <c r="J53" t="s">
        <v>1414</v>
      </c>
      <c r="K53">
        <v>2</v>
      </c>
      <c r="L53">
        <v>3</v>
      </c>
      <c r="M53" t="s">
        <v>1419</v>
      </c>
      <c r="N53">
        <v>56078603</v>
      </c>
      <c r="O53" s="1021" t="s">
        <v>1173</v>
      </c>
    </row>
    <row r="54" spans="3:15" x14ac:dyDescent="0.2">
      <c r="C54">
        <v>304688</v>
      </c>
      <c r="D54" t="s">
        <v>1315</v>
      </c>
      <c r="E54" t="s">
        <v>1301</v>
      </c>
      <c r="F54">
        <v>56</v>
      </c>
      <c r="G54" t="s">
        <v>1125</v>
      </c>
      <c r="H54">
        <v>125825</v>
      </c>
      <c r="I54">
        <v>125824</v>
      </c>
      <c r="J54" t="s">
        <v>1413</v>
      </c>
      <c r="K54">
        <v>2</v>
      </c>
      <c r="L54">
        <v>2</v>
      </c>
      <c r="M54" t="s">
        <v>1419</v>
      </c>
      <c r="N54">
        <v>56078603</v>
      </c>
      <c r="O54" s="1021" t="s">
        <v>1173</v>
      </c>
    </row>
    <row r="55" spans="3:15" x14ac:dyDescent="0.2">
      <c r="C55">
        <v>304689</v>
      </c>
      <c r="D55" t="s">
        <v>1321</v>
      </c>
      <c r="E55" t="s">
        <v>1301</v>
      </c>
      <c r="F55">
        <v>439</v>
      </c>
      <c r="G55" t="s">
        <v>1125</v>
      </c>
      <c r="H55">
        <v>124185</v>
      </c>
      <c r="I55">
        <v>124185.85</v>
      </c>
      <c r="J55" t="s">
        <v>1414</v>
      </c>
      <c r="K55">
        <v>2</v>
      </c>
      <c r="L55">
        <v>3</v>
      </c>
      <c r="M55" t="s">
        <v>1419</v>
      </c>
      <c r="N55">
        <v>56078603</v>
      </c>
      <c r="O55" s="1021" t="s">
        <v>1173</v>
      </c>
    </row>
    <row r="56" spans="3:15" x14ac:dyDescent="0.2">
      <c r="C56">
        <v>304690</v>
      </c>
      <c r="D56" t="s">
        <v>1321</v>
      </c>
      <c r="E56" t="s">
        <v>1301</v>
      </c>
      <c r="F56">
        <v>439</v>
      </c>
      <c r="G56" t="s">
        <v>1125</v>
      </c>
      <c r="H56">
        <v>16042</v>
      </c>
      <c r="I56">
        <v>16042</v>
      </c>
      <c r="J56" t="s">
        <v>1418</v>
      </c>
      <c r="K56">
        <v>2</v>
      </c>
      <c r="L56">
        <v>9</v>
      </c>
      <c r="M56" t="s">
        <v>1419</v>
      </c>
      <c r="N56">
        <v>56078603</v>
      </c>
      <c r="O56" s="1021" t="s">
        <v>1173</v>
      </c>
    </row>
    <row r="57" spans="3:15" x14ac:dyDescent="0.2">
      <c r="C57">
        <v>304691</v>
      </c>
      <c r="D57" t="s">
        <v>1321</v>
      </c>
      <c r="E57" t="s">
        <v>1301</v>
      </c>
      <c r="F57">
        <v>439</v>
      </c>
      <c r="G57" t="s">
        <v>1125</v>
      </c>
      <c r="H57">
        <v>120219</v>
      </c>
      <c r="I57">
        <v>120220.1</v>
      </c>
      <c r="J57" t="s">
        <v>1413</v>
      </c>
      <c r="K57">
        <v>2</v>
      </c>
      <c r="L57">
        <v>2</v>
      </c>
      <c r="M57" t="s">
        <v>1419</v>
      </c>
      <c r="N57">
        <v>56078603</v>
      </c>
      <c r="O57" s="1021" t="s">
        <v>1173</v>
      </c>
    </row>
    <row r="58" spans="3:15" x14ac:dyDescent="0.2">
      <c r="C58">
        <v>304692</v>
      </c>
      <c r="D58" t="s">
        <v>1325</v>
      </c>
      <c r="E58" t="s">
        <v>1301</v>
      </c>
      <c r="F58">
        <v>384</v>
      </c>
      <c r="G58" t="s">
        <v>1125</v>
      </c>
      <c r="H58">
        <v>6395</v>
      </c>
      <c r="I58">
        <v>6395</v>
      </c>
      <c r="J58" t="s">
        <v>1413</v>
      </c>
      <c r="K58">
        <v>2</v>
      </c>
      <c r="L58">
        <v>2</v>
      </c>
      <c r="M58" t="s">
        <v>1419</v>
      </c>
      <c r="N58">
        <v>56078603</v>
      </c>
      <c r="O58" s="1021" t="s">
        <v>1173</v>
      </c>
    </row>
    <row r="59" spans="3:15" x14ac:dyDescent="0.2">
      <c r="C59">
        <v>304693</v>
      </c>
      <c r="D59" t="s">
        <v>1325</v>
      </c>
      <c r="E59" t="s">
        <v>1301</v>
      </c>
      <c r="F59">
        <v>384</v>
      </c>
      <c r="G59" t="s">
        <v>1125</v>
      </c>
      <c r="H59">
        <v>6395</v>
      </c>
      <c r="I59">
        <v>6395</v>
      </c>
      <c r="J59" t="s">
        <v>1414</v>
      </c>
      <c r="K59">
        <v>2</v>
      </c>
      <c r="L59">
        <v>3</v>
      </c>
      <c r="M59" t="s">
        <v>1419</v>
      </c>
      <c r="N59">
        <v>56078603</v>
      </c>
      <c r="O59" s="1021" t="s">
        <v>1173</v>
      </c>
    </row>
    <row r="60" spans="3:15" x14ac:dyDescent="0.2">
      <c r="C60">
        <v>304694</v>
      </c>
      <c r="D60" t="s">
        <v>1330</v>
      </c>
      <c r="E60" t="s">
        <v>1339</v>
      </c>
      <c r="F60">
        <v>993</v>
      </c>
      <c r="G60" t="s">
        <v>1125</v>
      </c>
      <c r="H60">
        <v>209735.74</v>
      </c>
      <c r="I60">
        <v>209735.74</v>
      </c>
      <c r="J60" t="s">
        <v>16</v>
      </c>
      <c r="K60">
        <v>2</v>
      </c>
      <c r="L60">
        <v>1</v>
      </c>
      <c r="M60" t="s">
        <v>1332</v>
      </c>
      <c r="N60">
        <v>56078603</v>
      </c>
      <c r="O60" s="1021" t="s">
        <v>1332</v>
      </c>
    </row>
    <row r="61" spans="3:15" x14ac:dyDescent="0.2">
      <c r="C61">
        <v>304695</v>
      </c>
      <c r="D61" t="s">
        <v>1330</v>
      </c>
      <c r="E61" t="s">
        <v>1339</v>
      </c>
      <c r="F61">
        <v>993</v>
      </c>
      <c r="G61" t="s">
        <v>1125</v>
      </c>
      <c r="H61">
        <v>242620.43</v>
      </c>
      <c r="I61">
        <v>242620.43</v>
      </c>
      <c r="J61" t="s">
        <v>1413</v>
      </c>
      <c r="K61">
        <v>2</v>
      </c>
      <c r="L61">
        <v>2</v>
      </c>
      <c r="M61" t="s">
        <v>1332</v>
      </c>
      <c r="N61">
        <v>56078603</v>
      </c>
      <c r="O61" s="1021" t="s">
        <v>1332</v>
      </c>
    </row>
    <row r="62" spans="3:15" x14ac:dyDescent="0.2">
      <c r="C62">
        <v>304696</v>
      </c>
      <c r="D62" t="s">
        <v>1330</v>
      </c>
      <c r="E62" t="s">
        <v>1339</v>
      </c>
      <c r="F62">
        <v>993</v>
      </c>
      <c r="G62" t="s">
        <v>1125</v>
      </c>
      <c r="H62">
        <v>260098.27</v>
      </c>
      <c r="I62">
        <v>260098.27</v>
      </c>
      <c r="J62" t="s">
        <v>1414</v>
      </c>
      <c r="K62">
        <v>2</v>
      </c>
      <c r="L62">
        <v>3</v>
      </c>
      <c r="M62" t="s">
        <v>1332</v>
      </c>
      <c r="N62">
        <v>56078603</v>
      </c>
      <c r="O62" s="1021" t="s">
        <v>1332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21"/>
  <dimension ref="C2:T104"/>
  <sheetViews>
    <sheetView rightToLeft="1" topLeftCell="C1" workbookViewId="0">
      <selection activeCell="AL8" sqref="AL8"/>
    </sheetView>
  </sheetViews>
  <sheetFormatPr defaultRowHeight="12.75" x14ac:dyDescent="0.2"/>
  <cols>
    <col min="15" max="15" width="14" customWidth="1"/>
    <col min="16" max="16" width="12.85546875" customWidth="1"/>
  </cols>
  <sheetData>
    <row r="2" spans="3:20" ht="15.75" x14ac:dyDescent="0.25">
      <c r="H2" s="25" t="s">
        <v>506</v>
      </c>
    </row>
    <row r="5" spans="3:20" ht="36.75" customHeight="1" x14ac:dyDescent="0.25">
      <c r="D5" s="3" t="s">
        <v>2</v>
      </c>
      <c r="E5" s="3"/>
      <c r="F5" s="3"/>
      <c r="G5" s="3"/>
      <c r="H5" s="3"/>
      <c r="I5" s="3" t="s">
        <v>16</v>
      </c>
      <c r="J5" s="3" t="s">
        <v>204</v>
      </c>
      <c r="K5" s="3" t="s">
        <v>205</v>
      </c>
      <c r="L5" s="3" t="s">
        <v>17</v>
      </c>
      <c r="M5" s="3" t="s">
        <v>18</v>
      </c>
      <c r="N5" s="3" t="s">
        <v>206</v>
      </c>
      <c r="O5" s="3" t="s">
        <v>207</v>
      </c>
      <c r="P5" s="3" t="s">
        <v>208</v>
      </c>
      <c r="Q5" s="3" t="s">
        <v>21</v>
      </c>
      <c r="S5" s="4" t="s">
        <v>298</v>
      </c>
      <c r="T5" s="4" t="s">
        <v>297</v>
      </c>
    </row>
    <row r="6" spans="3:20" x14ac:dyDescent="0.2">
      <c r="C6">
        <v>302886</v>
      </c>
      <c r="D6" t="s">
        <v>1205</v>
      </c>
      <c r="E6" t="s">
        <v>1212</v>
      </c>
      <c r="F6">
        <v>1</v>
      </c>
      <c r="G6" t="s">
        <v>1420</v>
      </c>
      <c r="H6" t="s">
        <v>1413</v>
      </c>
      <c r="I6">
        <v>1428</v>
      </c>
      <c r="J6" t="s">
        <v>1125</v>
      </c>
      <c r="K6">
        <v>1</v>
      </c>
      <c r="L6">
        <v>2</v>
      </c>
      <c r="M6">
        <v>2</v>
      </c>
      <c r="O6">
        <v>56078603</v>
      </c>
      <c r="P6" t="s">
        <v>1206</v>
      </c>
      <c r="Q6">
        <v>1</v>
      </c>
      <c r="S6">
        <f>VALUE(K6)+VALUE(L6)+VALUE(M6)+VALUE(Q6)</f>
        <v>6</v>
      </c>
      <c r="T6" t="e">
        <f>VALUE(J6)+VALUE(N6)</f>
        <v>#VALUE!</v>
      </c>
    </row>
    <row r="7" spans="3:20" x14ac:dyDescent="0.2">
      <c r="C7">
        <v>302887</v>
      </c>
      <c r="D7" t="s">
        <v>1205</v>
      </c>
      <c r="E7" t="s">
        <v>1212</v>
      </c>
      <c r="F7">
        <v>1</v>
      </c>
      <c r="G7" t="s">
        <v>1420</v>
      </c>
      <c r="H7" t="s">
        <v>1414</v>
      </c>
      <c r="I7">
        <v>1405</v>
      </c>
      <c r="J7" t="s">
        <v>1125</v>
      </c>
      <c r="K7">
        <v>1</v>
      </c>
      <c r="L7">
        <v>3</v>
      </c>
      <c r="M7">
        <v>2</v>
      </c>
      <c r="O7">
        <v>56078603</v>
      </c>
      <c r="P7" t="s">
        <v>1206</v>
      </c>
      <c r="Q7">
        <v>1</v>
      </c>
      <c r="S7">
        <f t="shared" ref="S7:S70" si="0">VALUE(K7)+VALUE(L7)+VALUE(M7)+VALUE(Q7)</f>
        <v>7</v>
      </c>
      <c r="T7" t="e">
        <f t="shared" ref="T7:T70" si="1">VALUE(J7)+VALUE(N7)</f>
        <v>#VALUE!</v>
      </c>
    </row>
    <row r="8" spans="3:20" x14ac:dyDescent="0.2">
      <c r="C8">
        <v>390116</v>
      </c>
      <c r="D8" t="s">
        <v>1293</v>
      </c>
      <c r="E8" t="s">
        <v>1301</v>
      </c>
      <c r="F8">
        <v>443</v>
      </c>
      <c r="G8" t="s">
        <v>1420</v>
      </c>
      <c r="H8" t="s">
        <v>1414</v>
      </c>
      <c r="I8">
        <v>653</v>
      </c>
      <c r="J8" t="s">
        <v>1421</v>
      </c>
      <c r="K8">
        <v>1</v>
      </c>
      <c r="L8">
        <v>3</v>
      </c>
      <c r="M8">
        <v>4</v>
      </c>
      <c r="N8" t="s">
        <v>1419</v>
      </c>
      <c r="O8">
        <v>56078603</v>
      </c>
      <c r="P8" t="s">
        <v>1173</v>
      </c>
      <c r="Q8">
        <v>1</v>
      </c>
      <c r="S8">
        <f t="shared" si="0"/>
        <v>9</v>
      </c>
      <c r="T8" t="e">
        <f t="shared" si="1"/>
        <v>#VALUE!</v>
      </c>
    </row>
    <row r="9" spans="3:20" x14ac:dyDescent="0.2">
      <c r="C9">
        <v>390122</v>
      </c>
      <c r="D9" t="s">
        <v>1309</v>
      </c>
      <c r="E9" t="s">
        <v>1301</v>
      </c>
      <c r="F9">
        <v>177</v>
      </c>
      <c r="G9" t="s">
        <v>1420</v>
      </c>
      <c r="H9" t="s">
        <v>1413</v>
      </c>
      <c r="I9">
        <v>1449</v>
      </c>
      <c r="J9" t="s">
        <v>1421</v>
      </c>
      <c r="K9">
        <v>1</v>
      </c>
      <c r="L9">
        <v>2</v>
      </c>
      <c r="M9">
        <v>4</v>
      </c>
      <c r="N9" t="s">
        <v>1419</v>
      </c>
      <c r="O9">
        <v>56078603</v>
      </c>
      <c r="P9" t="s">
        <v>1173</v>
      </c>
      <c r="Q9">
        <v>1</v>
      </c>
      <c r="S9">
        <f t="shared" si="0"/>
        <v>8</v>
      </c>
      <c r="T9" t="e">
        <f t="shared" si="1"/>
        <v>#VALUE!</v>
      </c>
    </row>
    <row r="10" spans="3:20" x14ac:dyDescent="0.2">
      <c r="C10">
        <v>390123</v>
      </c>
      <c r="D10" t="s">
        <v>1309</v>
      </c>
      <c r="E10" t="s">
        <v>1301</v>
      </c>
      <c r="F10">
        <v>177</v>
      </c>
      <c r="G10" t="s">
        <v>1420</v>
      </c>
      <c r="H10" t="s">
        <v>1414</v>
      </c>
      <c r="I10">
        <v>1449</v>
      </c>
      <c r="J10" t="s">
        <v>1421</v>
      </c>
      <c r="K10">
        <v>1</v>
      </c>
      <c r="L10">
        <v>3</v>
      </c>
      <c r="M10">
        <v>4</v>
      </c>
      <c r="N10" t="s">
        <v>1419</v>
      </c>
      <c r="O10">
        <v>56078603</v>
      </c>
      <c r="P10" t="s">
        <v>1173</v>
      </c>
      <c r="Q10">
        <v>1</v>
      </c>
      <c r="S10">
        <f t="shared" si="0"/>
        <v>9</v>
      </c>
      <c r="T10" t="e">
        <f t="shared" si="1"/>
        <v>#VALUE!</v>
      </c>
    </row>
    <row r="11" spans="3:20" x14ac:dyDescent="0.2">
      <c r="C11">
        <v>390124</v>
      </c>
      <c r="D11" t="s">
        <v>1315</v>
      </c>
      <c r="E11" t="s">
        <v>1301</v>
      </c>
      <c r="F11">
        <v>56</v>
      </c>
      <c r="G11" t="s">
        <v>1420</v>
      </c>
      <c r="H11" t="s">
        <v>1413</v>
      </c>
      <c r="I11">
        <v>114394</v>
      </c>
      <c r="J11" t="s">
        <v>1421</v>
      </c>
      <c r="K11">
        <v>1</v>
      </c>
      <c r="L11">
        <v>2</v>
      </c>
      <c r="M11">
        <v>4</v>
      </c>
      <c r="N11" t="s">
        <v>1419</v>
      </c>
      <c r="O11">
        <v>56078603</v>
      </c>
      <c r="P11" t="s">
        <v>1173</v>
      </c>
      <c r="Q11">
        <v>1</v>
      </c>
      <c r="S11">
        <f t="shared" si="0"/>
        <v>8</v>
      </c>
      <c r="T11" t="e">
        <f t="shared" si="1"/>
        <v>#VALUE!</v>
      </c>
    </row>
    <row r="12" spans="3:20" x14ac:dyDescent="0.2">
      <c r="C12">
        <v>390130</v>
      </c>
      <c r="D12" t="s">
        <v>1325</v>
      </c>
      <c r="E12" t="s">
        <v>1301</v>
      </c>
      <c r="F12">
        <v>384</v>
      </c>
      <c r="G12" t="s">
        <v>1420</v>
      </c>
      <c r="H12" t="s">
        <v>1414</v>
      </c>
      <c r="I12">
        <v>6395</v>
      </c>
      <c r="J12" t="s">
        <v>1421</v>
      </c>
      <c r="K12">
        <v>1</v>
      </c>
      <c r="L12">
        <v>3</v>
      </c>
      <c r="M12">
        <v>4</v>
      </c>
      <c r="N12" t="s">
        <v>1419</v>
      </c>
      <c r="O12">
        <v>56078603</v>
      </c>
      <c r="P12" t="s">
        <v>1173</v>
      </c>
      <c r="Q12">
        <v>1</v>
      </c>
      <c r="S12">
        <f t="shared" si="0"/>
        <v>9</v>
      </c>
      <c r="T12" t="e">
        <f t="shared" si="1"/>
        <v>#VALUE!</v>
      </c>
    </row>
    <row r="13" spans="3:20" x14ac:dyDescent="0.2">
      <c r="C13">
        <v>390131</v>
      </c>
      <c r="D13" t="s">
        <v>1325</v>
      </c>
      <c r="E13" t="s">
        <v>1301</v>
      </c>
      <c r="F13">
        <v>384</v>
      </c>
      <c r="G13" t="s">
        <v>1420</v>
      </c>
      <c r="H13" t="s">
        <v>1413</v>
      </c>
      <c r="I13">
        <v>6395</v>
      </c>
      <c r="J13" t="s">
        <v>1421</v>
      </c>
      <c r="K13">
        <v>1</v>
      </c>
      <c r="L13">
        <v>2</v>
      </c>
      <c r="M13">
        <v>4</v>
      </c>
      <c r="N13" t="s">
        <v>1419</v>
      </c>
      <c r="O13">
        <v>56078603</v>
      </c>
      <c r="P13" t="s">
        <v>1173</v>
      </c>
      <c r="Q13">
        <v>1</v>
      </c>
      <c r="S13">
        <f t="shared" si="0"/>
        <v>8</v>
      </c>
      <c r="T13" t="e">
        <f t="shared" si="1"/>
        <v>#VALUE!</v>
      </c>
    </row>
    <row r="14" spans="3:20" x14ac:dyDescent="0.2">
      <c r="C14">
        <v>390133</v>
      </c>
      <c r="D14" t="s">
        <v>1330</v>
      </c>
      <c r="E14" t="s">
        <v>1339</v>
      </c>
      <c r="F14">
        <v>993</v>
      </c>
      <c r="G14" t="s">
        <v>1420</v>
      </c>
      <c r="H14" t="s">
        <v>1413</v>
      </c>
      <c r="I14">
        <v>0</v>
      </c>
      <c r="J14" t="s">
        <v>1125</v>
      </c>
      <c r="K14">
        <v>1</v>
      </c>
      <c r="L14">
        <v>2</v>
      </c>
      <c r="M14">
        <v>2</v>
      </c>
      <c r="N14" t="s">
        <v>1332</v>
      </c>
      <c r="O14">
        <v>56078603</v>
      </c>
      <c r="P14" t="s">
        <v>1332</v>
      </c>
      <c r="Q14">
        <v>1</v>
      </c>
      <c r="S14">
        <f t="shared" si="0"/>
        <v>6</v>
      </c>
      <c r="T14" t="e">
        <f t="shared" si="1"/>
        <v>#VALUE!</v>
      </c>
    </row>
    <row r="15" spans="3:20" x14ac:dyDescent="0.2">
      <c r="S15">
        <f t="shared" si="0"/>
        <v>0</v>
      </c>
      <c r="T15">
        <f t="shared" si="1"/>
        <v>0</v>
      </c>
    </row>
    <row r="16" spans="3:20" x14ac:dyDescent="0.2">
      <c r="S16">
        <f t="shared" si="0"/>
        <v>0</v>
      </c>
      <c r="T16">
        <f t="shared" si="1"/>
        <v>0</v>
      </c>
    </row>
    <row r="17" spans="19:20" x14ac:dyDescent="0.2">
      <c r="S17">
        <f t="shared" si="0"/>
        <v>0</v>
      </c>
      <c r="T17">
        <f t="shared" si="1"/>
        <v>0</v>
      </c>
    </row>
    <row r="18" spans="19:20" x14ac:dyDescent="0.2">
      <c r="S18">
        <f t="shared" si="0"/>
        <v>0</v>
      </c>
      <c r="T18">
        <f t="shared" si="1"/>
        <v>0</v>
      </c>
    </row>
    <row r="19" spans="19:20" x14ac:dyDescent="0.2">
      <c r="S19">
        <f t="shared" si="0"/>
        <v>0</v>
      </c>
      <c r="T19">
        <f t="shared" si="1"/>
        <v>0</v>
      </c>
    </row>
    <row r="20" spans="19:20" x14ac:dyDescent="0.2">
      <c r="S20">
        <f t="shared" si="0"/>
        <v>0</v>
      </c>
      <c r="T20">
        <f t="shared" si="1"/>
        <v>0</v>
      </c>
    </row>
    <row r="21" spans="19:20" x14ac:dyDescent="0.2">
      <c r="S21">
        <f t="shared" si="0"/>
        <v>0</v>
      </c>
      <c r="T21">
        <f t="shared" si="1"/>
        <v>0</v>
      </c>
    </row>
    <row r="22" spans="19:20" x14ac:dyDescent="0.2">
      <c r="S22">
        <f t="shared" si="0"/>
        <v>0</v>
      </c>
      <c r="T22">
        <f t="shared" si="1"/>
        <v>0</v>
      </c>
    </row>
    <row r="23" spans="19:20" x14ac:dyDescent="0.2">
      <c r="S23">
        <f t="shared" si="0"/>
        <v>0</v>
      </c>
      <c r="T23">
        <f t="shared" si="1"/>
        <v>0</v>
      </c>
    </row>
    <row r="24" spans="19:20" x14ac:dyDescent="0.2">
      <c r="S24">
        <f t="shared" si="0"/>
        <v>0</v>
      </c>
      <c r="T24">
        <f t="shared" si="1"/>
        <v>0</v>
      </c>
    </row>
    <row r="25" spans="19:20" x14ac:dyDescent="0.2">
      <c r="S25">
        <f t="shared" si="0"/>
        <v>0</v>
      </c>
      <c r="T25">
        <f t="shared" si="1"/>
        <v>0</v>
      </c>
    </row>
    <row r="26" spans="19:20" x14ac:dyDescent="0.2">
      <c r="S26">
        <f t="shared" si="0"/>
        <v>0</v>
      </c>
      <c r="T26">
        <f t="shared" si="1"/>
        <v>0</v>
      </c>
    </row>
    <row r="27" spans="19:20" x14ac:dyDescent="0.2">
      <c r="S27">
        <f t="shared" si="0"/>
        <v>0</v>
      </c>
      <c r="T27">
        <f t="shared" si="1"/>
        <v>0</v>
      </c>
    </row>
    <row r="28" spans="19:20" x14ac:dyDescent="0.2">
      <c r="S28">
        <f t="shared" si="0"/>
        <v>0</v>
      </c>
      <c r="T28">
        <f t="shared" si="1"/>
        <v>0</v>
      </c>
    </row>
    <row r="29" spans="19:20" x14ac:dyDescent="0.2">
      <c r="S29">
        <f t="shared" si="0"/>
        <v>0</v>
      </c>
      <c r="T29">
        <f t="shared" si="1"/>
        <v>0</v>
      </c>
    </row>
    <row r="30" spans="19:20" x14ac:dyDescent="0.2">
      <c r="S30">
        <f t="shared" si="0"/>
        <v>0</v>
      </c>
      <c r="T30">
        <f t="shared" si="1"/>
        <v>0</v>
      </c>
    </row>
    <row r="31" spans="19:20" x14ac:dyDescent="0.2">
      <c r="S31">
        <f t="shared" si="0"/>
        <v>0</v>
      </c>
      <c r="T31">
        <f t="shared" si="1"/>
        <v>0</v>
      </c>
    </row>
    <row r="32" spans="19:20" x14ac:dyDescent="0.2">
      <c r="S32">
        <f t="shared" si="0"/>
        <v>0</v>
      </c>
      <c r="T32">
        <f t="shared" si="1"/>
        <v>0</v>
      </c>
    </row>
    <row r="33" spans="19:20" x14ac:dyDescent="0.2">
      <c r="S33">
        <f t="shared" si="0"/>
        <v>0</v>
      </c>
      <c r="T33">
        <f t="shared" si="1"/>
        <v>0</v>
      </c>
    </row>
    <row r="34" spans="19:20" x14ac:dyDescent="0.2">
      <c r="S34">
        <f t="shared" si="0"/>
        <v>0</v>
      </c>
      <c r="T34">
        <f t="shared" si="1"/>
        <v>0</v>
      </c>
    </row>
    <row r="35" spans="19:20" x14ac:dyDescent="0.2">
      <c r="S35">
        <f t="shared" si="0"/>
        <v>0</v>
      </c>
      <c r="T35">
        <f t="shared" si="1"/>
        <v>0</v>
      </c>
    </row>
    <row r="36" spans="19:20" x14ac:dyDescent="0.2">
      <c r="S36">
        <f t="shared" si="0"/>
        <v>0</v>
      </c>
      <c r="T36">
        <f t="shared" si="1"/>
        <v>0</v>
      </c>
    </row>
    <row r="37" spans="19:20" x14ac:dyDescent="0.2">
      <c r="S37">
        <f t="shared" si="0"/>
        <v>0</v>
      </c>
      <c r="T37">
        <f t="shared" si="1"/>
        <v>0</v>
      </c>
    </row>
    <row r="38" spans="19:20" x14ac:dyDescent="0.2">
      <c r="S38">
        <f t="shared" si="0"/>
        <v>0</v>
      </c>
      <c r="T38">
        <f t="shared" si="1"/>
        <v>0</v>
      </c>
    </row>
    <row r="39" spans="19:20" x14ac:dyDescent="0.2">
      <c r="S39">
        <f t="shared" si="0"/>
        <v>0</v>
      </c>
      <c r="T39">
        <f t="shared" si="1"/>
        <v>0</v>
      </c>
    </row>
    <row r="40" spans="19:20" x14ac:dyDescent="0.2">
      <c r="S40">
        <f t="shared" si="0"/>
        <v>0</v>
      </c>
      <c r="T40">
        <f t="shared" si="1"/>
        <v>0</v>
      </c>
    </row>
    <row r="41" spans="19:20" x14ac:dyDescent="0.2">
      <c r="S41">
        <f t="shared" si="0"/>
        <v>0</v>
      </c>
      <c r="T41">
        <f t="shared" si="1"/>
        <v>0</v>
      </c>
    </row>
    <row r="42" spans="19:20" x14ac:dyDescent="0.2">
      <c r="S42">
        <f t="shared" si="0"/>
        <v>0</v>
      </c>
      <c r="T42">
        <f t="shared" si="1"/>
        <v>0</v>
      </c>
    </row>
    <row r="43" spans="19:20" x14ac:dyDescent="0.2">
      <c r="S43">
        <f t="shared" si="0"/>
        <v>0</v>
      </c>
      <c r="T43">
        <f t="shared" si="1"/>
        <v>0</v>
      </c>
    </row>
    <row r="44" spans="19:20" x14ac:dyDescent="0.2">
      <c r="S44">
        <f t="shared" si="0"/>
        <v>0</v>
      </c>
      <c r="T44">
        <f t="shared" si="1"/>
        <v>0</v>
      </c>
    </row>
    <row r="45" spans="19:20" x14ac:dyDescent="0.2">
      <c r="S45">
        <f t="shared" si="0"/>
        <v>0</v>
      </c>
      <c r="T45">
        <f t="shared" si="1"/>
        <v>0</v>
      </c>
    </row>
    <row r="46" spans="19:20" x14ac:dyDescent="0.2">
      <c r="S46">
        <f t="shared" si="0"/>
        <v>0</v>
      </c>
      <c r="T46">
        <f t="shared" si="1"/>
        <v>0</v>
      </c>
    </row>
    <row r="47" spans="19:20" x14ac:dyDescent="0.2">
      <c r="S47">
        <f t="shared" si="0"/>
        <v>0</v>
      </c>
      <c r="T47">
        <f t="shared" si="1"/>
        <v>0</v>
      </c>
    </row>
    <row r="48" spans="19:20" x14ac:dyDescent="0.2">
      <c r="S48">
        <f t="shared" si="0"/>
        <v>0</v>
      </c>
      <c r="T48">
        <f t="shared" si="1"/>
        <v>0</v>
      </c>
    </row>
    <row r="49" spans="19:20" x14ac:dyDescent="0.2">
      <c r="S49">
        <f t="shared" si="0"/>
        <v>0</v>
      </c>
      <c r="T49">
        <f t="shared" si="1"/>
        <v>0</v>
      </c>
    </row>
    <row r="50" spans="19:20" x14ac:dyDescent="0.2">
      <c r="S50">
        <f t="shared" si="0"/>
        <v>0</v>
      </c>
      <c r="T50">
        <f t="shared" si="1"/>
        <v>0</v>
      </c>
    </row>
    <row r="51" spans="19:20" x14ac:dyDescent="0.2">
      <c r="S51">
        <f t="shared" si="0"/>
        <v>0</v>
      </c>
      <c r="T51">
        <f t="shared" si="1"/>
        <v>0</v>
      </c>
    </row>
    <row r="52" spans="19:20" x14ac:dyDescent="0.2">
      <c r="S52">
        <f t="shared" si="0"/>
        <v>0</v>
      </c>
      <c r="T52">
        <f t="shared" si="1"/>
        <v>0</v>
      </c>
    </row>
    <row r="53" spans="19:20" x14ac:dyDescent="0.2">
      <c r="S53">
        <f t="shared" si="0"/>
        <v>0</v>
      </c>
      <c r="T53">
        <f t="shared" si="1"/>
        <v>0</v>
      </c>
    </row>
    <row r="54" spans="19:20" x14ac:dyDescent="0.2">
      <c r="S54">
        <f t="shared" si="0"/>
        <v>0</v>
      </c>
      <c r="T54">
        <f t="shared" si="1"/>
        <v>0</v>
      </c>
    </row>
    <row r="55" spans="19:20" x14ac:dyDescent="0.2">
      <c r="S55">
        <f t="shared" si="0"/>
        <v>0</v>
      </c>
      <c r="T55">
        <f t="shared" si="1"/>
        <v>0</v>
      </c>
    </row>
    <row r="56" spans="19:20" x14ac:dyDescent="0.2">
      <c r="S56">
        <f t="shared" si="0"/>
        <v>0</v>
      </c>
      <c r="T56">
        <f t="shared" si="1"/>
        <v>0</v>
      </c>
    </row>
    <row r="57" spans="19:20" x14ac:dyDescent="0.2">
      <c r="S57">
        <f t="shared" si="0"/>
        <v>0</v>
      </c>
      <c r="T57">
        <f t="shared" si="1"/>
        <v>0</v>
      </c>
    </row>
    <row r="58" spans="19:20" x14ac:dyDescent="0.2">
      <c r="S58">
        <f t="shared" si="0"/>
        <v>0</v>
      </c>
      <c r="T58">
        <f t="shared" si="1"/>
        <v>0</v>
      </c>
    </row>
    <row r="59" spans="19:20" x14ac:dyDescent="0.2">
      <c r="S59">
        <f t="shared" si="0"/>
        <v>0</v>
      </c>
      <c r="T59">
        <f t="shared" si="1"/>
        <v>0</v>
      </c>
    </row>
    <row r="60" spans="19:20" x14ac:dyDescent="0.2">
      <c r="S60">
        <f t="shared" si="0"/>
        <v>0</v>
      </c>
      <c r="T60">
        <f t="shared" si="1"/>
        <v>0</v>
      </c>
    </row>
    <row r="61" spans="19:20" x14ac:dyDescent="0.2">
      <c r="S61">
        <f t="shared" si="0"/>
        <v>0</v>
      </c>
      <c r="T61">
        <f t="shared" si="1"/>
        <v>0</v>
      </c>
    </row>
    <row r="62" spans="19:20" x14ac:dyDescent="0.2">
      <c r="S62">
        <f t="shared" si="0"/>
        <v>0</v>
      </c>
      <c r="T62">
        <f t="shared" si="1"/>
        <v>0</v>
      </c>
    </row>
    <row r="63" spans="19:20" x14ac:dyDescent="0.2">
      <c r="S63">
        <f t="shared" si="0"/>
        <v>0</v>
      </c>
      <c r="T63">
        <f t="shared" si="1"/>
        <v>0</v>
      </c>
    </row>
    <row r="64" spans="19:20" x14ac:dyDescent="0.2">
      <c r="S64">
        <f t="shared" si="0"/>
        <v>0</v>
      </c>
      <c r="T64">
        <f t="shared" si="1"/>
        <v>0</v>
      </c>
    </row>
    <row r="65" spans="19:20" x14ac:dyDescent="0.2">
      <c r="S65">
        <f t="shared" si="0"/>
        <v>0</v>
      </c>
      <c r="T65">
        <f t="shared" si="1"/>
        <v>0</v>
      </c>
    </row>
    <row r="66" spans="19:20" x14ac:dyDescent="0.2">
      <c r="S66">
        <f t="shared" si="0"/>
        <v>0</v>
      </c>
      <c r="T66">
        <f t="shared" si="1"/>
        <v>0</v>
      </c>
    </row>
    <row r="67" spans="19:20" x14ac:dyDescent="0.2">
      <c r="S67">
        <f t="shared" si="0"/>
        <v>0</v>
      </c>
      <c r="T67">
        <f t="shared" si="1"/>
        <v>0</v>
      </c>
    </row>
    <row r="68" spans="19:20" x14ac:dyDescent="0.2">
      <c r="S68">
        <f t="shared" si="0"/>
        <v>0</v>
      </c>
      <c r="T68">
        <f t="shared" si="1"/>
        <v>0</v>
      </c>
    </row>
    <row r="69" spans="19:20" x14ac:dyDescent="0.2">
      <c r="S69">
        <f t="shared" si="0"/>
        <v>0</v>
      </c>
      <c r="T69">
        <f t="shared" si="1"/>
        <v>0</v>
      </c>
    </row>
    <row r="70" spans="19:20" x14ac:dyDescent="0.2">
      <c r="S70">
        <f t="shared" si="0"/>
        <v>0</v>
      </c>
      <c r="T70">
        <f t="shared" si="1"/>
        <v>0</v>
      </c>
    </row>
    <row r="71" spans="19:20" x14ac:dyDescent="0.2">
      <c r="S71">
        <f t="shared" ref="S71:S104" si="2">VALUE(K71)+VALUE(L71)+VALUE(M71)+VALUE(Q71)</f>
        <v>0</v>
      </c>
      <c r="T71">
        <f t="shared" ref="T71:T104" si="3">VALUE(J71)+VALUE(N71)</f>
        <v>0</v>
      </c>
    </row>
    <row r="72" spans="19:20" x14ac:dyDescent="0.2">
      <c r="S72">
        <f t="shared" si="2"/>
        <v>0</v>
      </c>
      <c r="T72">
        <f t="shared" si="3"/>
        <v>0</v>
      </c>
    </row>
    <row r="73" spans="19:20" x14ac:dyDescent="0.2">
      <c r="S73">
        <f t="shared" si="2"/>
        <v>0</v>
      </c>
      <c r="T73">
        <f t="shared" si="3"/>
        <v>0</v>
      </c>
    </row>
    <row r="74" spans="19:20" x14ac:dyDescent="0.2">
      <c r="S74">
        <f t="shared" si="2"/>
        <v>0</v>
      </c>
      <c r="T74">
        <f t="shared" si="3"/>
        <v>0</v>
      </c>
    </row>
    <row r="75" spans="19:20" x14ac:dyDescent="0.2">
      <c r="S75">
        <f t="shared" si="2"/>
        <v>0</v>
      </c>
      <c r="T75">
        <f t="shared" si="3"/>
        <v>0</v>
      </c>
    </row>
    <row r="76" spans="19:20" x14ac:dyDescent="0.2">
      <c r="S76">
        <f t="shared" si="2"/>
        <v>0</v>
      </c>
      <c r="T76">
        <f t="shared" si="3"/>
        <v>0</v>
      </c>
    </row>
    <row r="77" spans="19:20" x14ac:dyDescent="0.2">
      <c r="S77">
        <f t="shared" si="2"/>
        <v>0</v>
      </c>
      <c r="T77">
        <f t="shared" si="3"/>
        <v>0</v>
      </c>
    </row>
    <row r="78" spans="19:20" x14ac:dyDescent="0.2">
      <c r="S78">
        <f t="shared" si="2"/>
        <v>0</v>
      </c>
      <c r="T78">
        <f t="shared" si="3"/>
        <v>0</v>
      </c>
    </row>
    <row r="79" spans="19:20" x14ac:dyDescent="0.2">
      <c r="S79">
        <f t="shared" si="2"/>
        <v>0</v>
      </c>
      <c r="T79">
        <f t="shared" si="3"/>
        <v>0</v>
      </c>
    </row>
    <row r="80" spans="19:20" x14ac:dyDescent="0.2">
      <c r="S80">
        <f t="shared" si="2"/>
        <v>0</v>
      </c>
      <c r="T80">
        <f t="shared" si="3"/>
        <v>0</v>
      </c>
    </row>
    <row r="81" spans="19:20" x14ac:dyDescent="0.2">
      <c r="S81">
        <f t="shared" si="2"/>
        <v>0</v>
      </c>
      <c r="T81">
        <f t="shared" si="3"/>
        <v>0</v>
      </c>
    </row>
    <row r="82" spans="19:20" x14ac:dyDescent="0.2">
      <c r="S82">
        <f t="shared" si="2"/>
        <v>0</v>
      </c>
      <c r="T82">
        <f t="shared" si="3"/>
        <v>0</v>
      </c>
    </row>
    <row r="83" spans="19:20" x14ac:dyDescent="0.2">
      <c r="S83">
        <f t="shared" si="2"/>
        <v>0</v>
      </c>
      <c r="T83">
        <f t="shared" si="3"/>
        <v>0</v>
      </c>
    </row>
    <row r="84" spans="19:20" x14ac:dyDescent="0.2">
      <c r="S84">
        <f t="shared" si="2"/>
        <v>0</v>
      </c>
      <c r="T84">
        <f t="shared" si="3"/>
        <v>0</v>
      </c>
    </row>
    <row r="85" spans="19:20" x14ac:dyDescent="0.2">
      <c r="S85">
        <f t="shared" si="2"/>
        <v>0</v>
      </c>
      <c r="T85">
        <f t="shared" si="3"/>
        <v>0</v>
      </c>
    </row>
    <row r="86" spans="19:20" x14ac:dyDescent="0.2">
      <c r="S86">
        <f t="shared" si="2"/>
        <v>0</v>
      </c>
      <c r="T86">
        <f t="shared" si="3"/>
        <v>0</v>
      </c>
    </row>
    <row r="87" spans="19:20" x14ac:dyDescent="0.2">
      <c r="S87">
        <f t="shared" si="2"/>
        <v>0</v>
      </c>
      <c r="T87">
        <f t="shared" si="3"/>
        <v>0</v>
      </c>
    </row>
    <row r="88" spans="19:20" x14ac:dyDescent="0.2">
      <c r="S88">
        <f t="shared" si="2"/>
        <v>0</v>
      </c>
      <c r="T88">
        <f t="shared" si="3"/>
        <v>0</v>
      </c>
    </row>
    <row r="89" spans="19:20" x14ac:dyDescent="0.2">
      <c r="S89">
        <f t="shared" si="2"/>
        <v>0</v>
      </c>
      <c r="T89">
        <f t="shared" si="3"/>
        <v>0</v>
      </c>
    </row>
    <row r="90" spans="19:20" x14ac:dyDescent="0.2">
      <c r="S90">
        <f t="shared" si="2"/>
        <v>0</v>
      </c>
      <c r="T90">
        <f t="shared" si="3"/>
        <v>0</v>
      </c>
    </row>
    <row r="91" spans="19:20" x14ac:dyDescent="0.2">
      <c r="S91">
        <f t="shared" si="2"/>
        <v>0</v>
      </c>
      <c r="T91">
        <f t="shared" si="3"/>
        <v>0</v>
      </c>
    </row>
    <row r="92" spans="19:20" x14ac:dyDescent="0.2">
      <c r="S92">
        <f t="shared" si="2"/>
        <v>0</v>
      </c>
      <c r="T92">
        <f t="shared" si="3"/>
        <v>0</v>
      </c>
    </row>
    <row r="93" spans="19:20" x14ac:dyDescent="0.2">
      <c r="S93">
        <f t="shared" si="2"/>
        <v>0</v>
      </c>
      <c r="T93">
        <f t="shared" si="3"/>
        <v>0</v>
      </c>
    </row>
    <row r="94" spans="19:20" x14ac:dyDescent="0.2">
      <c r="S94">
        <f t="shared" si="2"/>
        <v>0</v>
      </c>
      <c r="T94">
        <f t="shared" si="3"/>
        <v>0</v>
      </c>
    </row>
    <row r="95" spans="19:20" x14ac:dyDescent="0.2">
      <c r="S95">
        <f t="shared" si="2"/>
        <v>0</v>
      </c>
      <c r="T95">
        <f t="shared" si="3"/>
        <v>0</v>
      </c>
    </row>
    <row r="96" spans="19:20" x14ac:dyDescent="0.2">
      <c r="S96">
        <f t="shared" si="2"/>
        <v>0</v>
      </c>
      <c r="T96">
        <f t="shared" si="3"/>
        <v>0</v>
      </c>
    </row>
    <row r="97" spans="19:20" x14ac:dyDescent="0.2">
      <c r="S97">
        <f t="shared" si="2"/>
        <v>0</v>
      </c>
      <c r="T97">
        <f t="shared" si="3"/>
        <v>0</v>
      </c>
    </row>
    <row r="98" spans="19:20" x14ac:dyDescent="0.2">
      <c r="S98">
        <f t="shared" si="2"/>
        <v>0</v>
      </c>
      <c r="T98">
        <f t="shared" si="3"/>
        <v>0</v>
      </c>
    </row>
    <row r="99" spans="19:20" x14ac:dyDescent="0.2">
      <c r="S99">
        <f t="shared" si="2"/>
        <v>0</v>
      </c>
      <c r="T99">
        <f t="shared" si="3"/>
        <v>0</v>
      </c>
    </row>
    <row r="100" spans="19:20" x14ac:dyDescent="0.2">
      <c r="S100">
        <f t="shared" si="2"/>
        <v>0</v>
      </c>
      <c r="T100">
        <f t="shared" si="3"/>
        <v>0</v>
      </c>
    </row>
    <row r="101" spans="19:20" x14ac:dyDescent="0.2">
      <c r="S101">
        <f t="shared" si="2"/>
        <v>0</v>
      </c>
      <c r="T101">
        <f t="shared" si="3"/>
        <v>0</v>
      </c>
    </row>
    <row r="102" spans="19:20" x14ac:dyDescent="0.2">
      <c r="S102">
        <f t="shared" si="2"/>
        <v>0</v>
      </c>
      <c r="T102">
        <f t="shared" si="3"/>
        <v>0</v>
      </c>
    </row>
    <row r="103" spans="19:20" x14ac:dyDescent="0.2">
      <c r="S103">
        <f t="shared" si="2"/>
        <v>0</v>
      </c>
      <c r="T103">
        <f t="shared" si="3"/>
        <v>0</v>
      </c>
    </row>
    <row r="104" spans="19:20" x14ac:dyDescent="0.2">
      <c r="S104">
        <f t="shared" si="2"/>
        <v>0</v>
      </c>
      <c r="T104">
        <f t="shared" si="3"/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31"/>
  <dimension ref="C2:T104"/>
  <sheetViews>
    <sheetView rightToLeft="1" topLeftCell="C1" workbookViewId="0">
      <selection activeCell="AL8" sqref="AL8"/>
    </sheetView>
  </sheetViews>
  <sheetFormatPr defaultRowHeight="12.75" x14ac:dyDescent="0.2"/>
  <cols>
    <col min="15" max="15" width="13.42578125" customWidth="1"/>
    <col min="16" max="16" width="13.85546875" customWidth="1"/>
  </cols>
  <sheetData>
    <row r="2" spans="3:20" ht="15.75" x14ac:dyDescent="0.25">
      <c r="H2" s="25" t="s">
        <v>507</v>
      </c>
    </row>
    <row r="5" spans="3:20" ht="31.5" customHeight="1" x14ac:dyDescent="0.25">
      <c r="D5" s="3" t="s">
        <v>2</v>
      </c>
      <c r="E5" s="3"/>
      <c r="F5" s="3"/>
      <c r="G5" s="3"/>
      <c r="H5" s="3"/>
      <c r="I5" s="3" t="s">
        <v>16</v>
      </c>
      <c r="J5" s="3" t="s">
        <v>204</v>
      </c>
      <c r="K5" s="3" t="s">
        <v>205</v>
      </c>
      <c r="L5" s="3" t="s">
        <v>17</v>
      </c>
      <c r="M5" s="3" t="s">
        <v>18</v>
      </c>
      <c r="N5" s="3" t="s">
        <v>206</v>
      </c>
      <c r="O5" s="3" t="s">
        <v>207</v>
      </c>
      <c r="P5" s="3" t="s">
        <v>208</v>
      </c>
      <c r="Q5" s="3" t="s">
        <v>21</v>
      </c>
      <c r="S5" s="4" t="s">
        <v>298</v>
      </c>
      <c r="T5" s="4" t="s">
        <v>297</v>
      </c>
    </row>
    <row r="6" spans="3:20" x14ac:dyDescent="0.2">
      <c r="C6">
        <v>302661</v>
      </c>
      <c r="D6" t="s">
        <v>1351</v>
      </c>
      <c r="E6" t="s">
        <v>1212</v>
      </c>
      <c r="F6">
        <v>1</v>
      </c>
      <c r="G6" t="s">
        <v>1422</v>
      </c>
      <c r="H6" t="s">
        <v>1413</v>
      </c>
      <c r="I6">
        <v>89040</v>
      </c>
      <c r="J6" t="s">
        <v>1125</v>
      </c>
      <c r="K6">
        <v>2</v>
      </c>
      <c r="L6">
        <v>2</v>
      </c>
      <c r="M6">
        <v>2</v>
      </c>
      <c r="O6">
        <v>56078603</v>
      </c>
      <c r="P6" t="s">
        <v>1206</v>
      </c>
      <c r="Q6">
        <v>0</v>
      </c>
      <c r="S6">
        <f>K6+L6+M6+Q6</f>
        <v>6</v>
      </c>
      <c r="T6" t="e">
        <f t="shared" ref="T6:T37" si="0">J6+N6</f>
        <v>#VALUE!</v>
      </c>
    </row>
    <row r="7" spans="3:20" x14ac:dyDescent="0.2">
      <c r="C7">
        <v>302662</v>
      </c>
      <c r="D7" t="s">
        <v>1351</v>
      </c>
      <c r="E7" t="s">
        <v>1212</v>
      </c>
      <c r="F7">
        <v>1</v>
      </c>
      <c r="G7" t="s">
        <v>1422</v>
      </c>
      <c r="H7" t="s">
        <v>1414</v>
      </c>
      <c r="I7">
        <v>92046</v>
      </c>
      <c r="J7" t="s">
        <v>1125</v>
      </c>
      <c r="K7">
        <v>2</v>
      </c>
      <c r="L7">
        <v>3</v>
      </c>
      <c r="M7">
        <v>2</v>
      </c>
      <c r="O7">
        <v>56078603</v>
      </c>
      <c r="P7" t="s">
        <v>1206</v>
      </c>
      <c r="Q7">
        <v>0</v>
      </c>
      <c r="S7">
        <f t="shared" ref="S7:S70" si="1">K7+L7+M7+Q7</f>
        <v>7</v>
      </c>
      <c r="T7" t="e">
        <f t="shared" si="0"/>
        <v>#VALUE!</v>
      </c>
    </row>
    <row r="8" spans="3:20" x14ac:dyDescent="0.2">
      <c r="C8">
        <v>302663</v>
      </c>
      <c r="D8" t="s">
        <v>1351</v>
      </c>
      <c r="E8" t="s">
        <v>1212</v>
      </c>
      <c r="F8">
        <v>1</v>
      </c>
      <c r="G8" t="s">
        <v>16</v>
      </c>
      <c r="H8" t="s">
        <v>16</v>
      </c>
      <c r="I8">
        <v>89478</v>
      </c>
      <c r="J8" t="s">
        <v>1125</v>
      </c>
      <c r="K8">
        <v>9</v>
      </c>
      <c r="L8">
        <v>1</v>
      </c>
      <c r="M8">
        <v>2</v>
      </c>
      <c r="O8">
        <v>56078603</v>
      </c>
      <c r="P8" t="s">
        <v>1206</v>
      </c>
      <c r="Q8">
        <v>0</v>
      </c>
      <c r="S8">
        <f t="shared" si="1"/>
        <v>12</v>
      </c>
      <c r="T8" t="e">
        <f t="shared" si="0"/>
        <v>#VALUE!</v>
      </c>
    </row>
    <row r="9" spans="3:20" x14ac:dyDescent="0.2">
      <c r="C9">
        <v>302888</v>
      </c>
      <c r="D9" t="s">
        <v>1205</v>
      </c>
      <c r="E9" t="s">
        <v>1212</v>
      </c>
      <c r="F9">
        <v>1</v>
      </c>
      <c r="G9" t="s">
        <v>16</v>
      </c>
      <c r="H9" t="s">
        <v>16</v>
      </c>
      <c r="I9">
        <v>816</v>
      </c>
      <c r="J9" t="s">
        <v>1125</v>
      </c>
      <c r="K9">
        <v>9</v>
      </c>
      <c r="L9">
        <v>1</v>
      </c>
      <c r="M9">
        <v>2</v>
      </c>
      <c r="O9">
        <v>56078603</v>
      </c>
      <c r="P9" t="s">
        <v>1206</v>
      </c>
      <c r="Q9">
        <v>0</v>
      </c>
      <c r="S9">
        <f t="shared" si="1"/>
        <v>12</v>
      </c>
      <c r="T9" t="e">
        <f t="shared" si="0"/>
        <v>#VALUE!</v>
      </c>
    </row>
    <row r="10" spans="3:20" x14ac:dyDescent="0.2">
      <c r="C10">
        <v>390081</v>
      </c>
      <c r="D10" t="s">
        <v>1214</v>
      </c>
      <c r="E10" t="s">
        <v>1222</v>
      </c>
      <c r="F10">
        <v>662</v>
      </c>
      <c r="G10" t="s">
        <v>1423</v>
      </c>
      <c r="H10" t="s">
        <v>1415</v>
      </c>
      <c r="I10">
        <v>3958.1</v>
      </c>
      <c r="J10" t="s">
        <v>870</v>
      </c>
      <c r="K10">
        <v>4</v>
      </c>
      <c r="L10">
        <v>4</v>
      </c>
      <c r="M10">
        <v>1</v>
      </c>
      <c r="N10" t="s">
        <v>1173</v>
      </c>
      <c r="O10">
        <v>56078603</v>
      </c>
      <c r="P10" t="s">
        <v>1173</v>
      </c>
      <c r="Q10">
        <v>0</v>
      </c>
      <c r="S10">
        <f t="shared" si="1"/>
        <v>9</v>
      </c>
      <c r="T10" t="e">
        <f t="shared" si="0"/>
        <v>#VALUE!</v>
      </c>
    </row>
    <row r="11" spans="3:20" x14ac:dyDescent="0.2">
      <c r="C11">
        <v>390082</v>
      </c>
      <c r="D11" t="s">
        <v>1225</v>
      </c>
      <c r="E11" t="s">
        <v>1222</v>
      </c>
      <c r="F11">
        <v>624</v>
      </c>
      <c r="G11" t="s">
        <v>1423</v>
      </c>
      <c r="H11" t="s">
        <v>1414</v>
      </c>
      <c r="I11">
        <v>114.82</v>
      </c>
      <c r="J11" t="s">
        <v>870</v>
      </c>
      <c r="K11">
        <v>4</v>
      </c>
      <c r="L11">
        <v>3</v>
      </c>
      <c r="M11">
        <v>1</v>
      </c>
      <c r="N11" t="s">
        <v>1173</v>
      </c>
      <c r="O11">
        <v>56078603</v>
      </c>
      <c r="P11" t="s">
        <v>1173</v>
      </c>
      <c r="Q11">
        <v>0</v>
      </c>
      <c r="S11">
        <f t="shared" si="1"/>
        <v>8</v>
      </c>
      <c r="T11" t="e">
        <f t="shared" si="0"/>
        <v>#VALUE!</v>
      </c>
    </row>
    <row r="12" spans="3:20" x14ac:dyDescent="0.2">
      <c r="C12">
        <v>390083</v>
      </c>
      <c r="D12" t="s">
        <v>1225</v>
      </c>
      <c r="E12" t="s">
        <v>1222</v>
      </c>
      <c r="F12">
        <v>624</v>
      </c>
      <c r="G12" t="s">
        <v>193</v>
      </c>
      <c r="H12" t="s">
        <v>1414</v>
      </c>
      <c r="I12">
        <v>1506.95</v>
      </c>
      <c r="J12" t="s">
        <v>870</v>
      </c>
      <c r="K12">
        <v>6</v>
      </c>
      <c r="L12">
        <v>3</v>
      </c>
      <c r="M12">
        <v>1</v>
      </c>
      <c r="N12" t="s">
        <v>1173</v>
      </c>
      <c r="O12">
        <v>56078603</v>
      </c>
      <c r="P12" t="s">
        <v>1173</v>
      </c>
      <c r="Q12">
        <v>0</v>
      </c>
      <c r="S12">
        <f t="shared" si="1"/>
        <v>10</v>
      </c>
      <c r="T12" t="e">
        <f t="shared" si="0"/>
        <v>#VALUE!</v>
      </c>
    </row>
    <row r="13" spans="3:20" x14ac:dyDescent="0.2">
      <c r="C13">
        <v>390084</v>
      </c>
      <c r="D13" t="s">
        <v>1225</v>
      </c>
      <c r="E13" t="s">
        <v>1222</v>
      </c>
      <c r="F13">
        <v>624</v>
      </c>
      <c r="G13" t="s">
        <v>1423</v>
      </c>
      <c r="H13" t="s">
        <v>1413</v>
      </c>
      <c r="I13">
        <v>113.79</v>
      </c>
      <c r="J13" t="s">
        <v>870</v>
      </c>
      <c r="K13">
        <v>4</v>
      </c>
      <c r="L13">
        <v>2</v>
      </c>
      <c r="M13">
        <v>1</v>
      </c>
      <c r="N13" t="s">
        <v>1173</v>
      </c>
      <c r="O13">
        <v>56078603</v>
      </c>
      <c r="P13" t="s">
        <v>1173</v>
      </c>
      <c r="Q13">
        <v>0</v>
      </c>
      <c r="S13">
        <f t="shared" si="1"/>
        <v>7</v>
      </c>
      <c r="T13" t="e">
        <f t="shared" si="0"/>
        <v>#VALUE!</v>
      </c>
    </row>
    <row r="14" spans="3:20" x14ac:dyDescent="0.2">
      <c r="C14">
        <v>390085</v>
      </c>
      <c r="D14" t="s">
        <v>1225</v>
      </c>
      <c r="E14" t="s">
        <v>1222</v>
      </c>
      <c r="F14">
        <v>624</v>
      </c>
      <c r="G14" t="s">
        <v>193</v>
      </c>
      <c r="H14" t="s">
        <v>1413</v>
      </c>
      <c r="I14">
        <v>1406.56</v>
      </c>
      <c r="J14" t="s">
        <v>870</v>
      </c>
      <c r="K14">
        <v>6</v>
      </c>
      <c r="L14">
        <v>2</v>
      </c>
      <c r="M14">
        <v>1</v>
      </c>
      <c r="N14" t="s">
        <v>1173</v>
      </c>
      <c r="O14">
        <v>56078603</v>
      </c>
      <c r="P14" t="s">
        <v>1173</v>
      </c>
      <c r="Q14">
        <v>0</v>
      </c>
      <c r="S14">
        <f t="shared" si="1"/>
        <v>9</v>
      </c>
      <c r="T14" t="e">
        <f t="shared" si="0"/>
        <v>#VALUE!</v>
      </c>
    </row>
    <row r="15" spans="3:20" x14ac:dyDescent="0.2">
      <c r="C15">
        <v>390086</v>
      </c>
      <c r="D15" t="s">
        <v>1171</v>
      </c>
      <c r="E15" t="s">
        <v>1182</v>
      </c>
      <c r="F15">
        <v>449</v>
      </c>
      <c r="G15" t="s">
        <v>196</v>
      </c>
      <c r="H15" t="s">
        <v>1416</v>
      </c>
      <c r="I15">
        <v>6181.91</v>
      </c>
      <c r="J15" t="s">
        <v>870</v>
      </c>
      <c r="K15">
        <v>10</v>
      </c>
      <c r="L15">
        <v>7</v>
      </c>
      <c r="M15">
        <v>1</v>
      </c>
      <c r="N15" t="s">
        <v>1173</v>
      </c>
      <c r="O15">
        <v>56078603</v>
      </c>
      <c r="P15" t="s">
        <v>1173</v>
      </c>
      <c r="Q15">
        <v>0</v>
      </c>
      <c r="S15">
        <f t="shared" si="1"/>
        <v>18</v>
      </c>
      <c r="T15" t="e">
        <f t="shared" si="0"/>
        <v>#VALUE!</v>
      </c>
    </row>
    <row r="16" spans="3:20" x14ac:dyDescent="0.2">
      <c r="C16">
        <v>390087</v>
      </c>
      <c r="D16" t="s">
        <v>1171</v>
      </c>
      <c r="E16" t="s">
        <v>1182</v>
      </c>
      <c r="F16">
        <v>449</v>
      </c>
      <c r="G16" t="s">
        <v>196</v>
      </c>
      <c r="H16" t="s">
        <v>1417</v>
      </c>
      <c r="I16">
        <v>28436.79</v>
      </c>
      <c r="J16" t="s">
        <v>870</v>
      </c>
      <c r="K16">
        <v>10</v>
      </c>
      <c r="L16">
        <v>8</v>
      </c>
      <c r="M16">
        <v>1</v>
      </c>
      <c r="N16" t="s">
        <v>1173</v>
      </c>
      <c r="O16">
        <v>56078603</v>
      </c>
      <c r="P16" t="s">
        <v>1173</v>
      </c>
      <c r="Q16">
        <v>0</v>
      </c>
      <c r="S16">
        <f t="shared" si="1"/>
        <v>19</v>
      </c>
      <c r="T16" t="e">
        <f t="shared" si="0"/>
        <v>#VALUE!</v>
      </c>
    </row>
    <row r="17" spans="3:20" x14ac:dyDescent="0.2">
      <c r="C17">
        <v>390088</v>
      </c>
      <c r="D17" t="s">
        <v>1184</v>
      </c>
      <c r="E17" t="s">
        <v>1182</v>
      </c>
      <c r="F17">
        <v>92</v>
      </c>
      <c r="G17" t="s">
        <v>196</v>
      </c>
      <c r="H17" t="s">
        <v>1416</v>
      </c>
      <c r="I17">
        <v>4475.0600000000004</v>
      </c>
      <c r="J17" t="s">
        <v>870</v>
      </c>
      <c r="K17">
        <v>10</v>
      </c>
      <c r="L17">
        <v>7</v>
      </c>
      <c r="M17">
        <v>1</v>
      </c>
      <c r="N17" t="s">
        <v>1173</v>
      </c>
      <c r="O17">
        <v>56078603</v>
      </c>
      <c r="P17" t="s">
        <v>1173</v>
      </c>
      <c r="Q17">
        <v>0</v>
      </c>
      <c r="S17">
        <f t="shared" si="1"/>
        <v>18</v>
      </c>
      <c r="T17" t="e">
        <f t="shared" si="0"/>
        <v>#VALUE!</v>
      </c>
    </row>
    <row r="18" spans="3:20" x14ac:dyDescent="0.2">
      <c r="C18">
        <v>390089</v>
      </c>
      <c r="D18" t="s">
        <v>1184</v>
      </c>
      <c r="E18" t="s">
        <v>1182</v>
      </c>
      <c r="F18">
        <v>92</v>
      </c>
      <c r="G18" t="s">
        <v>196</v>
      </c>
      <c r="H18" t="s">
        <v>1417</v>
      </c>
      <c r="I18">
        <v>20585.189999999999</v>
      </c>
      <c r="J18" t="s">
        <v>870</v>
      </c>
      <c r="K18">
        <v>10</v>
      </c>
      <c r="L18">
        <v>8</v>
      </c>
      <c r="M18">
        <v>1</v>
      </c>
      <c r="N18" t="s">
        <v>1173</v>
      </c>
      <c r="O18">
        <v>56078603</v>
      </c>
      <c r="P18" t="s">
        <v>1173</v>
      </c>
      <c r="Q18">
        <v>0</v>
      </c>
      <c r="S18">
        <f t="shared" si="1"/>
        <v>19</v>
      </c>
      <c r="T18" t="e">
        <f t="shared" si="0"/>
        <v>#VALUE!</v>
      </c>
    </row>
    <row r="19" spans="3:20" x14ac:dyDescent="0.2">
      <c r="C19">
        <v>390090</v>
      </c>
      <c r="D19" t="s">
        <v>1188</v>
      </c>
      <c r="E19" t="s">
        <v>1196</v>
      </c>
      <c r="F19">
        <v>713</v>
      </c>
      <c r="G19" t="s">
        <v>1166</v>
      </c>
      <c r="H19" t="s">
        <v>1416</v>
      </c>
      <c r="I19">
        <v>12185.3</v>
      </c>
      <c r="J19" t="s">
        <v>870</v>
      </c>
      <c r="K19">
        <v>7</v>
      </c>
      <c r="L19">
        <v>7</v>
      </c>
      <c r="M19">
        <v>1</v>
      </c>
      <c r="N19" t="s">
        <v>1173</v>
      </c>
      <c r="O19">
        <v>56078603</v>
      </c>
      <c r="P19" t="s">
        <v>1173</v>
      </c>
      <c r="Q19">
        <v>0</v>
      </c>
      <c r="S19">
        <f t="shared" si="1"/>
        <v>15</v>
      </c>
      <c r="T19" t="e">
        <f t="shared" si="0"/>
        <v>#VALUE!</v>
      </c>
    </row>
    <row r="20" spans="3:20" x14ac:dyDescent="0.2">
      <c r="C20">
        <v>390091</v>
      </c>
      <c r="D20" t="s">
        <v>1227</v>
      </c>
      <c r="E20" t="s">
        <v>1196</v>
      </c>
      <c r="F20">
        <v>453</v>
      </c>
      <c r="G20" t="s">
        <v>1422</v>
      </c>
      <c r="H20" t="s">
        <v>16</v>
      </c>
      <c r="I20">
        <v>2389</v>
      </c>
      <c r="J20" t="s">
        <v>1125</v>
      </c>
      <c r="K20">
        <v>2</v>
      </c>
      <c r="L20">
        <v>1</v>
      </c>
      <c r="M20">
        <v>2</v>
      </c>
      <c r="N20" t="s">
        <v>1173</v>
      </c>
      <c r="O20">
        <v>56078603</v>
      </c>
      <c r="P20" t="s">
        <v>1173</v>
      </c>
      <c r="Q20">
        <v>0</v>
      </c>
      <c r="S20">
        <f t="shared" si="1"/>
        <v>5</v>
      </c>
      <c r="T20" t="e">
        <f t="shared" si="0"/>
        <v>#VALUE!</v>
      </c>
    </row>
    <row r="21" spans="3:20" x14ac:dyDescent="0.2">
      <c r="C21">
        <v>390092</v>
      </c>
      <c r="D21" t="s">
        <v>1227</v>
      </c>
      <c r="E21" t="s">
        <v>1196</v>
      </c>
      <c r="F21">
        <v>453</v>
      </c>
      <c r="G21" t="s">
        <v>1422</v>
      </c>
      <c r="H21" t="s">
        <v>1414</v>
      </c>
      <c r="I21">
        <v>1899</v>
      </c>
      <c r="J21" t="s">
        <v>1125</v>
      </c>
      <c r="K21">
        <v>2</v>
      </c>
      <c r="L21">
        <v>3</v>
      </c>
      <c r="M21">
        <v>2</v>
      </c>
      <c r="N21" t="s">
        <v>1173</v>
      </c>
      <c r="O21">
        <v>56078603</v>
      </c>
      <c r="P21" t="s">
        <v>1173</v>
      </c>
      <c r="Q21">
        <v>0</v>
      </c>
      <c r="S21">
        <f t="shared" si="1"/>
        <v>7</v>
      </c>
      <c r="T21" t="e">
        <f t="shared" si="0"/>
        <v>#VALUE!</v>
      </c>
    </row>
    <row r="22" spans="3:20" x14ac:dyDescent="0.2">
      <c r="C22">
        <v>390093</v>
      </c>
      <c r="D22" t="s">
        <v>1227</v>
      </c>
      <c r="E22" t="s">
        <v>1196</v>
      </c>
      <c r="F22">
        <v>453</v>
      </c>
      <c r="G22" t="s">
        <v>1422</v>
      </c>
      <c r="H22" t="s">
        <v>1413</v>
      </c>
      <c r="I22">
        <v>1795</v>
      </c>
      <c r="J22" t="s">
        <v>1125</v>
      </c>
      <c r="K22">
        <v>2</v>
      </c>
      <c r="L22">
        <v>2</v>
      </c>
      <c r="M22">
        <v>2</v>
      </c>
      <c r="N22" t="s">
        <v>1173</v>
      </c>
      <c r="O22">
        <v>56078603</v>
      </c>
      <c r="P22" t="s">
        <v>1173</v>
      </c>
      <c r="Q22">
        <v>0</v>
      </c>
      <c r="S22">
        <f t="shared" si="1"/>
        <v>6</v>
      </c>
      <c r="T22" t="e">
        <f t="shared" si="0"/>
        <v>#VALUE!</v>
      </c>
    </row>
    <row r="23" spans="3:20" x14ac:dyDescent="0.2">
      <c r="C23">
        <v>390094</v>
      </c>
      <c r="D23" t="s">
        <v>1237</v>
      </c>
      <c r="E23" t="s">
        <v>1246</v>
      </c>
      <c r="F23">
        <v>885</v>
      </c>
      <c r="G23" t="s">
        <v>1166</v>
      </c>
      <c r="H23" t="s">
        <v>1413</v>
      </c>
      <c r="I23">
        <v>8525.33</v>
      </c>
      <c r="J23" t="s">
        <v>1126</v>
      </c>
      <c r="K23">
        <v>7</v>
      </c>
      <c r="L23">
        <v>2</v>
      </c>
      <c r="M23">
        <v>3</v>
      </c>
      <c r="N23" t="s">
        <v>1173</v>
      </c>
      <c r="O23">
        <v>56078603</v>
      </c>
      <c r="P23" t="s">
        <v>1173</v>
      </c>
      <c r="Q23">
        <v>0</v>
      </c>
      <c r="S23">
        <f t="shared" si="1"/>
        <v>12</v>
      </c>
      <c r="T23" t="e">
        <f t="shared" si="0"/>
        <v>#VALUE!</v>
      </c>
    </row>
    <row r="24" spans="3:20" x14ac:dyDescent="0.2">
      <c r="C24">
        <v>390095</v>
      </c>
      <c r="D24" t="s">
        <v>1237</v>
      </c>
      <c r="E24" t="s">
        <v>1246</v>
      </c>
      <c r="F24">
        <v>885</v>
      </c>
      <c r="G24" t="s">
        <v>1166</v>
      </c>
      <c r="H24" t="s">
        <v>1414</v>
      </c>
      <c r="I24">
        <v>9134.31</v>
      </c>
      <c r="J24" t="s">
        <v>1126</v>
      </c>
      <c r="K24">
        <v>7</v>
      </c>
      <c r="L24">
        <v>3</v>
      </c>
      <c r="M24">
        <v>3</v>
      </c>
      <c r="N24" t="s">
        <v>1173</v>
      </c>
      <c r="O24">
        <v>56078603</v>
      </c>
      <c r="P24" t="s">
        <v>1173</v>
      </c>
      <c r="Q24">
        <v>0</v>
      </c>
      <c r="S24">
        <f t="shared" si="1"/>
        <v>13</v>
      </c>
      <c r="T24" t="e">
        <f t="shared" si="0"/>
        <v>#VALUE!</v>
      </c>
    </row>
    <row r="25" spans="3:20" x14ac:dyDescent="0.2">
      <c r="C25">
        <v>390097</v>
      </c>
      <c r="D25" t="s">
        <v>1247</v>
      </c>
      <c r="E25" t="s">
        <v>1246</v>
      </c>
      <c r="F25">
        <v>188</v>
      </c>
      <c r="G25" t="s">
        <v>1166</v>
      </c>
      <c r="H25" t="s">
        <v>1413</v>
      </c>
      <c r="I25">
        <v>4150.92</v>
      </c>
      <c r="J25" t="s">
        <v>1126</v>
      </c>
      <c r="K25">
        <v>7</v>
      </c>
      <c r="L25">
        <v>2</v>
      </c>
      <c r="M25">
        <v>3</v>
      </c>
      <c r="N25" t="s">
        <v>1173</v>
      </c>
      <c r="O25">
        <v>56078603</v>
      </c>
      <c r="P25" t="s">
        <v>1173</v>
      </c>
      <c r="Q25">
        <v>0</v>
      </c>
      <c r="S25">
        <f t="shared" si="1"/>
        <v>12</v>
      </c>
      <c r="T25" t="e">
        <f t="shared" si="0"/>
        <v>#VALUE!</v>
      </c>
    </row>
    <row r="26" spans="3:20" x14ac:dyDescent="0.2">
      <c r="C26">
        <v>390098</v>
      </c>
      <c r="D26" t="s">
        <v>1247</v>
      </c>
      <c r="E26" t="s">
        <v>1246</v>
      </c>
      <c r="F26">
        <v>188</v>
      </c>
      <c r="G26" t="s">
        <v>1166</v>
      </c>
      <c r="H26" t="s">
        <v>1414</v>
      </c>
      <c r="I26">
        <v>4447.38</v>
      </c>
      <c r="J26" t="s">
        <v>1126</v>
      </c>
      <c r="K26">
        <v>7</v>
      </c>
      <c r="L26">
        <v>3</v>
      </c>
      <c r="M26">
        <v>3</v>
      </c>
      <c r="N26" t="s">
        <v>1173</v>
      </c>
      <c r="O26">
        <v>56078603</v>
      </c>
      <c r="P26" t="s">
        <v>1173</v>
      </c>
      <c r="Q26">
        <v>0</v>
      </c>
      <c r="S26">
        <f t="shared" si="1"/>
        <v>13</v>
      </c>
      <c r="T26" t="e">
        <f t="shared" si="0"/>
        <v>#VALUE!</v>
      </c>
    </row>
    <row r="27" spans="3:20" x14ac:dyDescent="0.2">
      <c r="C27">
        <v>390103</v>
      </c>
      <c r="D27" t="s">
        <v>1254</v>
      </c>
      <c r="E27" t="s">
        <v>1246</v>
      </c>
      <c r="F27">
        <v>441</v>
      </c>
      <c r="G27" t="s">
        <v>1422</v>
      </c>
      <c r="H27" t="s">
        <v>16</v>
      </c>
      <c r="I27">
        <v>9420.16</v>
      </c>
      <c r="J27" t="s">
        <v>1125</v>
      </c>
      <c r="K27">
        <v>2</v>
      </c>
      <c r="L27">
        <v>1</v>
      </c>
      <c r="M27">
        <v>2</v>
      </c>
      <c r="N27" t="s">
        <v>1173</v>
      </c>
      <c r="O27">
        <v>56078603</v>
      </c>
      <c r="P27" t="s">
        <v>1173</v>
      </c>
      <c r="Q27">
        <v>0</v>
      </c>
      <c r="S27">
        <f t="shared" si="1"/>
        <v>5</v>
      </c>
      <c r="T27" t="e">
        <f t="shared" si="0"/>
        <v>#VALUE!</v>
      </c>
    </row>
    <row r="28" spans="3:20" x14ac:dyDescent="0.2">
      <c r="C28">
        <v>390104</v>
      </c>
      <c r="D28" t="s">
        <v>1254</v>
      </c>
      <c r="E28" t="s">
        <v>1246</v>
      </c>
      <c r="F28">
        <v>441</v>
      </c>
      <c r="G28" t="s">
        <v>1422</v>
      </c>
      <c r="H28" t="s">
        <v>1413</v>
      </c>
      <c r="I28">
        <v>8635.18</v>
      </c>
      <c r="J28" t="s">
        <v>1125</v>
      </c>
      <c r="K28">
        <v>2</v>
      </c>
      <c r="L28">
        <v>2</v>
      </c>
      <c r="M28">
        <v>2</v>
      </c>
      <c r="N28" t="s">
        <v>1173</v>
      </c>
      <c r="O28">
        <v>56078603</v>
      </c>
      <c r="P28" t="s">
        <v>1173</v>
      </c>
      <c r="Q28">
        <v>0</v>
      </c>
      <c r="S28">
        <f t="shared" si="1"/>
        <v>6</v>
      </c>
      <c r="T28" t="e">
        <f t="shared" si="0"/>
        <v>#VALUE!</v>
      </c>
    </row>
    <row r="29" spans="3:20" x14ac:dyDescent="0.2">
      <c r="C29">
        <v>390105</v>
      </c>
      <c r="D29" t="s">
        <v>1254</v>
      </c>
      <c r="E29" t="s">
        <v>1246</v>
      </c>
      <c r="F29">
        <v>441</v>
      </c>
      <c r="G29" t="s">
        <v>1422</v>
      </c>
      <c r="H29" t="s">
        <v>1414</v>
      </c>
      <c r="I29">
        <v>9420.16</v>
      </c>
      <c r="J29" t="s">
        <v>1125</v>
      </c>
      <c r="K29">
        <v>2</v>
      </c>
      <c r="L29">
        <v>3</v>
      </c>
      <c r="M29">
        <v>2</v>
      </c>
      <c r="N29" t="s">
        <v>1173</v>
      </c>
      <c r="O29">
        <v>56078603</v>
      </c>
      <c r="P29" t="s">
        <v>1173</v>
      </c>
      <c r="Q29">
        <v>0</v>
      </c>
      <c r="S29">
        <f t="shared" si="1"/>
        <v>7</v>
      </c>
      <c r="T29" t="e">
        <f t="shared" si="0"/>
        <v>#VALUE!</v>
      </c>
    </row>
    <row r="30" spans="3:20" x14ac:dyDescent="0.2">
      <c r="C30">
        <v>390106</v>
      </c>
      <c r="D30" t="s">
        <v>1197</v>
      </c>
      <c r="E30" t="s">
        <v>1204</v>
      </c>
      <c r="F30">
        <v>416</v>
      </c>
      <c r="G30" t="s">
        <v>193</v>
      </c>
      <c r="H30" t="s">
        <v>1416</v>
      </c>
      <c r="I30">
        <v>6101.53</v>
      </c>
      <c r="J30" t="s">
        <v>870</v>
      </c>
      <c r="K30">
        <v>6</v>
      </c>
      <c r="L30">
        <v>7</v>
      </c>
      <c r="M30">
        <v>1</v>
      </c>
      <c r="N30" t="s">
        <v>1173</v>
      </c>
      <c r="O30">
        <v>56078603</v>
      </c>
      <c r="P30" t="s">
        <v>1173</v>
      </c>
      <c r="Q30">
        <v>0</v>
      </c>
      <c r="S30">
        <f t="shared" si="1"/>
        <v>14</v>
      </c>
      <c r="T30" t="e">
        <f t="shared" si="0"/>
        <v>#VALUE!</v>
      </c>
    </row>
    <row r="31" spans="3:20" x14ac:dyDescent="0.2">
      <c r="C31">
        <v>390107</v>
      </c>
      <c r="D31" t="s">
        <v>1197</v>
      </c>
      <c r="E31" t="s">
        <v>1204</v>
      </c>
      <c r="F31">
        <v>416</v>
      </c>
      <c r="G31" t="s">
        <v>193</v>
      </c>
      <c r="H31" t="s">
        <v>1417</v>
      </c>
      <c r="I31">
        <v>28067.34</v>
      </c>
      <c r="J31" t="s">
        <v>870</v>
      </c>
      <c r="K31">
        <v>6</v>
      </c>
      <c r="L31">
        <v>8</v>
      </c>
      <c r="M31">
        <v>1</v>
      </c>
      <c r="N31" t="s">
        <v>1173</v>
      </c>
      <c r="O31">
        <v>56078603</v>
      </c>
      <c r="P31" t="s">
        <v>1173</v>
      </c>
      <c r="Q31">
        <v>0</v>
      </c>
      <c r="S31">
        <f t="shared" si="1"/>
        <v>15</v>
      </c>
      <c r="T31" t="e">
        <f t="shared" si="0"/>
        <v>#VALUE!</v>
      </c>
    </row>
    <row r="32" spans="3:20" x14ac:dyDescent="0.2">
      <c r="C32">
        <v>390108</v>
      </c>
      <c r="D32" t="s">
        <v>1261</v>
      </c>
      <c r="E32" t="s">
        <v>1270</v>
      </c>
      <c r="F32">
        <v>201</v>
      </c>
      <c r="G32" t="s">
        <v>190</v>
      </c>
      <c r="H32" t="s">
        <v>1413</v>
      </c>
      <c r="I32">
        <v>0</v>
      </c>
      <c r="J32" t="s">
        <v>870</v>
      </c>
      <c r="K32">
        <v>3</v>
      </c>
      <c r="L32">
        <v>2</v>
      </c>
      <c r="M32">
        <v>1</v>
      </c>
      <c r="N32" t="s">
        <v>1173</v>
      </c>
      <c r="O32">
        <v>56078603</v>
      </c>
      <c r="P32" t="s">
        <v>1173</v>
      </c>
      <c r="Q32">
        <v>0</v>
      </c>
      <c r="S32">
        <f t="shared" si="1"/>
        <v>6</v>
      </c>
      <c r="T32" t="e">
        <f t="shared" si="0"/>
        <v>#VALUE!</v>
      </c>
    </row>
    <row r="33" spans="3:20" x14ac:dyDescent="0.2">
      <c r="C33">
        <v>390109</v>
      </c>
      <c r="D33" t="s">
        <v>1261</v>
      </c>
      <c r="E33" t="s">
        <v>1270</v>
      </c>
      <c r="F33">
        <v>201</v>
      </c>
      <c r="G33" t="s">
        <v>190</v>
      </c>
      <c r="H33" t="s">
        <v>1414</v>
      </c>
      <c r="I33">
        <v>0</v>
      </c>
      <c r="J33" t="s">
        <v>870</v>
      </c>
      <c r="K33">
        <v>3</v>
      </c>
      <c r="L33">
        <v>3</v>
      </c>
      <c r="M33">
        <v>1</v>
      </c>
      <c r="N33" t="s">
        <v>1173</v>
      </c>
      <c r="O33">
        <v>56078603</v>
      </c>
      <c r="P33" t="s">
        <v>1173</v>
      </c>
      <c r="Q33">
        <v>0</v>
      </c>
      <c r="S33">
        <f t="shared" si="1"/>
        <v>7</v>
      </c>
      <c r="T33" t="e">
        <f t="shared" si="0"/>
        <v>#VALUE!</v>
      </c>
    </row>
    <row r="34" spans="3:20" x14ac:dyDescent="0.2">
      <c r="C34">
        <v>390110</v>
      </c>
      <c r="D34" t="s">
        <v>1271</v>
      </c>
      <c r="E34" t="s">
        <v>1279</v>
      </c>
      <c r="F34">
        <v>204</v>
      </c>
      <c r="G34" t="s">
        <v>16</v>
      </c>
      <c r="H34" t="s">
        <v>16</v>
      </c>
      <c r="I34">
        <v>20182.080000000002</v>
      </c>
      <c r="J34" t="s">
        <v>1125</v>
      </c>
      <c r="K34">
        <v>9</v>
      </c>
      <c r="L34">
        <v>1</v>
      </c>
      <c r="M34">
        <v>2</v>
      </c>
      <c r="N34" t="s">
        <v>1173</v>
      </c>
      <c r="O34">
        <v>56078603</v>
      </c>
      <c r="P34" t="s">
        <v>1173</v>
      </c>
      <c r="Q34">
        <v>0</v>
      </c>
      <c r="S34">
        <f t="shared" si="1"/>
        <v>12</v>
      </c>
      <c r="T34" t="e">
        <f t="shared" si="0"/>
        <v>#VALUE!</v>
      </c>
    </row>
    <row r="35" spans="3:20" x14ac:dyDescent="0.2">
      <c r="C35">
        <v>390111</v>
      </c>
      <c r="D35" t="s">
        <v>1280</v>
      </c>
      <c r="E35" t="s">
        <v>1287</v>
      </c>
      <c r="F35">
        <v>526</v>
      </c>
      <c r="G35" t="s">
        <v>1165</v>
      </c>
      <c r="H35" t="s">
        <v>1413</v>
      </c>
      <c r="I35">
        <v>1189.17</v>
      </c>
      <c r="J35" t="s">
        <v>870</v>
      </c>
      <c r="K35">
        <v>5</v>
      </c>
      <c r="L35">
        <v>2</v>
      </c>
      <c r="M35">
        <v>1</v>
      </c>
      <c r="N35" t="s">
        <v>1173</v>
      </c>
      <c r="O35">
        <v>56078603</v>
      </c>
      <c r="P35" t="s">
        <v>1173</v>
      </c>
      <c r="Q35">
        <v>0</v>
      </c>
      <c r="S35">
        <f t="shared" si="1"/>
        <v>8</v>
      </c>
      <c r="T35" t="e">
        <f t="shared" si="0"/>
        <v>#VALUE!</v>
      </c>
    </row>
    <row r="36" spans="3:20" x14ac:dyDescent="0.2">
      <c r="C36">
        <v>390112</v>
      </c>
      <c r="D36" t="s">
        <v>1280</v>
      </c>
      <c r="E36" t="s">
        <v>1287</v>
      </c>
      <c r="F36">
        <v>526</v>
      </c>
      <c r="G36" t="s">
        <v>1165</v>
      </c>
      <c r="H36" t="s">
        <v>1414</v>
      </c>
      <c r="I36">
        <v>1274.0999999999999</v>
      </c>
      <c r="J36" t="s">
        <v>870</v>
      </c>
      <c r="K36">
        <v>5</v>
      </c>
      <c r="L36">
        <v>3</v>
      </c>
      <c r="M36">
        <v>1</v>
      </c>
      <c r="N36" t="s">
        <v>1173</v>
      </c>
      <c r="O36">
        <v>56078603</v>
      </c>
      <c r="P36" t="s">
        <v>1173</v>
      </c>
      <c r="Q36">
        <v>0</v>
      </c>
      <c r="S36">
        <f t="shared" si="1"/>
        <v>9</v>
      </c>
      <c r="T36" t="e">
        <f t="shared" si="0"/>
        <v>#VALUE!</v>
      </c>
    </row>
    <row r="37" spans="3:20" x14ac:dyDescent="0.2">
      <c r="C37">
        <v>390113</v>
      </c>
      <c r="D37" t="s">
        <v>1280</v>
      </c>
      <c r="E37" t="s">
        <v>1287</v>
      </c>
      <c r="F37">
        <v>526</v>
      </c>
      <c r="G37" t="s">
        <v>1166</v>
      </c>
      <c r="H37" t="s">
        <v>1413</v>
      </c>
      <c r="I37">
        <v>13414.26</v>
      </c>
      <c r="J37" t="s">
        <v>1126</v>
      </c>
      <c r="K37">
        <v>7</v>
      </c>
      <c r="L37">
        <v>2</v>
      </c>
      <c r="M37">
        <v>3</v>
      </c>
      <c r="N37" t="s">
        <v>1173</v>
      </c>
      <c r="O37">
        <v>56078603</v>
      </c>
      <c r="P37" t="s">
        <v>1173</v>
      </c>
      <c r="Q37">
        <v>0</v>
      </c>
      <c r="S37">
        <f t="shared" si="1"/>
        <v>12</v>
      </c>
      <c r="T37" t="e">
        <f t="shared" si="0"/>
        <v>#VALUE!</v>
      </c>
    </row>
    <row r="38" spans="3:20" x14ac:dyDescent="0.2">
      <c r="C38">
        <v>390114</v>
      </c>
      <c r="D38" t="s">
        <v>1280</v>
      </c>
      <c r="E38" t="s">
        <v>1287</v>
      </c>
      <c r="F38">
        <v>526</v>
      </c>
      <c r="G38" t="s">
        <v>1166</v>
      </c>
      <c r="H38" t="s">
        <v>1414</v>
      </c>
      <c r="I38">
        <v>14372.41</v>
      </c>
      <c r="J38" t="s">
        <v>1126</v>
      </c>
      <c r="K38">
        <v>7</v>
      </c>
      <c r="L38">
        <v>3</v>
      </c>
      <c r="M38">
        <v>3</v>
      </c>
      <c r="N38" t="s">
        <v>1173</v>
      </c>
      <c r="O38">
        <v>56078603</v>
      </c>
      <c r="P38" t="s">
        <v>1173</v>
      </c>
      <c r="Q38">
        <v>0</v>
      </c>
      <c r="S38">
        <f t="shared" si="1"/>
        <v>13</v>
      </c>
      <c r="T38" t="e">
        <f t="shared" ref="T38:T69" si="2">J38+N38</f>
        <v>#VALUE!</v>
      </c>
    </row>
    <row r="39" spans="3:20" x14ac:dyDescent="0.2">
      <c r="C39">
        <v>390115</v>
      </c>
      <c r="D39" t="s">
        <v>1289</v>
      </c>
      <c r="E39" t="s">
        <v>1287</v>
      </c>
      <c r="F39">
        <v>23</v>
      </c>
      <c r="G39" t="s">
        <v>1423</v>
      </c>
      <c r="H39" t="s">
        <v>1415</v>
      </c>
      <c r="I39">
        <v>156292.04</v>
      </c>
      <c r="J39" t="s">
        <v>870</v>
      </c>
      <c r="K39">
        <v>4</v>
      </c>
      <c r="L39">
        <v>4</v>
      </c>
      <c r="M39">
        <v>1</v>
      </c>
      <c r="N39" t="s">
        <v>1173</v>
      </c>
      <c r="O39">
        <v>56078603</v>
      </c>
      <c r="P39" t="s">
        <v>1173</v>
      </c>
      <c r="Q39">
        <v>0</v>
      </c>
      <c r="S39">
        <f t="shared" si="1"/>
        <v>9</v>
      </c>
      <c r="T39" t="e">
        <f t="shared" si="2"/>
        <v>#VALUE!</v>
      </c>
    </row>
    <row r="40" spans="3:20" x14ac:dyDescent="0.2">
      <c r="C40">
        <v>390117</v>
      </c>
      <c r="D40" t="s">
        <v>1293</v>
      </c>
      <c r="E40" t="s">
        <v>1301</v>
      </c>
      <c r="F40">
        <v>443</v>
      </c>
      <c r="G40" t="s">
        <v>1422</v>
      </c>
      <c r="H40" t="s">
        <v>1413</v>
      </c>
      <c r="I40">
        <v>1233</v>
      </c>
      <c r="J40" t="s">
        <v>1125</v>
      </c>
      <c r="K40">
        <v>2</v>
      </c>
      <c r="L40">
        <v>2</v>
      </c>
      <c r="M40">
        <v>2</v>
      </c>
      <c r="N40" t="s">
        <v>1419</v>
      </c>
      <c r="O40">
        <v>56078603</v>
      </c>
      <c r="P40" t="s">
        <v>1173</v>
      </c>
      <c r="Q40">
        <v>0</v>
      </c>
      <c r="S40">
        <f t="shared" si="1"/>
        <v>6</v>
      </c>
      <c r="T40" t="e">
        <f t="shared" si="2"/>
        <v>#VALUE!</v>
      </c>
    </row>
    <row r="41" spans="3:20" x14ac:dyDescent="0.2">
      <c r="C41">
        <v>390118</v>
      </c>
      <c r="D41" t="s">
        <v>1293</v>
      </c>
      <c r="E41" t="s">
        <v>1301</v>
      </c>
      <c r="F41">
        <v>443</v>
      </c>
      <c r="G41" t="s">
        <v>193</v>
      </c>
      <c r="H41" t="s">
        <v>1418</v>
      </c>
      <c r="I41">
        <v>6489</v>
      </c>
      <c r="J41" t="s">
        <v>1125</v>
      </c>
      <c r="K41">
        <v>6</v>
      </c>
      <c r="L41">
        <v>9</v>
      </c>
      <c r="M41">
        <v>2</v>
      </c>
      <c r="N41" t="s">
        <v>1419</v>
      </c>
      <c r="O41">
        <v>56078603</v>
      </c>
      <c r="P41" t="s">
        <v>1173</v>
      </c>
      <c r="Q41">
        <v>0</v>
      </c>
      <c r="S41">
        <f t="shared" si="1"/>
        <v>17</v>
      </c>
      <c r="T41" t="e">
        <f t="shared" si="2"/>
        <v>#VALUE!</v>
      </c>
    </row>
    <row r="42" spans="3:20" x14ac:dyDescent="0.2">
      <c r="C42">
        <v>390119</v>
      </c>
      <c r="D42" t="s">
        <v>1303</v>
      </c>
      <c r="E42" t="s">
        <v>1301</v>
      </c>
      <c r="F42">
        <v>807</v>
      </c>
      <c r="G42" t="s">
        <v>1165</v>
      </c>
      <c r="H42" t="s">
        <v>1418</v>
      </c>
      <c r="I42">
        <v>11556</v>
      </c>
      <c r="J42" t="s">
        <v>870</v>
      </c>
      <c r="K42">
        <v>5</v>
      </c>
      <c r="L42">
        <v>9</v>
      </c>
      <c r="M42">
        <v>1</v>
      </c>
      <c r="N42" t="s">
        <v>1419</v>
      </c>
      <c r="O42">
        <v>56078603</v>
      </c>
      <c r="P42" t="s">
        <v>1173</v>
      </c>
      <c r="Q42">
        <v>0</v>
      </c>
      <c r="S42">
        <f t="shared" si="1"/>
        <v>15</v>
      </c>
      <c r="T42" t="e">
        <f t="shared" si="2"/>
        <v>#VALUE!</v>
      </c>
    </row>
    <row r="43" spans="3:20" x14ac:dyDescent="0.2">
      <c r="C43">
        <v>390120</v>
      </c>
      <c r="D43" t="s">
        <v>1309</v>
      </c>
      <c r="E43" t="s">
        <v>1301</v>
      </c>
      <c r="F43">
        <v>177</v>
      </c>
      <c r="G43" t="s">
        <v>1422</v>
      </c>
      <c r="H43" t="s">
        <v>1414</v>
      </c>
      <c r="I43">
        <v>37298</v>
      </c>
      <c r="J43" t="s">
        <v>1125</v>
      </c>
      <c r="K43">
        <v>2</v>
      </c>
      <c r="L43">
        <v>3</v>
      </c>
      <c r="M43">
        <v>2</v>
      </c>
      <c r="N43" t="s">
        <v>1419</v>
      </c>
      <c r="O43">
        <v>56078603</v>
      </c>
      <c r="P43" t="s">
        <v>1173</v>
      </c>
      <c r="Q43">
        <v>0</v>
      </c>
      <c r="S43">
        <f t="shared" si="1"/>
        <v>7</v>
      </c>
      <c r="T43" t="e">
        <f t="shared" si="2"/>
        <v>#VALUE!</v>
      </c>
    </row>
    <row r="44" spans="3:20" x14ac:dyDescent="0.2">
      <c r="C44">
        <v>390121</v>
      </c>
      <c r="D44" t="s">
        <v>1309</v>
      </c>
      <c r="E44" t="s">
        <v>1301</v>
      </c>
      <c r="F44">
        <v>177</v>
      </c>
      <c r="G44" t="s">
        <v>1422</v>
      </c>
      <c r="H44" t="s">
        <v>16</v>
      </c>
      <c r="I44">
        <v>84625</v>
      </c>
      <c r="J44" t="s">
        <v>1125</v>
      </c>
      <c r="K44">
        <v>2</v>
      </c>
      <c r="L44">
        <v>1</v>
      </c>
      <c r="M44">
        <v>2</v>
      </c>
      <c r="N44" t="s">
        <v>1419</v>
      </c>
      <c r="O44">
        <v>56078603</v>
      </c>
      <c r="P44" t="s">
        <v>1173</v>
      </c>
      <c r="Q44">
        <v>0</v>
      </c>
      <c r="S44">
        <f t="shared" si="1"/>
        <v>5</v>
      </c>
      <c r="T44" t="e">
        <f t="shared" si="2"/>
        <v>#VALUE!</v>
      </c>
    </row>
    <row r="45" spans="3:20" x14ac:dyDescent="0.2">
      <c r="C45">
        <v>390125</v>
      </c>
      <c r="D45" t="s">
        <v>1315</v>
      </c>
      <c r="E45" t="s">
        <v>1301</v>
      </c>
      <c r="F45">
        <v>56</v>
      </c>
      <c r="G45" t="s">
        <v>1422</v>
      </c>
      <c r="H45" t="s">
        <v>1414</v>
      </c>
      <c r="I45">
        <v>11429</v>
      </c>
      <c r="J45" t="s">
        <v>1125</v>
      </c>
      <c r="K45">
        <v>2</v>
      </c>
      <c r="L45">
        <v>3</v>
      </c>
      <c r="M45">
        <v>2</v>
      </c>
      <c r="N45" t="s">
        <v>1419</v>
      </c>
      <c r="O45">
        <v>56078603</v>
      </c>
      <c r="P45" t="s">
        <v>1173</v>
      </c>
      <c r="Q45">
        <v>0</v>
      </c>
      <c r="S45">
        <f t="shared" si="1"/>
        <v>7</v>
      </c>
      <c r="T45" t="e">
        <f t="shared" si="2"/>
        <v>#VALUE!</v>
      </c>
    </row>
    <row r="46" spans="3:20" x14ac:dyDescent="0.2">
      <c r="C46">
        <v>390126</v>
      </c>
      <c r="D46" t="s">
        <v>1315</v>
      </c>
      <c r="E46" t="s">
        <v>1301</v>
      </c>
      <c r="F46">
        <v>56</v>
      </c>
      <c r="G46" t="s">
        <v>193</v>
      </c>
      <c r="H46" t="s">
        <v>1418</v>
      </c>
      <c r="I46">
        <v>209</v>
      </c>
      <c r="J46" t="s">
        <v>1125</v>
      </c>
      <c r="K46">
        <v>6</v>
      </c>
      <c r="L46">
        <v>9</v>
      </c>
      <c r="M46">
        <v>2</v>
      </c>
      <c r="N46" t="s">
        <v>1419</v>
      </c>
      <c r="O46">
        <v>56078603</v>
      </c>
      <c r="P46" t="s">
        <v>1173</v>
      </c>
      <c r="Q46">
        <v>0</v>
      </c>
      <c r="S46">
        <f t="shared" si="1"/>
        <v>17</v>
      </c>
      <c r="T46" t="e">
        <f t="shared" si="2"/>
        <v>#VALUE!</v>
      </c>
    </row>
    <row r="47" spans="3:20" x14ac:dyDescent="0.2">
      <c r="C47">
        <v>390127</v>
      </c>
      <c r="D47" t="s">
        <v>1321</v>
      </c>
      <c r="E47" t="s">
        <v>1301</v>
      </c>
      <c r="F47">
        <v>439</v>
      </c>
      <c r="G47" t="s">
        <v>1422</v>
      </c>
      <c r="H47" t="s">
        <v>1413</v>
      </c>
      <c r="I47">
        <v>20896</v>
      </c>
      <c r="J47" t="s">
        <v>1125</v>
      </c>
      <c r="K47">
        <v>2</v>
      </c>
      <c r="L47">
        <v>2</v>
      </c>
      <c r="M47">
        <v>2</v>
      </c>
      <c r="N47" t="s">
        <v>1419</v>
      </c>
      <c r="O47">
        <v>56078603</v>
      </c>
      <c r="P47" t="s">
        <v>1173</v>
      </c>
      <c r="Q47">
        <v>0</v>
      </c>
      <c r="S47">
        <f t="shared" si="1"/>
        <v>6</v>
      </c>
      <c r="T47" t="e">
        <f t="shared" si="2"/>
        <v>#VALUE!</v>
      </c>
    </row>
    <row r="48" spans="3:20" x14ac:dyDescent="0.2">
      <c r="C48">
        <v>390128</v>
      </c>
      <c r="D48" t="s">
        <v>1321</v>
      </c>
      <c r="E48" t="s">
        <v>1301</v>
      </c>
      <c r="F48">
        <v>439</v>
      </c>
      <c r="G48" t="s">
        <v>1166</v>
      </c>
      <c r="H48" t="s">
        <v>1414</v>
      </c>
      <c r="I48">
        <v>59379</v>
      </c>
      <c r="J48" t="s">
        <v>1125</v>
      </c>
      <c r="K48">
        <v>7</v>
      </c>
      <c r="L48">
        <v>3</v>
      </c>
      <c r="M48">
        <v>2</v>
      </c>
      <c r="N48" t="s">
        <v>1419</v>
      </c>
      <c r="O48">
        <v>56078603</v>
      </c>
      <c r="P48" t="s">
        <v>1173</v>
      </c>
      <c r="Q48">
        <v>0</v>
      </c>
      <c r="S48">
        <f t="shared" si="1"/>
        <v>12</v>
      </c>
      <c r="T48" t="e">
        <f t="shared" si="2"/>
        <v>#VALUE!</v>
      </c>
    </row>
    <row r="49" spans="3:20" x14ac:dyDescent="0.2">
      <c r="C49">
        <v>390129</v>
      </c>
      <c r="D49" t="s">
        <v>1321</v>
      </c>
      <c r="E49" t="s">
        <v>1301</v>
      </c>
      <c r="F49">
        <v>439</v>
      </c>
      <c r="G49" t="s">
        <v>193</v>
      </c>
      <c r="H49" t="s">
        <v>1418</v>
      </c>
      <c r="I49">
        <v>16042</v>
      </c>
      <c r="J49" t="s">
        <v>1125</v>
      </c>
      <c r="K49">
        <v>6</v>
      </c>
      <c r="L49">
        <v>9</v>
      </c>
      <c r="M49">
        <v>2</v>
      </c>
      <c r="N49" t="s">
        <v>1419</v>
      </c>
      <c r="O49">
        <v>56078603</v>
      </c>
      <c r="P49" t="s">
        <v>1173</v>
      </c>
      <c r="Q49">
        <v>0</v>
      </c>
      <c r="S49">
        <f t="shared" si="1"/>
        <v>17</v>
      </c>
      <c r="T49" t="e">
        <f t="shared" si="2"/>
        <v>#VALUE!</v>
      </c>
    </row>
    <row r="50" spans="3:20" x14ac:dyDescent="0.2">
      <c r="C50">
        <v>390132</v>
      </c>
      <c r="D50" t="s">
        <v>1330</v>
      </c>
      <c r="E50" t="s">
        <v>1339</v>
      </c>
      <c r="F50">
        <v>993</v>
      </c>
      <c r="G50" t="s">
        <v>16</v>
      </c>
      <c r="H50" t="s">
        <v>16</v>
      </c>
      <c r="I50">
        <v>209735.74</v>
      </c>
      <c r="J50" t="s">
        <v>1125</v>
      </c>
      <c r="K50">
        <v>9</v>
      </c>
      <c r="L50">
        <v>1</v>
      </c>
      <c r="M50">
        <v>2</v>
      </c>
      <c r="N50" t="s">
        <v>1332</v>
      </c>
      <c r="O50">
        <v>56078603</v>
      </c>
      <c r="P50" t="s">
        <v>1332</v>
      </c>
      <c r="Q50">
        <v>0</v>
      </c>
      <c r="S50">
        <f t="shared" si="1"/>
        <v>12</v>
      </c>
      <c r="T50" t="e">
        <f t="shared" si="2"/>
        <v>#VALUE!</v>
      </c>
    </row>
    <row r="51" spans="3:20" x14ac:dyDescent="0.2">
      <c r="C51">
        <v>390134</v>
      </c>
      <c r="D51" t="s">
        <v>1330</v>
      </c>
      <c r="E51" t="s">
        <v>1339</v>
      </c>
      <c r="F51">
        <v>993</v>
      </c>
      <c r="G51" t="s">
        <v>1422</v>
      </c>
      <c r="H51" t="s">
        <v>1413</v>
      </c>
      <c r="I51">
        <v>242620.43</v>
      </c>
      <c r="J51" t="s">
        <v>1125</v>
      </c>
      <c r="K51">
        <v>2</v>
      </c>
      <c r="L51">
        <v>2</v>
      </c>
      <c r="M51">
        <v>2</v>
      </c>
      <c r="N51" t="s">
        <v>1332</v>
      </c>
      <c r="O51">
        <v>56078603</v>
      </c>
      <c r="P51" t="s">
        <v>1332</v>
      </c>
      <c r="Q51">
        <v>0</v>
      </c>
      <c r="S51">
        <f t="shared" si="1"/>
        <v>6</v>
      </c>
      <c r="T51" t="e">
        <f t="shared" si="2"/>
        <v>#VALUE!</v>
      </c>
    </row>
    <row r="52" spans="3:20" x14ac:dyDescent="0.2">
      <c r="S52">
        <f t="shared" si="1"/>
        <v>0</v>
      </c>
      <c r="T52">
        <f t="shared" si="2"/>
        <v>0</v>
      </c>
    </row>
    <row r="53" spans="3:20" x14ac:dyDescent="0.2">
      <c r="S53">
        <f t="shared" si="1"/>
        <v>0</v>
      </c>
      <c r="T53">
        <f t="shared" si="2"/>
        <v>0</v>
      </c>
    </row>
    <row r="54" spans="3:20" x14ac:dyDescent="0.2">
      <c r="S54">
        <f t="shared" si="1"/>
        <v>0</v>
      </c>
      <c r="T54">
        <f t="shared" si="2"/>
        <v>0</v>
      </c>
    </row>
    <row r="55" spans="3:20" x14ac:dyDescent="0.2">
      <c r="S55">
        <f t="shared" si="1"/>
        <v>0</v>
      </c>
      <c r="T55">
        <f t="shared" si="2"/>
        <v>0</v>
      </c>
    </row>
    <row r="56" spans="3:20" x14ac:dyDescent="0.2">
      <c r="S56">
        <f t="shared" si="1"/>
        <v>0</v>
      </c>
      <c r="T56">
        <f t="shared" si="2"/>
        <v>0</v>
      </c>
    </row>
    <row r="57" spans="3:20" x14ac:dyDescent="0.2">
      <c r="S57">
        <f t="shared" si="1"/>
        <v>0</v>
      </c>
      <c r="T57">
        <f t="shared" si="2"/>
        <v>0</v>
      </c>
    </row>
    <row r="58" spans="3:20" x14ac:dyDescent="0.2">
      <c r="S58">
        <f t="shared" si="1"/>
        <v>0</v>
      </c>
      <c r="T58">
        <f t="shared" si="2"/>
        <v>0</v>
      </c>
    </row>
    <row r="59" spans="3:20" x14ac:dyDescent="0.2">
      <c r="S59">
        <f t="shared" si="1"/>
        <v>0</v>
      </c>
      <c r="T59">
        <f t="shared" si="2"/>
        <v>0</v>
      </c>
    </row>
    <row r="60" spans="3:20" x14ac:dyDescent="0.2">
      <c r="S60">
        <f t="shared" si="1"/>
        <v>0</v>
      </c>
      <c r="T60">
        <f t="shared" si="2"/>
        <v>0</v>
      </c>
    </row>
    <row r="61" spans="3:20" x14ac:dyDescent="0.2">
      <c r="S61">
        <f t="shared" si="1"/>
        <v>0</v>
      </c>
      <c r="T61">
        <f t="shared" si="2"/>
        <v>0</v>
      </c>
    </row>
    <row r="62" spans="3:20" x14ac:dyDescent="0.2">
      <c r="S62">
        <f t="shared" si="1"/>
        <v>0</v>
      </c>
      <c r="T62">
        <f t="shared" si="2"/>
        <v>0</v>
      </c>
    </row>
    <row r="63" spans="3:20" x14ac:dyDescent="0.2">
      <c r="S63">
        <f t="shared" si="1"/>
        <v>0</v>
      </c>
      <c r="T63">
        <f t="shared" si="2"/>
        <v>0</v>
      </c>
    </row>
    <row r="64" spans="3:20" x14ac:dyDescent="0.2">
      <c r="S64">
        <f t="shared" si="1"/>
        <v>0</v>
      </c>
      <c r="T64">
        <f t="shared" si="2"/>
        <v>0</v>
      </c>
    </row>
    <row r="65" spans="19:20" x14ac:dyDescent="0.2">
      <c r="S65">
        <f t="shared" si="1"/>
        <v>0</v>
      </c>
      <c r="T65">
        <f t="shared" si="2"/>
        <v>0</v>
      </c>
    </row>
    <row r="66" spans="19:20" x14ac:dyDescent="0.2">
      <c r="S66">
        <f t="shared" si="1"/>
        <v>0</v>
      </c>
      <c r="T66">
        <f t="shared" si="2"/>
        <v>0</v>
      </c>
    </row>
    <row r="67" spans="19:20" x14ac:dyDescent="0.2">
      <c r="S67">
        <f t="shared" si="1"/>
        <v>0</v>
      </c>
      <c r="T67">
        <f t="shared" si="2"/>
        <v>0</v>
      </c>
    </row>
    <row r="68" spans="19:20" x14ac:dyDescent="0.2">
      <c r="S68">
        <f t="shared" si="1"/>
        <v>0</v>
      </c>
      <c r="T68">
        <f t="shared" si="2"/>
        <v>0</v>
      </c>
    </row>
    <row r="69" spans="19:20" x14ac:dyDescent="0.2">
      <c r="S69">
        <f t="shared" si="1"/>
        <v>0</v>
      </c>
      <c r="T69">
        <f t="shared" si="2"/>
        <v>0</v>
      </c>
    </row>
    <row r="70" spans="19:20" x14ac:dyDescent="0.2">
      <c r="S70">
        <f t="shared" si="1"/>
        <v>0</v>
      </c>
      <c r="T70">
        <f t="shared" ref="T70:T104" si="3">J70+N70</f>
        <v>0</v>
      </c>
    </row>
    <row r="71" spans="19:20" x14ac:dyDescent="0.2">
      <c r="S71">
        <f t="shared" ref="S71:S104" si="4">K71+L71+M71+Q71</f>
        <v>0</v>
      </c>
      <c r="T71">
        <f t="shared" si="3"/>
        <v>0</v>
      </c>
    </row>
    <row r="72" spans="19:20" x14ac:dyDescent="0.2">
      <c r="S72">
        <f t="shared" si="4"/>
        <v>0</v>
      </c>
      <c r="T72">
        <f t="shared" si="3"/>
        <v>0</v>
      </c>
    </row>
    <row r="73" spans="19:20" x14ac:dyDescent="0.2">
      <c r="S73">
        <f t="shared" si="4"/>
        <v>0</v>
      </c>
      <c r="T73">
        <f t="shared" si="3"/>
        <v>0</v>
      </c>
    </row>
    <row r="74" spans="19:20" x14ac:dyDescent="0.2">
      <c r="S74">
        <f t="shared" si="4"/>
        <v>0</v>
      </c>
      <c r="T74">
        <f t="shared" si="3"/>
        <v>0</v>
      </c>
    </row>
    <row r="75" spans="19:20" x14ac:dyDescent="0.2">
      <c r="S75">
        <f t="shared" si="4"/>
        <v>0</v>
      </c>
      <c r="T75">
        <f t="shared" si="3"/>
        <v>0</v>
      </c>
    </row>
    <row r="76" spans="19:20" x14ac:dyDescent="0.2">
      <c r="S76">
        <f t="shared" si="4"/>
        <v>0</v>
      </c>
      <c r="T76">
        <f t="shared" si="3"/>
        <v>0</v>
      </c>
    </row>
    <row r="77" spans="19:20" x14ac:dyDescent="0.2">
      <c r="S77">
        <f t="shared" si="4"/>
        <v>0</v>
      </c>
      <c r="T77">
        <f t="shared" si="3"/>
        <v>0</v>
      </c>
    </row>
    <row r="78" spans="19:20" x14ac:dyDescent="0.2">
      <c r="S78">
        <f t="shared" si="4"/>
        <v>0</v>
      </c>
      <c r="T78">
        <f t="shared" si="3"/>
        <v>0</v>
      </c>
    </row>
    <row r="79" spans="19:20" x14ac:dyDescent="0.2">
      <c r="S79">
        <f t="shared" si="4"/>
        <v>0</v>
      </c>
      <c r="T79">
        <f t="shared" si="3"/>
        <v>0</v>
      </c>
    </row>
    <row r="80" spans="19:20" x14ac:dyDescent="0.2">
      <c r="S80">
        <f t="shared" si="4"/>
        <v>0</v>
      </c>
      <c r="T80">
        <f t="shared" si="3"/>
        <v>0</v>
      </c>
    </row>
    <row r="81" spans="19:20" x14ac:dyDescent="0.2">
      <c r="S81">
        <f t="shared" si="4"/>
        <v>0</v>
      </c>
      <c r="T81">
        <f t="shared" si="3"/>
        <v>0</v>
      </c>
    </row>
    <row r="82" spans="19:20" x14ac:dyDescent="0.2">
      <c r="S82">
        <f t="shared" si="4"/>
        <v>0</v>
      </c>
      <c r="T82">
        <f t="shared" si="3"/>
        <v>0</v>
      </c>
    </row>
    <row r="83" spans="19:20" x14ac:dyDescent="0.2">
      <c r="S83">
        <f t="shared" si="4"/>
        <v>0</v>
      </c>
      <c r="T83">
        <f t="shared" si="3"/>
        <v>0</v>
      </c>
    </row>
    <row r="84" spans="19:20" x14ac:dyDescent="0.2">
      <c r="S84">
        <f t="shared" si="4"/>
        <v>0</v>
      </c>
      <c r="T84">
        <f t="shared" si="3"/>
        <v>0</v>
      </c>
    </row>
    <row r="85" spans="19:20" x14ac:dyDescent="0.2">
      <c r="S85">
        <f t="shared" si="4"/>
        <v>0</v>
      </c>
      <c r="T85">
        <f t="shared" si="3"/>
        <v>0</v>
      </c>
    </row>
    <row r="86" spans="19:20" x14ac:dyDescent="0.2">
      <c r="S86">
        <f t="shared" si="4"/>
        <v>0</v>
      </c>
      <c r="T86">
        <f t="shared" si="3"/>
        <v>0</v>
      </c>
    </row>
    <row r="87" spans="19:20" x14ac:dyDescent="0.2">
      <c r="S87">
        <f t="shared" si="4"/>
        <v>0</v>
      </c>
      <c r="T87">
        <f t="shared" si="3"/>
        <v>0</v>
      </c>
    </row>
    <row r="88" spans="19:20" x14ac:dyDescent="0.2">
      <c r="S88">
        <f t="shared" si="4"/>
        <v>0</v>
      </c>
      <c r="T88">
        <f t="shared" si="3"/>
        <v>0</v>
      </c>
    </row>
    <row r="89" spans="19:20" x14ac:dyDescent="0.2">
      <c r="S89">
        <f t="shared" si="4"/>
        <v>0</v>
      </c>
      <c r="T89">
        <f t="shared" si="3"/>
        <v>0</v>
      </c>
    </row>
    <row r="90" spans="19:20" x14ac:dyDescent="0.2">
      <c r="S90">
        <f t="shared" si="4"/>
        <v>0</v>
      </c>
      <c r="T90">
        <f t="shared" si="3"/>
        <v>0</v>
      </c>
    </row>
    <row r="91" spans="19:20" x14ac:dyDescent="0.2">
      <c r="S91">
        <f t="shared" si="4"/>
        <v>0</v>
      </c>
      <c r="T91">
        <f t="shared" si="3"/>
        <v>0</v>
      </c>
    </row>
    <row r="92" spans="19:20" x14ac:dyDescent="0.2">
      <c r="S92">
        <f t="shared" si="4"/>
        <v>0</v>
      </c>
      <c r="T92">
        <f t="shared" si="3"/>
        <v>0</v>
      </c>
    </row>
    <row r="93" spans="19:20" x14ac:dyDescent="0.2">
      <c r="S93">
        <f t="shared" si="4"/>
        <v>0</v>
      </c>
      <c r="T93">
        <f t="shared" si="3"/>
        <v>0</v>
      </c>
    </row>
    <row r="94" spans="19:20" x14ac:dyDescent="0.2">
      <c r="S94">
        <f t="shared" si="4"/>
        <v>0</v>
      </c>
      <c r="T94">
        <f t="shared" si="3"/>
        <v>0</v>
      </c>
    </row>
    <row r="95" spans="19:20" x14ac:dyDescent="0.2">
      <c r="S95">
        <f t="shared" si="4"/>
        <v>0</v>
      </c>
      <c r="T95">
        <f t="shared" si="3"/>
        <v>0</v>
      </c>
    </row>
    <row r="96" spans="19:20" x14ac:dyDescent="0.2">
      <c r="S96">
        <f t="shared" si="4"/>
        <v>0</v>
      </c>
      <c r="T96">
        <f t="shared" si="3"/>
        <v>0</v>
      </c>
    </row>
    <row r="97" spans="19:20" x14ac:dyDescent="0.2">
      <c r="S97">
        <f t="shared" si="4"/>
        <v>0</v>
      </c>
      <c r="T97">
        <f t="shared" si="3"/>
        <v>0</v>
      </c>
    </row>
    <row r="98" spans="19:20" x14ac:dyDescent="0.2">
      <c r="S98">
        <f t="shared" si="4"/>
        <v>0</v>
      </c>
      <c r="T98">
        <f t="shared" si="3"/>
        <v>0</v>
      </c>
    </row>
    <row r="99" spans="19:20" x14ac:dyDescent="0.2">
      <c r="S99">
        <f t="shared" si="4"/>
        <v>0</v>
      </c>
      <c r="T99">
        <f t="shared" si="3"/>
        <v>0</v>
      </c>
    </row>
    <row r="100" spans="19:20" x14ac:dyDescent="0.2">
      <c r="S100">
        <f t="shared" si="4"/>
        <v>0</v>
      </c>
      <c r="T100">
        <f t="shared" si="3"/>
        <v>0</v>
      </c>
    </row>
    <row r="101" spans="19:20" x14ac:dyDescent="0.2">
      <c r="S101">
        <f t="shared" si="4"/>
        <v>0</v>
      </c>
      <c r="T101">
        <f t="shared" si="3"/>
        <v>0</v>
      </c>
    </row>
    <row r="102" spans="19:20" x14ac:dyDescent="0.2">
      <c r="S102">
        <f t="shared" si="4"/>
        <v>0</v>
      </c>
      <c r="T102">
        <f t="shared" si="3"/>
        <v>0</v>
      </c>
    </row>
    <row r="103" spans="19:20" x14ac:dyDescent="0.2">
      <c r="S103">
        <f t="shared" si="4"/>
        <v>0</v>
      </c>
      <c r="T103">
        <f t="shared" si="3"/>
        <v>0</v>
      </c>
    </row>
    <row r="104" spans="19:20" x14ac:dyDescent="0.2">
      <c r="S104">
        <f t="shared" si="4"/>
        <v>0</v>
      </c>
      <c r="T104">
        <f t="shared" si="3"/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110"/>
  <dimension ref="D5:T58"/>
  <sheetViews>
    <sheetView rightToLeft="1" workbookViewId="0">
      <selection activeCell="AL8" sqref="AL8"/>
    </sheetView>
  </sheetViews>
  <sheetFormatPr defaultRowHeight="12.75" x14ac:dyDescent="0.2"/>
  <sheetData>
    <row r="5" spans="4:20" ht="47.25" x14ac:dyDescent="0.25">
      <c r="D5" s="3" t="s">
        <v>2</v>
      </c>
      <c r="E5" s="3"/>
      <c r="F5" s="3"/>
      <c r="G5" s="3"/>
      <c r="H5" s="3"/>
      <c r="I5" s="3" t="s">
        <v>16</v>
      </c>
      <c r="J5" s="3" t="s">
        <v>204</v>
      </c>
      <c r="K5" s="3" t="s">
        <v>205</v>
      </c>
      <c r="L5" s="3" t="s">
        <v>17</v>
      </c>
      <c r="M5" s="3" t="s">
        <v>18</v>
      </c>
      <c r="N5" s="3" t="s">
        <v>206</v>
      </c>
      <c r="O5" s="3" t="s">
        <v>207</v>
      </c>
      <c r="P5" s="3" t="s">
        <v>208</v>
      </c>
      <c r="Q5" s="3" t="s">
        <v>21</v>
      </c>
      <c r="S5" s="4" t="s">
        <v>298</v>
      </c>
      <c r="T5" s="4" t="s">
        <v>297</v>
      </c>
    </row>
    <row r="6" spans="4:20" x14ac:dyDescent="0.2">
      <c r="S6">
        <f>VALUE(K6)+VALUE(L6)+VALUE(M6)+VALUE(Q6)</f>
        <v>0</v>
      </c>
      <c r="T6">
        <f>VALUE(J6)+VALUE(N6)</f>
        <v>0</v>
      </c>
    </row>
    <row r="7" spans="4:20" x14ac:dyDescent="0.2">
      <c r="S7">
        <f t="shared" ref="S7:S58" si="0">VALUE(K7)+VALUE(L7)+VALUE(M7)+VALUE(Q7)</f>
        <v>0</v>
      </c>
      <c r="T7">
        <f t="shared" ref="T7:T58" si="1">VALUE(J7)+VALUE(N7)</f>
        <v>0</v>
      </c>
    </row>
    <row r="8" spans="4:20" x14ac:dyDescent="0.2">
      <c r="S8">
        <f t="shared" si="0"/>
        <v>0</v>
      </c>
      <c r="T8">
        <f t="shared" si="1"/>
        <v>0</v>
      </c>
    </row>
    <row r="9" spans="4:20" x14ac:dyDescent="0.2">
      <c r="S9">
        <f t="shared" si="0"/>
        <v>0</v>
      </c>
      <c r="T9">
        <f t="shared" si="1"/>
        <v>0</v>
      </c>
    </row>
    <row r="10" spans="4:20" x14ac:dyDescent="0.2">
      <c r="S10">
        <f t="shared" si="0"/>
        <v>0</v>
      </c>
      <c r="T10">
        <f t="shared" si="1"/>
        <v>0</v>
      </c>
    </row>
    <row r="11" spans="4:20" x14ac:dyDescent="0.2">
      <c r="S11">
        <f t="shared" si="0"/>
        <v>0</v>
      </c>
      <c r="T11">
        <f t="shared" si="1"/>
        <v>0</v>
      </c>
    </row>
    <row r="12" spans="4:20" x14ac:dyDescent="0.2">
      <c r="S12">
        <f t="shared" si="0"/>
        <v>0</v>
      </c>
      <c r="T12">
        <f t="shared" si="1"/>
        <v>0</v>
      </c>
    </row>
    <row r="13" spans="4:20" x14ac:dyDescent="0.2">
      <c r="S13">
        <f t="shared" si="0"/>
        <v>0</v>
      </c>
      <c r="T13">
        <f t="shared" si="1"/>
        <v>0</v>
      </c>
    </row>
    <row r="14" spans="4:20" x14ac:dyDescent="0.2">
      <c r="S14">
        <f t="shared" si="0"/>
        <v>0</v>
      </c>
      <c r="T14">
        <f t="shared" si="1"/>
        <v>0</v>
      </c>
    </row>
    <row r="15" spans="4:20" x14ac:dyDescent="0.2">
      <c r="S15">
        <f t="shared" si="0"/>
        <v>0</v>
      </c>
      <c r="T15">
        <f t="shared" si="1"/>
        <v>0</v>
      </c>
    </row>
    <row r="16" spans="4:20" x14ac:dyDescent="0.2">
      <c r="S16">
        <f t="shared" si="0"/>
        <v>0</v>
      </c>
      <c r="T16">
        <f t="shared" si="1"/>
        <v>0</v>
      </c>
    </row>
    <row r="17" spans="19:20" x14ac:dyDescent="0.2">
      <c r="S17">
        <f t="shared" si="0"/>
        <v>0</v>
      </c>
      <c r="T17">
        <f t="shared" si="1"/>
        <v>0</v>
      </c>
    </row>
    <row r="18" spans="19:20" x14ac:dyDescent="0.2">
      <c r="S18">
        <f t="shared" si="0"/>
        <v>0</v>
      </c>
      <c r="T18">
        <f t="shared" si="1"/>
        <v>0</v>
      </c>
    </row>
    <row r="19" spans="19:20" x14ac:dyDescent="0.2">
      <c r="S19">
        <f t="shared" si="0"/>
        <v>0</v>
      </c>
      <c r="T19">
        <f t="shared" si="1"/>
        <v>0</v>
      </c>
    </row>
    <row r="20" spans="19:20" x14ac:dyDescent="0.2">
      <c r="S20">
        <f t="shared" si="0"/>
        <v>0</v>
      </c>
      <c r="T20">
        <f t="shared" si="1"/>
        <v>0</v>
      </c>
    </row>
    <row r="21" spans="19:20" x14ac:dyDescent="0.2">
      <c r="S21">
        <f t="shared" si="0"/>
        <v>0</v>
      </c>
      <c r="T21">
        <f t="shared" si="1"/>
        <v>0</v>
      </c>
    </row>
    <row r="22" spans="19:20" x14ac:dyDescent="0.2">
      <c r="S22">
        <f t="shared" si="0"/>
        <v>0</v>
      </c>
      <c r="T22">
        <f t="shared" si="1"/>
        <v>0</v>
      </c>
    </row>
    <row r="23" spans="19:20" x14ac:dyDescent="0.2">
      <c r="S23">
        <f t="shared" si="0"/>
        <v>0</v>
      </c>
      <c r="T23">
        <f t="shared" si="1"/>
        <v>0</v>
      </c>
    </row>
    <row r="24" spans="19:20" x14ac:dyDescent="0.2">
      <c r="S24">
        <f t="shared" si="0"/>
        <v>0</v>
      </c>
      <c r="T24">
        <f t="shared" si="1"/>
        <v>0</v>
      </c>
    </row>
    <row r="25" spans="19:20" x14ac:dyDescent="0.2">
      <c r="S25">
        <f t="shared" si="0"/>
        <v>0</v>
      </c>
      <c r="T25">
        <f t="shared" si="1"/>
        <v>0</v>
      </c>
    </row>
    <row r="26" spans="19:20" x14ac:dyDescent="0.2">
      <c r="S26">
        <f t="shared" si="0"/>
        <v>0</v>
      </c>
      <c r="T26">
        <f t="shared" si="1"/>
        <v>0</v>
      </c>
    </row>
    <row r="27" spans="19:20" x14ac:dyDescent="0.2">
      <c r="S27">
        <f t="shared" si="0"/>
        <v>0</v>
      </c>
      <c r="T27">
        <f t="shared" si="1"/>
        <v>0</v>
      </c>
    </row>
    <row r="28" spans="19:20" x14ac:dyDescent="0.2">
      <c r="S28">
        <f t="shared" si="0"/>
        <v>0</v>
      </c>
      <c r="T28">
        <f t="shared" si="1"/>
        <v>0</v>
      </c>
    </row>
    <row r="29" spans="19:20" x14ac:dyDescent="0.2">
      <c r="S29">
        <f t="shared" si="0"/>
        <v>0</v>
      </c>
      <c r="T29">
        <f t="shared" si="1"/>
        <v>0</v>
      </c>
    </row>
    <row r="30" spans="19:20" x14ac:dyDescent="0.2">
      <c r="S30">
        <f t="shared" si="0"/>
        <v>0</v>
      </c>
      <c r="T30">
        <f t="shared" si="1"/>
        <v>0</v>
      </c>
    </row>
    <row r="31" spans="19:20" x14ac:dyDescent="0.2">
      <c r="S31">
        <f t="shared" si="0"/>
        <v>0</v>
      </c>
      <c r="T31">
        <f t="shared" si="1"/>
        <v>0</v>
      </c>
    </row>
    <row r="32" spans="19:20" x14ac:dyDescent="0.2">
      <c r="S32">
        <f t="shared" si="0"/>
        <v>0</v>
      </c>
      <c r="T32">
        <f t="shared" si="1"/>
        <v>0</v>
      </c>
    </row>
    <row r="33" spans="19:20" x14ac:dyDescent="0.2">
      <c r="S33">
        <f t="shared" si="0"/>
        <v>0</v>
      </c>
      <c r="T33">
        <f t="shared" si="1"/>
        <v>0</v>
      </c>
    </row>
    <row r="34" spans="19:20" x14ac:dyDescent="0.2">
      <c r="S34">
        <f t="shared" si="0"/>
        <v>0</v>
      </c>
      <c r="T34">
        <f t="shared" si="1"/>
        <v>0</v>
      </c>
    </row>
    <row r="35" spans="19:20" x14ac:dyDescent="0.2">
      <c r="S35">
        <f t="shared" si="0"/>
        <v>0</v>
      </c>
      <c r="T35">
        <f t="shared" si="1"/>
        <v>0</v>
      </c>
    </row>
    <row r="36" spans="19:20" x14ac:dyDescent="0.2">
      <c r="S36">
        <f t="shared" si="0"/>
        <v>0</v>
      </c>
      <c r="T36">
        <f t="shared" si="1"/>
        <v>0</v>
      </c>
    </row>
    <row r="37" spans="19:20" x14ac:dyDescent="0.2">
      <c r="S37">
        <f t="shared" si="0"/>
        <v>0</v>
      </c>
      <c r="T37">
        <f t="shared" si="1"/>
        <v>0</v>
      </c>
    </row>
    <row r="38" spans="19:20" x14ac:dyDescent="0.2">
      <c r="S38">
        <f t="shared" si="0"/>
        <v>0</v>
      </c>
      <c r="T38">
        <f t="shared" si="1"/>
        <v>0</v>
      </c>
    </row>
    <row r="39" spans="19:20" x14ac:dyDescent="0.2">
      <c r="S39">
        <f t="shared" si="0"/>
        <v>0</v>
      </c>
      <c r="T39">
        <f t="shared" si="1"/>
        <v>0</v>
      </c>
    </row>
    <row r="40" spans="19:20" x14ac:dyDescent="0.2">
      <c r="S40">
        <f t="shared" si="0"/>
        <v>0</v>
      </c>
      <c r="T40">
        <f t="shared" si="1"/>
        <v>0</v>
      </c>
    </row>
    <row r="41" spans="19:20" x14ac:dyDescent="0.2">
      <c r="S41">
        <f t="shared" si="0"/>
        <v>0</v>
      </c>
      <c r="T41">
        <f t="shared" si="1"/>
        <v>0</v>
      </c>
    </row>
    <row r="42" spans="19:20" x14ac:dyDescent="0.2">
      <c r="S42">
        <f t="shared" si="0"/>
        <v>0</v>
      </c>
      <c r="T42">
        <f t="shared" si="1"/>
        <v>0</v>
      </c>
    </row>
    <row r="43" spans="19:20" x14ac:dyDescent="0.2">
      <c r="S43">
        <f t="shared" si="0"/>
        <v>0</v>
      </c>
      <c r="T43">
        <f t="shared" si="1"/>
        <v>0</v>
      </c>
    </row>
    <row r="44" spans="19:20" x14ac:dyDescent="0.2">
      <c r="S44">
        <f t="shared" si="0"/>
        <v>0</v>
      </c>
      <c r="T44">
        <f t="shared" si="1"/>
        <v>0</v>
      </c>
    </row>
    <row r="45" spans="19:20" x14ac:dyDescent="0.2">
      <c r="S45">
        <f t="shared" si="0"/>
        <v>0</v>
      </c>
      <c r="T45">
        <f t="shared" si="1"/>
        <v>0</v>
      </c>
    </row>
    <row r="46" spans="19:20" x14ac:dyDescent="0.2">
      <c r="S46">
        <f t="shared" si="0"/>
        <v>0</v>
      </c>
      <c r="T46">
        <f t="shared" si="1"/>
        <v>0</v>
      </c>
    </row>
    <row r="47" spans="19:20" x14ac:dyDescent="0.2">
      <c r="S47">
        <f t="shared" si="0"/>
        <v>0</v>
      </c>
      <c r="T47">
        <f t="shared" si="1"/>
        <v>0</v>
      </c>
    </row>
    <row r="48" spans="19:20" x14ac:dyDescent="0.2">
      <c r="S48">
        <f t="shared" si="0"/>
        <v>0</v>
      </c>
      <c r="T48">
        <f t="shared" si="1"/>
        <v>0</v>
      </c>
    </row>
    <row r="49" spans="19:20" x14ac:dyDescent="0.2">
      <c r="S49">
        <f t="shared" si="0"/>
        <v>0</v>
      </c>
      <c r="T49">
        <f t="shared" si="1"/>
        <v>0</v>
      </c>
    </row>
    <row r="50" spans="19:20" x14ac:dyDescent="0.2">
      <c r="S50">
        <f t="shared" si="0"/>
        <v>0</v>
      </c>
      <c r="T50">
        <f t="shared" si="1"/>
        <v>0</v>
      </c>
    </row>
    <row r="51" spans="19:20" x14ac:dyDescent="0.2">
      <c r="S51">
        <f t="shared" si="0"/>
        <v>0</v>
      </c>
      <c r="T51">
        <f t="shared" si="1"/>
        <v>0</v>
      </c>
    </row>
    <row r="52" spans="19:20" x14ac:dyDescent="0.2">
      <c r="S52">
        <f t="shared" si="0"/>
        <v>0</v>
      </c>
      <c r="T52">
        <f t="shared" si="1"/>
        <v>0</v>
      </c>
    </row>
    <row r="53" spans="19:20" x14ac:dyDescent="0.2">
      <c r="S53">
        <f t="shared" si="0"/>
        <v>0</v>
      </c>
      <c r="T53">
        <f t="shared" si="1"/>
        <v>0</v>
      </c>
    </row>
    <row r="54" spans="19:20" x14ac:dyDescent="0.2">
      <c r="S54">
        <f t="shared" si="0"/>
        <v>0</v>
      </c>
      <c r="T54">
        <f t="shared" si="1"/>
        <v>0</v>
      </c>
    </row>
    <row r="55" spans="19:20" x14ac:dyDescent="0.2">
      <c r="S55">
        <f t="shared" si="0"/>
        <v>0</v>
      </c>
      <c r="T55">
        <f t="shared" si="1"/>
        <v>0</v>
      </c>
    </row>
    <row r="56" spans="19:20" x14ac:dyDescent="0.2">
      <c r="S56">
        <f t="shared" si="0"/>
        <v>0</v>
      </c>
      <c r="T56">
        <f t="shared" si="1"/>
        <v>0</v>
      </c>
    </row>
    <row r="57" spans="19:20" x14ac:dyDescent="0.2">
      <c r="S57">
        <f t="shared" si="0"/>
        <v>0</v>
      </c>
      <c r="T57">
        <f t="shared" si="1"/>
        <v>0</v>
      </c>
    </row>
    <row r="58" spans="19:20" x14ac:dyDescent="0.2">
      <c r="S58">
        <f t="shared" si="0"/>
        <v>0</v>
      </c>
      <c r="T58">
        <f t="shared" si="1"/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26"/>
  <dimension ref="C5:T66"/>
  <sheetViews>
    <sheetView rightToLeft="1" workbookViewId="0">
      <selection activeCell="I5" sqref="I5"/>
    </sheetView>
  </sheetViews>
  <sheetFormatPr defaultRowHeight="12.75" x14ac:dyDescent="0.2"/>
  <cols>
    <col min="7" max="8" width="12.42578125" customWidth="1"/>
    <col min="9" max="9" width="13.140625" customWidth="1"/>
    <col min="10" max="10" width="14.42578125" customWidth="1"/>
    <col min="11" max="11" width="12.7109375" customWidth="1"/>
    <col min="12" max="12" width="12.5703125" customWidth="1"/>
  </cols>
  <sheetData>
    <row r="5" spans="3:20" ht="85.5" customHeight="1" x14ac:dyDescent="0.25">
      <c r="C5" s="3" t="s">
        <v>2</v>
      </c>
      <c r="D5" s="3" t="s">
        <v>1163</v>
      </c>
      <c r="E5" s="3" t="s">
        <v>943</v>
      </c>
      <c r="F5" s="3" t="s">
        <v>1164</v>
      </c>
      <c r="G5" s="3" t="s">
        <v>190</v>
      </c>
      <c r="H5" s="3" t="s">
        <v>191</v>
      </c>
      <c r="I5" s="3" t="s">
        <v>1165</v>
      </c>
      <c r="J5" s="3" t="s">
        <v>193</v>
      </c>
      <c r="K5" s="3" t="s">
        <v>1166</v>
      </c>
      <c r="L5" s="3" t="s">
        <v>195</v>
      </c>
      <c r="M5" s="3" t="s">
        <v>16</v>
      </c>
      <c r="N5" s="3" t="s">
        <v>196</v>
      </c>
      <c r="O5" s="3"/>
      <c r="P5" s="3"/>
      <c r="S5" s="4" t="s">
        <v>298</v>
      </c>
      <c r="T5" s="4" t="s">
        <v>297</v>
      </c>
    </row>
    <row r="6" spans="3:20" x14ac:dyDescent="0.2">
      <c r="C6" t="s">
        <v>1330</v>
      </c>
      <c r="D6">
        <v>56078603</v>
      </c>
      <c r="E6">
        <v>0</v>
      </c>
      <c r="F6">
        <v>242620.43</v>
      </c>
      <c r="M6">
        <v>209735.74</v>
      </c>
      <c r="S6">
        <f>VALUE(K6)+VALUE(L6)+VALUE(M6)+VALUE(Q6)</f>
        <v>209735.74</v>
      </c>
      <c r="T6">
        <f>VALUE(J6)+VALUE(N6)</f>
        <v>0</v>
      </c>
    </row>
    <row r="7" spans="3:20" x14ac:dyDescent="0.2">
      <c r="C7" t="s">
        <v>1214</v>
      </c>
      <c r="D7">
        <v>56078603</v>
      </c>
      <c r="G7">
        <v>3958.1</v>
      </c>
      <c r="H7">
        <v>3958.1</v>
      </c>
      <c r="S7">
        <f t="shared" ref="S7:S66" si="0">VALUE(K7)+VALUE(L7)+VALUE(M7)+VALUE(Q7)</f>
        <v>0</v>
      </c>
      <c r="T7">
        <f t="shared" ref="T7:T66" si="1">VALUE(J7)+VALUE(N7)</f>
        <v>0</v>
      </c>
    </row>
    <row r="8" spans="3:20" x14ac:dyDescent="0.2">
      <c r="C8" t="s">
        <v>1225</v>
      </c>
      <c r="D8">
        <v>56078603</v>
      </c>
      <c r="G8">
        <v>228.61</v>
      </c>
      <c r="H8">
        <v>228.61</v>
      </c>
      <c r="J8">
        <v>2913.51</v>
      </c>
      <c r="S8">
        <f t="shared" si="0"/>
        <v>0</v>
      </c>
      <c r="T8">
        <f t="shared" si="1"/>
        <v>2913.51</v>
      </c>
    </row>
    <row r="9" spans="3:20" x14ac:dyDescent="0.2">
      <c r="C9" t="s">
        <v>1205</v>
      </c>
      <c r="D9">
        <v>56078603</v>
      </c>
      <c r="E9">
        <v>2833</v>
      </c>
      <c r="M9">
        <v>816</v>
      </c>
      <c r="S9">
        <f t="shared" si="0"/>
        <v>816</v>
      </c>
      <c r="T9">
        <f t="shared" si="1"/>
        <v>0</v>
      </c>
    </row>
    <row r="10" spans="3:20" x14ac:dyDescent="0.2">
      <c r="C10" t="s">
        <v>1237</v>
      </c>
      <c r="D10">
        <v>56078603</v>
      </c>
      <c r="K10">
        <v>17659.64</v>
      </c>
      <c r="S10">
        <f t="shared" si="0"/>
        <v>17659.64</v>
      </c>
      <c r="T10">
        <f t="shared" si="1"/>
        <v>0</v>
      </c>
    </row>
    <row r="11" spans="3:20" x14ac:dyDescent="0.2">
      <c r="C11" t="s">
        <v>1247</v>
      </c>
      <c r="D11">
        <v>56078603</v>
      </c>
      <c r="K11">
        <v>8598.2999999999993</v>
      </c>
      <c r="S11">
        <f t="shared" si="0"/>
        <v>8598.2999999999993</v>
      </c>
      <c r="T11">
        <f t="shared" si="1"/>
        <v>0</v>
      </c>
    </row>
    <row r="12" spans="3:20" x14ac:dyDescent="0.2">
      <c r="C12" t="s">
        <v>1321</v>
      </c>
      <c r="D12">
        <v>56078603</v>
      </c>
      <c r="F12">
        <v>20896</v>
      </c>
      <c r="J12">
        <v>16042</v>
      </c>
      <c r="K12">
        <v>59379</v>
      </c>
      <c r="S12">
        <f t="shared" si="0"/>
        <v>59379</v>
      </c>
      <c r="T12">
        <f t="shared" si="1"/>
        <v>16042</v>
      </c>
    </row>
    <row r="13" spans="3:20" x14ac:dyDescent="0.2">
      <c r="C13" t="s">
        <v>1325</v>
      </c>
      <c r="D13">
        <v>56078603</v>
      </c>
      <c r="E13">
        <v>12790</v>
      </c>
      <c r="S13">
        <f t="shared" si="0"/>
        <v>0</v>
      </c>
      <c r="T13">
        <f t="shared" si="1"/>
        <v>0</v>
      </c>
    </row>
    <row r="14" spans="3:20" x14ac:dyDescent="0.2">
      <c r="C14" t="s">
        <v>1309</v>
      </c>
      <c r="D14">
        <v>56078603</v>
      </c>
      <c r="E14">
        <v>2898</v>
      </c>
      <c r="F14">
        <v>121923</v>
      </c>
      <c r="S14">
        <f t="shared" si="0"/>
        <v>0</v>
      </c>
      <c r="T14">
        <f t="shared" si="1"/>
        <v>0</v>
      </c>
    </row>
    <row r="15" spans="3:20" x14ac:dyDescent="0.2">
      <c r="C15" t="s">
        <v>1293</v>
      </c>
      <c r="D15">
        <v>56078603</v>
      </c>
      <c r="E15">
        <v>653</v>
      </c>
      <c r="F15">
        <v>1233</v>
      </c>
      <c r="J15">
        <v>6489</v>
      </c>
      <c r="S15">
        <f t="shared" si="0"/>
        <v>0</v>
      </c>
      <c r="T15">
        <f t="shared" si="1"/>
        <v>6489</v>
      </c>
    </row>
    <row r="16" spans="3:20" x14ac:dyDescent="0.2">
      <c r="C16" t="s">
        <v>1303</v>
      </c>
      <c r="D16">
        <v>56078603</v>
      </c>
      <c r="I16">
        <v>11556</v>
      </c>
      <c r="S16">
        <f t="shared" si="0"/>
        <v>0</v>
      </c>
      <c r="T16">
        <f t="shared" si="1"/>
        <v>0</v>
      </c>
    </row>
    <row r="17" spans="3:20" x14ac:dyDescent="0.2">
      <c r="C17" t="s">
        <v>1261</v>
      </c>
      <c r="D17">
        <v>56078603</v>
      </c>
      <c r="S17">
        <f t="shared" si="0"/>
        <v>0</v>
      </c>
      <c r="T17">
        <f t="shared" si="1"/>
        <v>0</v>
      </c>
    </row>
    <row r="18" spans="3:20" x14ac:dyDescent="0.2">
      <c r="C18" t="s">
        <v>1254</v>
      </c>
      <c r="D18">
        <v>56078603</v>
      </c>
      <c r="F18">
        <v>27475.5</v>
      </c>
      <c r="S18">
        <f t="shared" si="0"/>
        <v>0</v>
      </c>
      <c r="T18">
        <f t="shared" si="1"/>
        <v>0</v>
      </c>
    </row>
    <row r="19" spans="3:20" x14ac:dyDescent="0.2">
      <c r="C19" t="s">
        <v>1171</v>
      </c>
      <c r="D19">
        <v>56078603</v>
      </c>
      <c r="N19">
        <v>34618.699999999997</v>
      </c>
      <c r="S19">
        <f t="shared" si="0"/>
        <v>0</v>
      </c>
      <c r="T19">
        <f t="shared" si="1"/>
        <v>34618.699999999997</v>
      </c>
    </row>
    <row r="20" spans="3:20" x14ac:dyDescent="0.2">
      <c r="C20" t="s">
        <v>1184</v>
      </c>
      <c r="D20">
        <v>56078603</v>
      </c>
      <c r="N20">
        <v>25060.25</v>
      </c>
      <c r="S20">
        <f t="shared" si="0"/>
        <v>0</v>
      </c>
      <c r="T20">
        <f t="shared" si="1"/>
        <v>25060.25</v>
      </c>
    </row>
    <row r="21" spans="3:20" x14ac:dyDescent="0.2">
      <c r="C21" t="s">
        <v>1197</v>
      </c>
      <c r="D21">
        <v>56078603</v>
      </c>
      <c r="J21">
        <v>34168.870000000003</v>
      </c>
      <c r="S21">
        <f t="shared" si="0"/>
        <v>0</v>
      </c>
      <c r="T21">
        <f t="shared" si="1"/>
        <v>34168.870000000003</v>
      </c>
    </row>
    <row r="22" spans="3:20" x14ac:dyDescent="0.2">
      <c r="C22" t="s">
        <v>1188</v>
      </c>
      <c r="D22">
        <v>56078603</v>
      </c>
      <c r="K22">
        <v>12185.3</v>
      </c>
      <c r="S22">
        <f t="shared" si="0"/>
        <v>12185.3</v>
      </c>
      <c r="T22">
        <f t="shared" si="1"/>
        <v>0</v>
      </c>
    </row>
    <row r="23" spans="3:20" x14ac:dyDescent="0.2">
      <c r="C23" t="s">
        <v>1227</v>
      </c>
      <c r="D23">
        <v>56078603</v>
      </c>
      <c r="F23">
        <v>6083</v>
      </c>
      <c r="S23">
        <f t="shared" si="0"/>
        <v>0</v>
      </c>
      <c r="T23">
        <f t="shared" si="1"/>
        <v>0</v>
      </c>
    </row>
    <row r="24" spans="3:20" x14ac:dyDescent="0.2">
      <c r="C24" t="s">
        <v>1271</v>
      </c>
      <c r="D24">
        <v>56078603</v>
      </c>
      <c r="M24">
        <v>20182.080000000002</v>
      </c>
      <c r="S24">
        <f t="shared" si="0"/>
        <v>20182.080000000002</v>
      </c>
      <c r="T24">
        <f t="shared" si="1"/>
        <v>0</v>
      </c>
    </row>
    <row r="25" spans="3:20" x14ac:dyDescent="0.2">
      <c r="C25" t="s">
        <v>1315</v>
      </c>
      <c r="D25">
        <v>56078603</v>
      </c>
      <c r="E25">
        <v>114394</v>
      </c>
      <c r="F25">
        <v>11429</v>
      </c>
      <c r="J25">
        <v>209</v>
      </c>
      <c r="S25">
        <f t="shared" si="0"/>
        <v>0</v>
      </c>
      <c r="T25">
        <f t="shared" si="1"/>
        <v>209</v>
      </c>
    </row>
    <row r="26" spans="3:20" x14ac:dyDescent="0.2">
      <c r="C26" t="s">
        <v>1351</v>
      </c>
      <c r="D26">
        <v>56078603</v>
      </c>
      <c r="F26">
        <v>181086</v>
      </c>
      <c r="M26">
        <v>89478</v>
      </c>
      <c r="S26">
        <f t="shared" si="0"/>
        <v>89478</v>
      </c>
      <c r="T26">
        <f t="shared" si="1"/>
        <v>0</v>
      </c>
    </row>
    <row r="27" spans="3:20" x14ac:dyDescent="0.2">
      <c r="C27" t="s">
        <v>1280</v>
      </c>
      <c r="D27">
        <v>56078603</v>
      </c>
      <c r="I27">
        <v>2463.27</v>
      </c>
      <c r="K27">
        <v>27786.67</v>
      </c>
      <c r="S27">
        <f t="shared" si="0"/>
        <v>27786.67</v>
      </c>
      <c r="T27">
        <f t="shared" si="1"/>
        <v>0</v>
      </c>
    </row>
    <row r="28" spans="3:20" x14ac:dyDescent="0.2">
      <c r="C28" t="s">
        <v>1289</v>
      </c>
      <c r="D28">
        <v>56078603</v>
      </c>
      <c r="G28">
        <v>156292.04</v>
      </c>
      <c r="H28">
        <v>156292.04</v>
      </c>
      <c r="S28">
        <f t="shared" si="0"/>
        <v>0</v>
      </c>
      <c r="T28">
        <f t="shared" si="1"/>
        <v>0</v>
      </c>
    </row>
    <row r="29" spans="3:20" x14ac:dyDescent="0.2">
      <c r="S29">
        <f t="shared" si="0"/>
        <v>0</v>
      </c>
      <c r="T29">
        <f t="shared" si="1"/>
        <v>0</v>
      </c>
    </row>
    <row r="30" spans="3:20" x14ac:dyDescent="0.2">
      <c r="S30">
        <f t="shared" si="0"/>
        <v>0</v>
      </c>
      <c r="T30">
        <f t="shared" si="1"/>
        <v>0</v>
      </c>
    </row>
    <row r="31" spans="3:20" x14ac:dyDescent="0.2">
      <c r="S31">
        <f t="shared" si="0"/>
        <v>0</v>
      </c>
      <c r="T31">
        <f t="shared" si="1"/>
        <v>0</v>
      </c>
    </row>
    <row r="32" spans="3:20" x14ac:dyDescent="0.2">
      <c r="S32">
        <f t="shared" si="0"/>
        <v>0</v>
      </c>
      <c r="T32">
        <f t="shared" si="1"/>
        <v>0</v>
      </c>
    </row>
    <row r="33" spans="19:20" x14ac:dyDescent="0.2">
      <c r="S33">
        <f t="shared" si="0"/>
        <v>0</v>
      </c>
      <c r="T33">
        <f t="shared" si="1"/>
        <v>0</v>
      </c>
    </row>
    <row r="34" spans="19:20" x14ac:dyDescent="0.2">
      <c r="S34">
        <f t="shared" si="0"/>
        <v>0</v>
      </c>
      <c r="T34">
        <f t="shared" si="1"/>
        <v>0</v>
      </c>
    </row>
    <row r="35" spans="19:20" x14ac:dyDescent="0.2">
      <c r="S35">
        <f t="shared" si="0"/>
        <v>0</v>
      </c>
      <c r="T35">
        <f t="shared" si="1"/>
        <v>0</v>
      </c>
    </row>
    <row r="36" spans="19:20" x14ac:dyDescent="0.2">
      <c r="S36">
        <f t="shared" si="0"/>
        <v>0</v>
      </c>
      <c r="T36">
        <f t="shared" si="1"/>
        <v>0</v>
      </c>
    </row>
    <row r="37" spans="19:20" x14ac:dyDescent="0.2">
      <c r="S37">
        <f t="shared" si="0"/>
        <v>0</v>
      </c>
      <c r="T37">
        <f t="shared" si="1"/>
        <v>0</v>
      </c>
    </row>
    <row r="38" spans="19:20" x14ac:dyDescent="0.2">
      <c r="S38">
        <f t="shared" si="0"/>
        <v>0</v>
      </c>
      <c r="T38">
        <f t="shared" si="1"/>
        <v>0</v>
      </c>
    </row>
    <row r="39" spans="19:20" x14ac:dyDescent="0.2">
      <c r="S39">
        <f t="shared" si="0"/>
        <v>0</v>
      </c>
      <c r="T39">
        <f t="shared" si="1"/>
        <v>0</v>
      </c>
    </row>
    <row r="40" spans="19:20" x14ac:dyDescent="0.2">
      <c r="S40">
        <f t="shared" si="0"/>
        <v>0</v>
      </c>
      <c r="T40">
        <f t="shared" si="1"/>
        <v>0</v>
      </c>
    </row>
    <row r="41" spans="19:20" x14ac:dyDescent="0.2">
      <c r="S41">
        <f t="shared" si="0"/>
        <v>0</v>
      </c>
      <c r="T41">
        <f t="shared" si="1"/>
        <v>0</v>
      </c>
    </row>
    <row r="42" spans="19:20" x14ac:dyDescent="0.2">
      <c r="S42">
        <f t="shared" si="0"/>
        <v>0</v>
      </c>
      <c r="T42">
        <f t="shared" si="1"/>
        <v>0</v>
      </c>
    </row>
    <row r="43" spans="19:20" x14ac:dyDescent="0.2">
      <c r="S43">
        <f t="shared" si="0"/>
        <v>0</v>
      </c>
      <c r="T43">
        <f t="shared" si="1"/>
        <v>0</v>
      </c>
    </row>
    <row r="44" spans="19:20" x14ac:dyDescent="0.2">
      <c r="S44">
        <f t="shared" si="0"/>
        <v>0</v>
      </c>
      <c r="T44">
        <f t="shared" si="1"/>
        <v>0</v>
      </c>
    </row>
    <row r="45" spans="19:20" x14ac:dyDescent="0.2">
      <c r="S45">
        <f t="shared" si="0"/>
        <v>0</v>
      </c>
      <c r="T45">
        <f t="shared" si="1"/>
        <v>0</v>
      </c>
    </row>
    <row r="46" spans="19:20" x14ac:dyDescent="0.2">
      <c r="S46">
        <f t="shared" si="0"/>
        <v>0</v>
      </c>
      <c r="T46">
        <f t="shared" si="1"/>
        <v>0</v>
      </c>
    </row>
    <row r="47" spans="19:20" x14ac:dyDescent="0.2">
      <c r="S47">
        <f t="shared" si="0"/>
        <v>0</v>
      </c>
      <c r="T47">
        <f t="shared" si="1"/>
        <v>0</v>
      </c>
    </row>
    <row r="48" spans="19:20" x14ac:dyDescent="0.2">
      <c r="S48">
        <f t="shared" si="0"/>
        <v>0</v>
      </c>
      <c r="T48">
        <f t="shared" si="1"/>
        <v>0</v>
      </c>
    </row>
    <row r="49" spans="19:20" x14ac:dyDescent="0.2">
      <c r="S49">
        <f t="shared" si="0"/>
        <v>0</v>
      </c>
      <c r="T49">
        <f t="shared" si="1"/>
        <v>0</v>
      </c>
    </row>
    <row r="50" spans="19:20" x14ac:dyDescent="0.2">
      <c r="S50">
        <f t="shared" si="0"/>
        <v>0</v>
      </c>
      <c r="T50">
        <f t="shared" si="1"/>
        <v>0</v>
      </c>
    </row>
    <row r="51" spans="19:20" x14ac:dyDescent="0.2">
      <c r="S51">
        <f t="shared" si="0"/>
        <v>0</v>
      </c>
      <c r="T51">
        <f t="shared" si="1"/>
        <v>0</v>
      </c>
    </row>
    <row r="52" spans="19:20" x14ac:dyDescent="0.2">
      <c r="S52">
        <f t="shared" si="0"/>
        <v>0</v>
      </c>
      <c r="T52">
        <f t="shared" si="1"/>
        <v>0</v>
      </c>
    </row>
    <row r="53" spans="19:20" x14ac:dyDescent="0.2">
      <c r="S53">
        <f t="shared" si="0"/>
        <v>0</v>
      </c>
      <c r="T53">
        <f t="shared" si="1"/>
        <v>0</v>
      </c>
    </row>
    <row r="54" spans="19:20" x14ac:dyDescent="0.2">
      <c r="S54">
        <f t="shared" si="0"/>
        <v>0</v>
      </c>
      <c r="T54">
        <f t="shared" si="1"/>
        <v>0</v>
      </c>
    </row>
    <row r="55" spans="19:20" x14ac:dyDescent="0.2">
      <c r="S55">
        <f t="shared" si="0"/>
        <v>0</v>
      </c>
      <c r="T55">
        <f t="shared" si="1"/>
        <v>0</v>
      </c>
    </row>
    <row r="56" spans="19:20" x14ac:dyDescent="0.2">
      <c r="S56">
        <f t="shared" si="0"/>
        <v>0</v>
      </c>
      <c r="T56">
        <f t="shared" si="1"/>
        <v>0</v>
      </c>
    </row>
    <row r="57" spans="19:20" x14ac:dyDescent="0.2">
      <c r="S57">
        <f t="shared" si="0"/>
        <v>0</v>
      </c>
      <c r="T57">
        <f t="shared" si="1"/>
        <v>0</v>
      </c>
    </row>
    <row r="58" spans="19:20" x14ac:dyDescent="0.2">
      <c r="S58">
        <f t="shared" si="0"/>
        <v>0</v>
      </c>
      <c r="T58">
        <f t="shared" si="1"/>
        <v>0</v>
      </c>
    </row>
    <row r="59" spans="19:20" x14ac:dyDescent="0.2">
      <c r="S59">
        <f t="shared" si="0"/>
        <v>0</v>
      </c>
      <c r="T59">
        <f t="shared" si="1"/>
        <v>0</v>
      </c>
    </row>
    <row r="60" spans="19:20" x14ac:dyDescent="0.2">
      <c r="S60">
        <f t="shared" si="0"/>
        <v>0</v>
      </c>
      <c r="T60">
        <f t="shared" si="1"/>
        <v>0</v>
      </c>
    </row>
    <row r="61" spans="19:20" x14ac:dyDescent="0.2">
      <c r="S61">
        <f t="shared" si="0"/>
        <v>0</v>
      </c>
      <c r="T61">
        <f t="shared" si="1"/>
        <v>0</v>
      </c>
    </row>
    <row r="62" spans="19:20" x14ac:dyDescent="0.2">
      <c r="S62">
        <f t="shared" si="0"/>
        <v>0</v>
      </c>
      <c r="T62">
        <f t="shared" si="1"/>
        <v>0</v>
      </c>
    </row>
    <row r="63" spans="19:20" x14ac:dyDescent="0.2">
      <c r="S63">
        <f t="shared" si="0"/>
        <v>0</v>
      </c>
      <c r="T63">
        <f t="shared" si="1"/>
        <v>0</v>
      </c>
    </row>
    <row r="64" spans="19:20" x14ac:dyDescent="0.2">
      <c r="S64">
        <f t="shared" si="0"/>
        <v>0</v>
      </c>
      <c r="T64">
        <f t="shared" si="1"/>
        <v>0</v>
      </c>
    </row>
    <row r="65" spans="19:20" x14ac:dyDescent="0.2">
      <c r="S65">
        <f t="shared" si="0"/>
        <v>0</v>
      </c>
      <c r="T65">
        <f t="shared" si="1"/>
        <v>0</v>
      </c>
    </row>
    <row r="66" spans="19:20" x14ac:dyDescent="0.2">
      <c r="S66">
        <f t="shared" si="0"/>
        <v>0</v>
      </c>
      <c r="T66">
        <f t="shared" si="1"/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3"/>
  <dimension ref="C2:R62"/>
  <sheetViews>
    <sheetView rightToLeft="1" workbookViewId="0">
      <selection activeCell="AL8" sqref="AL8"/>
    </sheetView>
  </sheetViews>
  <sheetFormatPr defaultRowHeight="12.75" x14ac:dyDescent="0.2"/>
  <cols>
    <col min="3" max="3" width="11.7109375" customWidth="1"/>
    <col min="4" max="4" width="11.28515625" customWidth="1"/>
    <col min="5" max="5" width="17.5703125" customWidth="1"/>
    <col min="6" max="6" width="13.140625" customWidth="1"/>
    <col min="7" max="7" width="24.7109375" customWidth="1"/>
    <col min="8" max="8" width="16" customWidth="1"/>
    <col min="9" max="9" width="12.7109375" customWidth="1"/>
    <col min="10" max="10" width="10.28515625" customWidth="1"/>
    <col min="14" max="14" width="10.140625" customWidth="1"/>
    <col min="15" max="15" width="11.42578125" customWidth="1"/>
    <col min="16" max="16" width="11.42578125" style="1021" customWidth="1"/>
  </cols>
  <sheetData>
    <row r="2" spans="3:18" ht="23.25" x14ac:dyDescent="0.35">
      <c r="H2" s="10" t="s">
        <v>181</v>
      </c>
    </row>
    <row r="5" spans="3:18" ht="47.25" x14ac:dyDescent="0.2">
      <c r="C5" s="11" t="s">
        <v>1</v>
      </c>
      <c r="D5" s="11" t="s">
        <v>2</v>
      </c>
      <c r="E5" s="11" t="s">
        <v>13</v>
      </c>
      <c r="F5" s="11" t="s">
        <v>83</v>
      </c>
      <c r="G5" s="11" t="s">
        <v>14</v>
      </c>
      <c r="H5" s="11" t="s">
        <v>198</v>
      </c>
      <c r="I5" s="11" t="s">
        <v>199</v>
      </c>
      <c r="J5" s="11" t="s">
        <v>200</v>
      </c>
      <c r="K5" s="11" t="s">
        <v>201</v>
      </c>
      <c r="L5" s="11" t="s">
        <v>202</v>
      </c>
      <c r="M5" s="11" t="s">
        <v>203</v>
      </c>
      <c r="N5" s="11" t="s">
        <v>140</v>
      </c>
      <c r="O5" s="11" t="s">
        <v>1</v>
      </c>
      <c r="P5" s="1024" t="s">
        <v>15</v>
      </c>
      <c r="Q5" s="11" t="s">
        <v>83</v>
      </c>
      <c r="R5" s="11" t="s">
        <v>83</v>
      </c>
    </row>
    <row r="6" spans="3:18" x14ac:dyDescent="0.2">
      <c r="C6">
        <v>302661</v>
      </c>
      <c r="D6" t="s">
        <v>1351</v>
      </c>
      <c r="E6" t="s">
        <v>1212</v>
      </c>
      <c r="F6">
        <v>1</v>
      </c>
      <c r="G6" t="s">
        <v>1422</v>
      </c>
      <c r="H6" t="s">
        <v>1413</v>
      </c>
      <c r="I6">
        <v>89040</v>
      </c>
      <c r="J6" t="s">
        <v>1125</v>
      </c>
      <c r="K6">
        <v>2</v>
      </c>
      <c r="L6">
        <v>2</v>
      </c>
      <c r="M6">
        <v>2</v>
      </c>
      <c r="O6">
        <v>56078603</v>
      </c>
      <c r="P6" s="1021" t="s">
        <v>1206</v>
      </c>
      <c r="Q6">
        <v>0</v>
      </c>
    </row>
    <row r="7" spans="3:18" x14ac:dyDescent="0.2">
      <c r="C7">
        <v>302662</v>
      </c>
      <c r="D7" t="s">
        <v>1351</v>
      </c>
      <c r="E7" t="s">
        <v>1212</v>
      </c>
      <c r="F7">
        <v>1</v>
      </c>
      <c r="G7" t="s">
        <v>1422</v>
      </c>
      <c r="H7" t="s">
        <v>1414</v>
      </c>
      <c r="I7">
        <v>92046</v>
      </c>
      <c r="J7" t="s">
        <v>1125</v>
      </c>
      <c r="K7">
        <v>2</v>
      </c>
      <c r="L7">
        <v>3</v>
      </c>
      <c r="M7">
        <v>2</v>
      </c>
      <c r="O7">
        <v>56078603</v>
      </c>
      <c r="P7" s="1021" t="s">
        <v>1206</v>
      </c>
      <c r="Q7">
        <v>0</v>
      </c>
    </row>
    <row r="8" spans="3:18" x14ac:dyDescent="0.2">
      <c r="C8">
        <v>302663</v>
      </c>
      <c r="D8" t="s">
        <v>1351</v>
      </c>
      <c r="E8" t="s">
        <v>1212</v>
      </c>
      <c r="F8">
        <v>1</v>
      </c>
      <c r="G8" t="s">
        <v>16</v>
      </c>
      <c r="H8" t="s">
        <v>16</v>
      </c>
      <c r="I8">
        <v>89478</v>
      </c>
      <c r="J8" t="s">
        <v>1125</v>
      </c>
      <c r="K8">
        <v>9</v>
      </c>
      <c r="L8">
        <v>1</v>
      </c>
      <c r="M8">
        <v>2</v>
      </c>
      <c r="O8">
        <v>56078603</v>
      </c>
      <c r="P8" s="1021" t="s">
        <v>1206</v>
      </c>
      <c r="Q8">
        <v>0</v>
      </c>
    </row>
    <row r="9" spans="3:18" x14ac:dyDescent="0.2">
      <c r="C9">
        <v>302886</v>
      </c>
      <c r="D9" t="s">
        <v>1205</v>
      </c>
      <c r="E9" t="s">
        <v>1212</v>
      </c>
      <c r="F9">
        <v>1</v>
      </c>
      <c r="G9" t="s">
        <v>1420</v>
      </c>
      <c r="H9" t="s">
        <v>1413</v>
      </c>
      <c r="I9">
        <v>1428</v>
      </c>
      <c r="J9" t="s">
        <v>1125</v>
      </c>
      <c r="K9">
        <v>1</v>
      </c>
      <c r="L9">
        <v>2</v>
      </c>
      <c r="M9">
        <v>2</v>
      </c>
      <c r="O9">
        <v>56078603</v>
      </c>
      <c r="P9" s="1021" t="s">
        <v>1206</v>
      </c>
      <c r="Q9">
        <v>1</v>
      </c>
    </row>
    <row r="10" spans="3:18" x14ac:dyDescent="0.2">
      <c r="C10">
        <v>302887</v>
      </c>
      <c r="D10" t="s">
        <v>1205</v>
      </c>
      <c r="E10" t="s">
        <v>1212</v>
      </c>
      <c r="F10">
        <v>1</v>
      </c>
      <c r="G10" t="s">
        <v>1420</v>
      </c>
      <c r="H10" t="s">
        <v>1414</v>
      </c>
      <c r="I10">
        <v>1405</v>
      </c>
      <c r="J10" t="s">
        <v>1125</v>
      </c>
      <c r="K10">
        <v>1</v>
      </c>
      <c r="L10">
        <v>3</v>
      </c>
      <c r="M10">
        <v>2</v>
      </c>
      <c r="O10">
        <v>56078603</v>
      </c>
      <c r="P10" s="1021" t="s">
        <v>1206</v>
      </c>
      <c r="Q10">
        <v>1</v>
      </c>
    </row>
    <row r="11" spans="3:18" x14ac:dyDescent="0.2">
      <c r="C11">
        <v>302888</v>
      </c>
      <c r="D11" t="s">
        <v>1205</v>
      </c>
      <c r="E11" t="s">
        <v>1212</v>
      </c>
      <c r="F11">
        <v>1</v>
      </c>
      <c r="G11" t="s">
        <v>16</v>
      </c>
      <c r="H11" t="s">
        <v>16</v>
      </c>
      <c r="I11">
        <v>816</v>
      </c>
      <c r="J11" t="s">
        <v>1125</v>
      </c>
      <c r="K11">
        <v>9</v>
      </c>
      <c r="L11">
        <v>1</v>
      </c>
      <c r="M11">
        <v>2</v>
      </c>
      <c r="O11">
        <v>56078603</v>
      </c>
      <c r="P11" s="1021" t="s">
        <v>1206</v>
      </c>
      <c r="Q11">
        <v>0</v>
      </c>
    </row>
    <row r="12" spans="3:18" x14ac:dyDescent="0.2">
      <c r="C12">
        <v>390081</v>
      </c>
      <c r="D12" t="s">
        <v>1214</v>
      </c>
      <c r="E12" t="s">
        <v>1222</v>
      </c>
      <c r="F12">
        <v>662</v>
      </c>
      <c r="G12" t="s">
        <v>1423</v>
      </c>
      <c r="H12" t="s">
        <v>1415</v>
      </c>
      <c r="I12">
        <v>3958.1</v>
      </c>
      <c r="J12" t="s">
        <v>870</v>
      </c>
      <c r="K12">
        <v>4</v>
      </c>
      <c r="L12">
        <v>4</v>
      </c>
      <c r="M12">
        <v>1</v>
      </c>
      <c r="N12" t="s">
        <v>1173</v>
      </c>
      <c r="O12">
        <v>56078603</v>
      </c>
      <c r="P12" s="1021" t="s">
        <v>1173</v>
      </c>
      <c r="Q12">
        <v>0</v>
      </c>
    </row>
    <row r="13" spans="3:18" x14ac:dyDescent="0.2">
      <c r="C13">
        <v>390082</v>
      </c>
      <c r="D13" t="s">
        <v>1225</v>
      </c>
      <c r="E13" t="s">
        <v>1222</v>
      </c>
      <c r="F13">
        <v>624</v>
      </c>
      <c r="G13" t="s">
        <v>1423</v>
      </c>
      <c r="H13" t="s">
        <v>1414</v>
      </c>
      <c r="I13">
        <v>114.82</v>
      </c>
      <c r="J13" t="s">
        <v>870</v>
      </c>
      <c r="K13">
        <v>4</v>
      </c>
      <c r="L13">
        <v>3</v>
      </c>
      <c r="M13">
        <v>1</v>
      </c>
      <c r="N13" t="s">
        <v>1173</v>
      </c>
      <c r="O13">
        <v>56078603</v>
      </c>
      <c r="P13" s="1021" t="s">
        <v>1173</v>
      </c>
      <c r="Q13">
        <v>0</v>
      </c>
    </row>
    <row r="14" spans="3:18" x14ac:dyDescent="0.2">
      <c r="C14">
        <v>390083</v>
      </c>
      <c r="D14" t="s">
        <v>1225</v>
      </c>
      <c r="E14" t="s">
        <v>1222</v>
      </c>
      <c r="F14">
        <v>624</v>
      </c>
      <c r="G14" t="s">
        <v>193</v>
      </c>
      <c r="H14" t="s">
        <v>1414</v>
      </c>
      <c r="I14">
        <v>1506.95</v>
      </c>
      <c r="J14" t="s">
        <v>870</v>
      </c>
      <c r="K14">
        <v>6</v>
      </c>
      <c r="L14">
        <v>3</v>
      </c>
      <c r="M14">
        <v>1</v>
      </c>
      <c r="N14" t="s">
        <v>1173</v>
      </c>
      <c r="O14">
        <v>56078603</v>
      </c>
      <c r="P14" s="1021" t="s">
        <v>1173</v>
      </c>
      <c r="Q14">
        <v>0</v>
      </c>
    </row>
    <row r="15" spans="3:18" x14ac:dyDescent="0.2">
      <c r="C15">
        <v>390084</v>
      </c>
      <c r="D15" t="s">
        <v>1225</v>
      </c>
      <c r="E15" t="s">
        <v>1222</v>
      </c>
      <c r="F15">
        <v>624</v>
      </c>
      <c r="G15" t="s">
        <v>1423</v>
      </c>
      <c r="H15" t="s">
        <v>1413</v>
      </c>
      <c r="I15">
        <v>113.79</v>
      </c>
      <c r="J15" t="s">
        <v>870</v>
      </c>
      <c r="K15">
        <v>4</v>
      </c>
      <c r="L15">
        <v>2</v>
      </c>
      <c r="M15">
        <v>1</v>
      </c>
      <c r="N15" t="s">
        <v>1173</v>
      </c>
      <c r="O15">
        <v>56078603</v>
      </c>
      <c r="P15" s="1021" t="s">
        <v>1173</v>
      </c>
      <c r="Q15">
        <v>0</v>
      </c>
    </row>
    <row r="16" spans="3:18" x14ac:dyDescent="0.2">
      <c r="C16">
        <v>390085</v>
      </c>
      <c r="D16" t="s">
        <v>1225</v>
      </c>
      <c r="E16" t="s">
        <v>1222</v>
      </c>
      <c r="F16">
        <v>624</v>
      </c>
      <c r="G16" t="s">
        <v>193</v>
      </c>
      <c r="H16" t="s">
        <v>1413</v>
      </c>
      <c r="I16">
        <v>1406.56</v>
      </c>
      <c r="J16" t="s">
        <v>870</v>
      </c>
      <c r="K16">
        <v>6</v>
      </c>
      <c r="L16">
        <v>2</v>
      </c>
      <c r="M16">
        <v>1</v>
      </c>
      <c r="N16" t="s">
        <v>1173</v>
      </c>
      <c r="O16">
        <v>56078603</v>
      </c>
      <c r="P16" s="1021" t="s">
        <v>1173</v>
      </c>
      <c r="Q16">
        <v>0</v>
      </c>
    </row>
    <row r="17" spans="3:17" x14ac:dyDescent="0.2">
      <c r="C17">
        <v>390086</v>
      </c>
      <c r="D17" t="s">
        <v>1171</v>
      </c>
      <c r="E17" t="s">
        <v>1182</v>
      </c>
      <c r="F17">
        <v>449</v>
      </c>
      <c r="G17" t="s">
        <v>196</v>
      </c>
      <c r="H17" t="s">
        <v>1416</v>
      </c>
      <c r="I17">
        <v>6181.91</v>
      </c>
      <c r="J17" t="s">
        <v>870</v>
      </c>
      <c r="K17">
        <v>10</v>
      </c>
      <c r="L17">
        <v>7</v>
      </c>
      <c r="M17">
        <v>1</v>
      </c>
      <c r="N17" t="s">
        <v>1173</v>
      </c>
      <c r="O17">
        <v>56078603</v>
      </c>
      <c r="P17" s="1021" t="s">
        <v>1173</v>
      </c>
      <c r="Q17">
        <v>0</v>
      </c>
    </row>
    <row r="18" spans="3:17" x14ac:dyDescent="0.2">
      <c r="C18">
        <v>390087</v>
      </c>
      <c r="D18" t="s">
        <v>1171</v>
      </c>
      <c r="E18" t="s">
        <v>1182</v>
      </c>
      <c r="F18">
        <v>449</v>
      </c>
      <c r="G18" t="s">
        <v>196</v>
      </c>
      <c r="H18" t="s">
        <v>1417</v>
      </c>
      <c r="I18">
        <v>28436.79</v>
      </c>
      <c r="J18" t="s">
        <v>870</v>
      </c>
      <c r="K18">
        <v>10</v>
      </c>
      <c r="L18">
        <v>8</v>
      </c>
      <c r="M18">
        <v>1</v>
      </c>
      <c r="N18" t="s">
        <v>1173</v>
      </c>
      <c r="O18">
        <v>56078603</v>
      </c>
      <c r="P18" s="1021" t="s">
        <v>1173</v>
      </c>
      <c r="Q18">
        <v>0</v>
      </c>
    </row>
    <row r="19" spans="3:17" x14ac:dyDescent="0.2">
      <c r="C19">
        <v>390088</v>
      </c>
      <c r="D19" t="s">
        <v>1184</v>
      </c>
      <c r="E19" t="s">
        <v>1182</v>
      </c>
      <c r="F19">
        <v>92</v>
      </c>
      <c r="G19" t="s">
        <v>196</v>
      </c>
      <c r="H19" t="s">
        <v>1416</v>
      </c>
      <c r="I19">
        <v>4475.0600000000004</v>
      </c>
      <c r="J19" t="s">
        <v>870</v>
      </c>
      <c r="K19">
        <v>10</v>
      </c>
      <c r="L19">
        <v>7</v>
      </c>
      <c r="M19">
        <v>1</v>
      </c>
      <c r="N19" t="s">
        <v>1173</v>
      </c>
      <c r="O19">
        <v>56078603</v>
      </c>
      <c r="P19" s="1021" t="s">
        <v>1173</v>
      </c>
      <c r="Q19">
        <v>0</v>
      </c>
    </row>
    <row r="20" spans="3:17" x14ac:dyDescent="0.2">
      <c r="C20">
        <v>390089</v>
      </c>
      <c r="D20" t="s">
        <v>1184</v>
      </c>
      <c r="E20" t="s">
        <v>1182</v>
      </c>
      <c r="F20">
        <v>92</v>
      </c>
      <c r="G20" t="s">
        <v>196</v>
      </c>
      <c r="H20" t="s">
        <v>1417</v>
      </c>
      <c r="I20">
        <v>20585.189999999999</v>
      </c>
      <c r="J20" t="s">
        <v>870</v>
      </c>
      <c r="K20">
        <v>10</v>
      </c>
      <c r="L20">
        <v>8</v>
      </c>
      <c r="M20">
        <v>1</v>
      </c>
      <c r="N20" t="s">
        <v>1173</v>
      </c>
      <c r="O20">
        <v>56078603</v>
      </c>
      <c r="P20" s="1021" t="s">
        <v>1173</v>
      </c>
      <c r="Q20">
        <v>0</v>
      </c>
    </row>
    <row r="21" spans="3:17" x14ac:dyDescent="0.2">
      <c r="C21">
        <v>390090</v>
      </c>
      <c r="D21" t="s">
        <v>1188</v>
      </c>
      <c r="E21" t="s">
        <v>1196</v>
      </c>
      <c r="F21">
        <v>713</v>
      </c>
      <c r="G21" t="s">
        <v>1166</v>
      </c>
      <c r="H21" t="s">
        <v>1416</v>
      </c>
      <c r="I21">
        <v>12185.3</v>
      </c>
      <c r="J21" t="s">
        <v>870</v>
      </c>
      <c r="K21">
        <v>7</v>
      </c>
      <c r="L21">
        <v>7</v>
      </c>
      <c r="M21">
        <v>1</v>
      </c>
      <c r="N21" t="s">
        <v>1173</v>
      </c>
      <c r="O21">
        <v>56078603</v>
      </c>
      <c r="P21" s="1021" t="s">
        <v>1173</v>
      </c>
      <c r="Q21">
        <v>0</v>
      </c>
    </row>
    <row r="22" spans="3:17" x14ac:dyDescent="0.2">
      <c r="C22">
        <v>390091</v>
      </c>
      <c r="D22" t="s">
        <v>1227</v>
      </c>
      <c r="E22" t="s">
        <v>1196</v>
      </c>
      <c r="F22">
        <v>453</v>
      </c>
      <c r="G22" t="s">
        <v>1422</v>
      </c>
      <c r="H22" t="s">
        <v>16</v>
      </c>
      <c r="I22">
        <v>2389</v>
      </c>
      <c r="J22" t="s">
        <v>1125</v>
      </c>
      <c r="K22">
        <v>2</v>
      </c>
      <c r="L22">
        <v>1</v>
      </c>
      <c r="M22">
        <v>2</v>
      </c>
      <c r="N22" t="s">
        <v>1173</v>
      </c>
      <c r="O22">
        <v>56078603</v>
      </c>
      <c r="P22" s="1021" t="s">
        <v>1173</v>
      </c>
      <c r="Q22">
        <v>0</v>
      </c>
    </row>
    <row r="23" spans="3:17" x14ac:dyDescent="0.2">
      <c r="C23">
        <v>390092</v>
      </c>
      <c r="D23" t="s">
        <v>1227</v>
      </c>
      <c r="E23" t="s">
        <v>1196</v>
      </c>
      <c r="F23">
        <v>453</v>
      </c>
      <c r="G23" t="s">
        <v>1422</v>
      </c>
      <c r="H23" t="s">
        <v>1414</v>
      </c>
      <c r="I23">
        <v>1899</v>
      </c>
      <c r="J23" t="s">
        <v>1125</v>
      </c>
      <c r="K23">
        <v>2</v>
      </c>
      <c r="L23">
        <v>3</v>
      </c>
      <c r="M23">
        <v>2</v>
      </c>
      <c r="N23" t="s">
        <v>1173</v>
      </c>
      <c r="O23">
        <v>56078603</v>
      </c>
      <c r="P23" s="1021" t="s">
        <v>1173</v>
      </c>
      <c r="Q23">
        <v>0</v>
      </c>
    </row>
    <row r="24" spans="3:17" x14ac:dyDescent="0.2">
      <c r="C24">
        <v>390093</v>
      </c>
      <c r="D24" t="s">
        <v>1227</v>
      </c>
      <c r="E24" t="s">
        <v>1196</v>
      </c>
      <c r="F24">
        <v>453</v>
      </c>
      <c r="G24" t="s">
        <v>1422</v>
      </c>
      <c r="H24" t="s">
        <v>1413</v>
      </c>
      <c r="I24">
        <v>1795</v>
      </c>
      <c r="J24" t="s">
        <v>1125</v>
      </c>
      <c r="K24">
        <v>2</v>
      </c>
      <c r="L24">
        <v>2</v>
      </c>
      <c r="M24">
        <v>2</v>
      </c>
      <c r="N24" t="s">
        <v>1173</v>
      </c>
      <c r="O24">
        <v>56078603</v>
      </c>
      <c r="P24" s="1021" t="s">
        <v>1173</v>
      </c>
      <c r="Q24">
        <v>0</v>
      </c>
    </row>
    <row r="25" spans="3:17" x14ac:dyDescent="0.2">
      <c r="C25">
        <v>390094</v>
      </c>
      <c r="D25" t="s">
        <v>1237</v>
      </c>
      <c r="E25" t="s">
        <v>1246</v>
      </c>
      <c r="F25">
        <v>885</v>
      </c>
      <c r="G25" t="s">
        <v>1166</v>
      </c>
      <c r="H25" t="s">
        <v>1413</v>
      </c>
      <c r="I25">
        <v>8525.33</v>
      </c>
      <c r="J25" t="s">
        <v>1126</v>
      </c>
      <c r="K25">
        <v>7</v>
      </c>
      <c r="L25">
        <v>2</v>
      </c>
      <c r="M25">
        <v>3</v>
      </c>
      <c r="N25" t="s">
        <v>1173</v>
      </c>
      <c r="O25">
        <v>56078603</v>
      </c>
      <c r="P25" s="1021" t="s">
        <v>1173</v>
      </c>
      <c r="Q25">
        <v>0</v>
      </c>
    </row>
    <row r="26" spans="3:17" x14ac:dyDescent="0.2">
      <c r="C26">
        <v>390095</v>
      </c>
      <c r="D26" t="s">
        <v>1237</v>
      </c>
      <c r="E26" t="s">
        <v>1246</v>
      </c>
      <c r="F26">
        <v>885</v>
      </c>
      <c r="G26" t="s">
        <v>1166</v>
      </c>
      <c r="H26" t="s">
        <v>1414</v>
      </c>
      <c r="I26">
        <v>9134.31</v>
      </c>
      <c r="J26" t="s">
        <v>1126</v>
      </c>
      <c r="K26">
        <v>7</v>
      </c>
      <c r="L26">
        <v>3</v>
      </c>
      <c r="M26">
        <v>3</v>
      </c>
      <c r="N26" t="s">
        <v>1173</v>
      </c>
      <c r="O26">
        <v>56078603</v>
      </c>
      <c r="P26" s="1021" t="s">
        <v>1173</v>
      </c>
      <c r="Q26">
        <v>0</v>
      </c>
    </row>
    <row r="27" spans="3:17" x14ac:dyDescent="0.2">
      <c r="C27">
        <v>390096</v>
      </c>
      <c r="D27" t="s">
        <v>1237</v>
      </c>
      <c r="E27" t="s">
        <v>1246</v>
      </c>
      <c r="F27">
        <v>885</v>
      </c>
      <c r="N27" t="s">
        <v>1173</v>
      </c>
      <c r="O27">
        <v>56078603</v>
      </c>
      <c r="P27" s="1021" t="s">
        <v>1173</v>
      </c>
      <c r="Q27">
        <v>0</v>
      </c>
    </row>
    <row r="28" spans="3:17" x14ac:dyDescent="0.2">
      <c r="C28">
        <v>390097</v>
      </c>
      <c r="D28" t="s">
        <v>1247</v>
      </c>
      <c r="E28" t="s">
        <v>1246</v>
      </c>
      <c r="F28">
        <v>188</v>
      </c>
      <c r="G28" t="s">
        <v>1166</v>
      </c>
      <c r="H28" t="s">
        <v>1413</v>
      </c>
      <c r="I28">
        <v>4150.92</v>
      </c>
      <c r="J28" t="s">
        <v>1126</v>
      </c>
      <c r="K28">
        <v>7</v>
      </c>
      <c r="L28">
        <v>2</v>
      </c>
      <c r="M28">
        <v>3</v>
      </c>
      <c r="N28" t="s">
        <v>1173</v>
      </c>
      <c r="O28">
        <v>56078603</v>
      </c>
      <c r="P28" s="1021" t="s">
        <v>1173</v>
      </c>
      <c r="Q28">
        <v>0</v>
      </c>
    </row>
    <row r="29" spans="3:17" x14ac:dyDescent="0.2">
      <c r="C29">
        <v>390098</v>
      </c>
      <c r="D29" t="s">
        <v>1247</v>
      </c>
      <c r="E29" t="s">
        <v>1246</v>
      </c>
      <c r="F29">
        <v>188</v>
      </c>
      <c r="G29" t="s">
        <v>1166</v>
      </c>
      <c r="H29" t="s">
        <v>1414</v>
      </c>
      <c r="I29">
        <v>4447.38</v>
      </c>
      <c r="J29" t="s">
        <v>1126</v>
      </c>
      <c r="K29">
        <v>7</v>
      </c>
      <c r="L29">
        <v>3</v>
      </c>
      <c r="M29">
        <v>3</v>
      </c>
      <c r="N29" t="s">
        <v>1173</v>
      </c>
      <c r="O29">
        <v>56078603</v>
      </c>
      <c r="P29" s="1021" t="s">
        <v>1173</v>
      </c>
      <c r="Q29">
        <v>0</v>
      </c>
    </row>
    <row r="30" spans="3:17" x14ac:dyDescent="0.2">
      <c r="C30">
        <v>390099</v>
      </c>
      <c r="D30" t="s">
        <v>1247</v>
      </c>
      <c r="E30" t="s">
        <v>1246</v>
      </c>
      <c r="F30">
        <v>188</v>
      </c>
      <c r="N30" t="s">
        <v>1173</v>
      </c>
      <c r="O30">
        <v>56078603</v>
      </c>
      <c r="P30" s="1021" t="s">
        <v>1173</v>
      </c>
      <c r="Q30">
        <v>0</v>
      </c>
    </row>
    <row r="31" spans="3:17" x14ac:dyDescent="0.2">
      <c r="C31">
        <v>390103</v>
      </c>
      <c r="D31" t="s">
        <v>1254</v>
      </c>
      <c r="E31" t="s">
        <v>1246</v>
      </c>
      <c r="F31">
        <v>441</v>
      </c>
      <c r="G31" t="s">
        <v>1422</v>
      </c>
      <c r="H31" t="s">
        <v>16</v>
      </c>
      <c r="I31">
        <v>9420.16</v>
      </c>
      <c r="J31" t="s">
        <v>1125</v>
      </c>
      <c r="K31">
        <v>2</v>
      </c>
      <c r="L31">
        <v>1</v>
      </c>
      <c r="M31">
        <v>2</v>
      </c>
      <c r="N31" t="s">
        <v>1173</v>
      </c>
      <c r="O31">
        <v>56078603</v>
      </c>
      <c r="P31" s="1021" t="s">
        <v>1173</v>
      </c>
      <c r="Q31">
        <v>0</v>
      </c>
    </row>
    <row r="32" spans="3:17" x14ac:dyDescent="0.2">
      <c r="C32">
        <v>390104</v>
      </c>
      <c r="D32" t="s">
        <v>1254</v>
      </c>
      <c r="E32" t="s">
        <v>1246</v>
      </c>
      <c r="F32">
        <v>441</v>
      </c>
      <c r="G32" t="s">
        <v>1422</v>
      </c>
      <c r="H32" t="s">
        <v>1413</v>
      </c>
      <c r="I32">
        <v>8635.18</v>
      </c>
      <c r="J32" t="s">
        <v>1125</v>
      </c>
      <c r="K32">
        <v>2</v>
      </c>
      <c r="L32">
        <v>2</v>
      </c>
      <c r="M32">
        <v>2</v>
      </c>
      <c r="N32" t="s">
        <v>1173</v>
      </c>
      <c r="O32">
        <v>56078603</v>
      </c>
      <c r="P32" s="1021" t="s">
        <v>1173</v>
      </c>
      <c r="Q32">
        <v>0</v>
      </c>
    </row>
    <row r="33" spans="3:17" x14ac:dyDescent="0.2">
      <c r="C33">
        <v>390105</v>
      </c>
      <c r="D33" t="s">
        <v>1254</v>
      </c>
      <c r="E33" t="s">
        <v>1246</v>
      </c>
      <c r="F33">
        <v>441</v>
      </c>
      <c r="G33" t="s">
        <v>1422</v>
      </c>
      <c r="H33" t="s">
        <v>1414</v>
      </c>
      <c r="I33">
        <v>9420.16</v>
      </c>
      <c r="J33" t="s">
        <v>1125</v>
      </c>
      <c r="K33">
        <v>2</v>
      </c>
      <c r="L33">
        <v>3</v>
      </c>
      <c r="M33">
        <v>2</v>
      </c>
      <c r="N33" t="s">
        <v>1173</v>
      </c>
      <c r="O33">
        <v>56078603</v>
      </c>
      <c r="P33" s="1021" t="s">
        <v>1173</v>
      </c>
      <c r="Q33">
        <v>0</v>
      </c>
    </row>
    <row r="34" spans="3:17" x14ac:dyDescent="0.2">
      <c r="C34">
        <v>390106</v>
      </c>
      <c r="D34" t="s">
        <v>1197</v>
      </c>
      <c r="E34" t="s">
        <v>1204</v>
      </c>
      <c r="F34">
        <v>416</v>
      </c>
      <c r="G34" t="s">
        <v>193</v>
      </c>
      <c r="H34" t="s">
        <v>1416</v>
      </c>
      <c r="I34">
        <v>6101.53</v>
      </c>
      <c r="J34" t="s">
        <v>870</v>
      </c>
      <c r="K34">
        <v>6</v>
      </c>
      <c r="L34">
        <v>7</v>
      </c>
      <c r="M34">
        <v>1</v>
      </c>
      <c r="N34" t="s">
        <v>1173</v>
      </c>
      <c r="O34">
        <v>56078603</v>
      </c>
      <c r="P34" s="1021" t="s">
        <v>1173</v>
      </c>
      <c r="Q34">
        <v>0</v>
      </c>
    </row>
    <row r="35" spans="3:17" x14ac:dyDescent="0.2">
      <c r="C35">
        <v>390107</v>
      </c>
      <c r="D35" t="s">
        <v>1197</v>
      </c>
      <c r="E35" t="s">
        <v>1204</v>
      </c>
      <c r="F35">
        <v>416</v>
      </c>
      <c r="G35" t="s">
        <v>193</v>
      </c>
      <c r="H35" t="s">
        <v>1417</v>
      </c>
      <c r="I35">
        <v>28067.34</v>
      </c>
      <c r="J35" t="s">
        <v>870</v>
      </c>
      <c r="K35">
        <v>6</v>
      </c>
      <c r="L35">
        <v>8</v>
      </c>
      <c r="M35">
        <v>1</v>
      </c>
      <c r="N35" t="s">
        <v>1173</v>
      </c>
      <c r="O35">
        <v>56078603</v>
      </c>
      <c r="P35" s="1021" t="s">
        <v>1173</v>
      </c>
      <c r="Q35">
        <v>0</v>
      </c>
    </row>
    <row r="36" spans="3:17" x14ac:dyDescent="0.2">
      <c r="C36">
        <v>390108</v>
      </c>
      <c r="D36" t="s">
        <v>1261</v>
      </c>
      <c r="E36" t="s">
        <v>1270</v>
      </c>
      <c r="F36">
        <v>201</v>
      </c>
      <c r="G36" t="s">
        <v>190</v>
      </c>
      <c r="H36" t="s">
        <v>1413</v>
      </c>
      <c r="I36">
        <v>0</v>
      </c>
      <c r="J36" t="s">
        <v>870</v>
      </c>
      <c r="K36">
        <v>3</v>
      </c>
      <c r="L36">
        <v>2</v>
      </c>
      <c r="M36">
        <v>1</v>
      </c>
      <c r="N36" t="s">
        <v>1173</v>
      </c>
      <c r="O36">
        <v>56078603</v>
      </c>
      <c r="P36" s="1021" t="s">
        <v>1173</v>
      </c>
      <c r="Q36">
        <v>0</v>
      </c>
    </row>
    <row r="37" spans="3:17" x14ac:dyDescent="0.2">
      <c r="C37">
        <v>390109</v>
      </c>
      <c r="D37" t="s">
        <v>1261</v>
      </c>
      <c r="E37" t="s">
        <v>1270</v>
      </c>
      <c r="F37">
        <v>201</v>
      </c>
      <c r="G37" t="s">
        <v>190</v>
      </c>
      <c r="H37" t="s">
        <v>1414</v>
      </c>
      <c r="I37">
        <v>0</v>
      </c>
      <c r="J37" t="s">
        <v>870</v>
      </c>
      <c r="K37">
        <v>3</v>
      </c>
      <c r="L37">
        <v>3</v>
      </c>
      <c r="M37">
        <v>1</v>
      </c>
      <c r="N37" t="s">
        <v>1173</v>
      </c>
      <c r="O37">
        <v>56078603</v>
      </c>
      <c r="P37" s="1021" t="s">
        <v>1173</v>
      </c>
      <c r="Q37">
        <v>0</v>
      </c>
    </row>
    <row r="38" spans="3:17" x14ac:dyDescent="0.2">
      <c r="C38">
        <v>390110</v>
      </c>
      <c r="D38" t="s">
        <v>1271</v>
      </c>
      <c r="E38" t="s">
        <v>1279</v>
      </c>
      <c r="F38">
        <v>204</v>
      </c>
      <c r="G38" t="s">
        <v>16</v>
      </c>
      <c r="H38" t="s">
        <v>16</v>
      </c>
      <c r="I38">
        <v>20182.080000000002</v>
      </c>
      <c r="J38" t="s">
        <v>1125</v>
      </c>
      <c r="K38">
        <v>9</v>
      </c>
      <c r="L38">
        <v>1</v>
      </c>
      <c r="M38">
        <v>2</v>
      </c>
      <c r="N38" t="s">
        <v>1173</v>
      </c>
      <c r="O38">
        <v>56078603</v>
      </c>
      <c r="P38" s="1021" t="s">
        <v>1173</v>
      </c>
      <c r="Q38">
        <v>0</v>
      </c>
    </row>
    <row r="39" spans="3:17" x14ac:dyDescent="0.2">
      <c r="C39">
        <v>390111</v>
      </c>
      <c r="D39" t="s">
        <v>1280</v>
      </c>
      <c r="E39" t="s">
        <v>1287</v>
      </c>
      <c r="F39">
        <v>526</v>
      </c>
      <c r="G39" t="s">
        <v>1165</v>
      </c>
      <c r="H39" t="s">
        <v>1413</v>
      </c>
      <c r="I39">
        <v>1189.17</v>
      </c>
      <c r="J39" t="s">
        <v>870</v>
      </c>
      <c r="K39">
        <v>5</v>
      </c>
      <c r="L39">
        <v>2</v>
      </c>
      <c r="M39">
        <v>1</v>
      </c>
      <c r="N39" t="s">
        <v>1173</v>
      </c>
      <c r="O39">
        <v>56078603</v>
      </c>
      <c r="P39" s="1021" t="s">
        <v>1173</v>
      </c>
      <c r="Q39">
        <v>0</v>
      </c>
    </row>
    <row r="40" spans="3:17" x14ac:dyDescent="0.2">
      <c r="C40">
        <v>390112</v>
      </c>
      <c r="D40" t="s">
        <v>1280</v>
      </c>
      <c r="E40" t="s">
        <v>1287</v>
      </c>
      <c r="F40">
        <v>526</v>
      </c>
      <c r="G40" t="s">
        <v>1165</v>
      </c>
      <c r="H40" t="s">
        <v>1414</v>
      </c>
      <c r="I40">
        <v>1274.0999999999999</v>
      </c>
      <c r="J40" t="s">
        <v>870</v>
      </c>
      <c r="K40">
        <v>5</v>
      </c>
      <c r="L40">
        <v>3</v>
      </c>
      <c r="M40">
        <v>1</v>
      </c>
      <c r="N40" t="s">
        <v>1173</v>
      </c>
      <c r="O40">
        <v>56078603</v>
      </c>
      <c r="P40" s="1021" t="s">
        <v>1173</v>
      </c>
      <c r="Q40">
        <v>0</v>
      </c>
    </row>
    <row r="41" spans="3:17" x14ac:dyDescent="0.2">
      <c r="C41">
        <v>390113</v>
      </c>
      <c r="D41" t="s">
        <v>1280</v>
      </c>
      <c r="E41" t="s">
        <v>1287</v>
      </c>
      <c r="F41">
        <v>526</v>
      </c>
      <c r="G41" t="s">
        <v>1166</v>
      </c>
      <c r="H41" t="s">
        <v>1413</v>
      </c>
      <c r="I41">
        <v>13414.26</v>
      </c>
      <c r="J41" t="s">
        <v>1126</v>
      </c>
      <c r="K41">
        <v>7</v>
      </c>
      <c r="L41">
        <v>2</v>
      </c>
      <c r="M41">
        <v>3</v>
      </c>
      <c r="N41" t="s">
        <v>1173</v>
      </c>
      <c r="O41">
        <v>56078603</v>
      </c>
      <c r="P41" s="1021" t="s">
        <v>1173</v>
      </c>
      <c r="Q41">
        <v>0</v>
      </c>
    </row>
    <row r="42" spans="3:17" x14ac:dyDescent="0.2">
      <c r="C42">
        <v>390114</v>
      </c>
      <c r="D42" t="s">
        <v>1280</v>
      </c>
      <c r="E42" t="s">
        <v>1287</v>
      </c>
      <c r="F42">
        <v>526</v>
      </c>
      <c r="G42" t="s">
        <v>1166</v>
      </c>
      <c r="H42" t="s">
        <v>1414</v>
      </c>
      <c r="I42">
        <v>14372.41</v>
      </c>
      <c r="J42" t="s">
        <v>1126</v>
      </c>
      <c r="K42">
        <v>7</v>
      </c>
      <c r="L42">
        <v>3</v>
      </c>
      <c r="M42">
        <v>3</v>
      </c>
      <c r="N42" t="s">
        <v>1173</v>
      </c>
      <c r="O42">
        <v>56078603</v>
      </c>
      <c r="P42" s="1021" t="s">
        <v>1173</v>
      </c>
      <c r="Q42">
        <v>0</v>
      </c>
    </row>
    <row r="43" spans="3:17" x14ac:dyDescent="0.2">
      <c r="C43">
        <v>390115</v>
      </c>
      <c r="D43" t="s">
        <v>1289</v>
      </c>
      <c r="E43" t="s">
        <v>1287</v>
      </c>
      <c r="F43">
        <v>23</v>
      </c>
      <c r="G43" t="s">
        <v>1423</v>
      </c>
      <c r="H43" t="s">
        <v>1415</v>
      </c>
      <c r="I43">
        <v>156292.04</v>
      </c>
      <c r="J43" t="s">
        <v>870</v>
      </c>
      <c r="K43">
        <v>4</v>
      </c>
      <c r="L43">
        <v>4</v>
      </c>
      <c r="M43">
        <v>1</v>
      </c>
      <c r="N43" t="s">
        <v>1173</v>
      </c>
      <c r="O43">
        <v>56078603</v>
      </c>
      <c r="P43" s="1021" t="s">
        <v>1173</v>
      </c>
      <c r="Q43">
        <v>0</v>
      </c>
    </row>
    <row r="44" spans="3:17" x14ac:dyDescent="0.2">
      <c r="C44">
        <v>390116</v>
      </c>
      <c r="D44" t="s">
        <v>1293</v>
      </c>
      <c r="E44" t="s">
        <v>1301</v>
      </c>
      <c r="F44">
        <v>443</v>
      </c>
      <c r="G44" t="s">
        <v>1420</v>
      </c>
      <c r="H44" t="s">
        <v>1414</v>
      </c>
      <c r="I44">
        <v>653</v>
      </c>
      <c r="J44" t="s">
        <v>1421</v>
      </c>
      <c r="K44">
        <v>1</v>
      </c>
      <c r="L44">
        <v>3</v>
      </c>
      <c r="M44">
        <v>4</v>
      </c>
      <c r="N44" t="s">
        <v>1419</v>
      </c>
      <c r="O44">
        <v>56078603</v>
      </c>
      <c r="P44" s="1021" t="s">
        <v>1173</v>
      </c>
      <c r="Q44">
        <v>1</v>
      </c>
    </row>
    <row r="45" spans="3:17" x14ac:dyDescent="0.2">
      <c r="C45">
        <v>390117</v>
      </c>
      <c r="D45" t="s">
        <v>1293</v>
      </c>
      <c r="E45" t="s">
        <v>1301</v>
      </c>
      <c r="F45">
        <v>443</v>
      </c>
      <c r="G45" t="s">
        <v>1422</v>
      </c>
      <c r="H45" t="s">
        <v>1413</v>
      </c>
      <c r="I45">
        <v>1233</v>
      </c>
      <c r="J45" t="s">
        <v>1125</v>
      </c>
      <c r="K45">
        <v>2</v>
      </c>
      <c r="L45">
        <v>2</v>
      </c>
      <c r="M45">
        <v>2</v>
      </c>
      <c r="N45" t="s">
        <v>1419</v>
      </c>
      <c r="O45">
        <v>56078603</v>
      </c>
      <c r="P45" s="1021" t="s">
        <v>1173</v>
      </c>
      <c r="Q45">
        <v>0</v>
      </c>
    </row>
    <row r="46" spans="3:17" x14ac:dyDescent="0.2">
      <c r="C46">
        <v>390118</v>
      </c>
      <c r="D46" t="s">
        <v>1293</v>
      </c>
      <c r="E46" t="s">
        <v>1301</v>
      </c>
      <c r="F46">
        <v>443</v>
      </c>
      <c r="G46" t="s">
        <v>193</v>
      </c>
      <c r="H46" t="s">
        <v>1418</v>
      </c>
      <c r="I46">
        <v>6489</v>
      </c>
      <c r="J46" t="s">
        <v>1125</v>
      </c>
      <c r="K46">
        <v>6</v>
      </c>
      <c r="L46">
        <v>9</v>
      </c>
      <c r="M46">
        <v>2</v>
      </c>
      <c r="N46" t="s">
        <v>1419</v>
      </c>
      <c r="O46">
        <v>56078603</v>
      </c>
      <c r="P46" s="1021" t="s">
        <v>1173</v>
      </c>
      <c r="Q46">
        <v>0</v>
      </c>
    </row>
    <row r="47" spans="3:17" x14ac:dyDescent="0.2">
      <c r="C47">
        <v>390119</v>
      </c>
      <c r="D47" t="s">
        <v>1303</v>
      </c>
      <c r="E47" t="s">
        <v>1301</v>
      </c>
      <c r="F47">
        <v>807</v>
      </c>
      <c r="G47" t="s">
        <v>1165</v>
      </c>
      <c r="H47" t="s">
        <v>1418</v>
      </c>
      <c r="I47">
        <v>11556</v>
      </c>
      <c r="J47" t="s">
        <v>870</v>
      </c>
      <c r="K47">
        <v>5</v>
      </c>
      <c r="L47">
        <v>9</v>
      </c>
      <c r="M47">
        <v>1</v>
      </c>
      <c r="N47" t="s">
        <v>1419</v>
      </c>
      <c r="O47">
        <v>56078603</v>
      </c>
      <c r="P47" s="1021" t="s">
        <v>1173</v>
      </c>
      <c r="Q47">
        <v>0</v>
      </c>
    </row>
    <row r="48" spans="3:17" x14ac:dyDescent="0.2">
      <c r="C48">
        <v>390120</v>
      </c>
      <c r="D48" t="s">
        <v>1309</v>
      </c>
      <c r="E48" t="s">
        <v>1301</v>
      </c>
      <c r="F48">
        <v>177</v>
      </c>
      <c r="G48" t="s">
        <v>1422</v>
      </c>
      <c r="H48" t="s">
        <v>1414</v>
      </c>
      <c r="I48">
        <v>37298</v>
      </c>
      <c r="J48" t="s">
        <v>1125</v>
      </c>
      <c r="K48">
        <v>2</v>
      </c>
      <c r="L48">
        <v>3</v>
      </c>
      <c r="M48">
        <v>2</v>
      </c>
      <c r="N48" t="s">
        <v>1419</v>
      </c>
      <c r="O48">
        <v>56078603</v>
      </c>
      <c r="P48" s="1021" t="s">
        <v>1173</v>
      </c>
      <c r="Q48">
        <v>0</v>
      </c>
    </row>
    <row r="49" spans="3:17" x14ac:dyDescent="0.2">
      <c r="C49">
        <v>390121</v>
      </c>
      <c r="D49" t="s">
        <v>1309</v>
      </c>
      <c r="E49" t="s">
        <v>1301</v>
      </c>
      <c r="F49">
        <v>177</v>
      </c>
      <c r="G49" t="s">
        <v>1422</v>
      </c>
      <c r="H49" t="s">
        <v>16</v>
      </c>
      <c r="I49">
        <v>84625</v>
      </c>
      <c r="J49" t="s">
        <v>1125</v>
      </c>
      <c r="K49">
        <v>2</v>
      </c>
      <c r="L49">
        <v>1</v>
      </c>
      <c r="M49">
        <v>2</v>
      </c>
      <c r="N49" t="s">
        <v>1419</v>
      </c>
      <c r="O49">
        <v>56078603</v>
      </c>
      <c r="P49" s="1021" t="s">
        <v>1173</v>
      </c>
      <c r="Q49">
        <v>0</v>
      </c>
    </row>
    <row r="50" spans="3:17" x14ac:dyDescent="0.2">
      <c r="C50">
        <v>390122</v>
      </c>
      <c r="D50" t="s">
        <v>1309</v>
      </c>
      <c r="E50" t="s">
        <v>1301</v>
      </c>
      <c r="F50">
        <v>177</v>
      </c>
      <c r="G50" t="s">
        <v>1420</v>
      </c>
      <c r="H50" t="s">
        <v>1413</v>
      </c>
      <c r="I50">
        <v>1449</v>
      </c>
      <c r="J50" t="s">
        <v>1421</v>
      </c>
      <c r="K50">
        <v>1</v>
      </c>
      <c r="L50">
        <v>2</v>
      </c>
      <c r="M50">
        <v>4</v>
      </c>
      <c r="N50" t="s">
        <v>1419</v>
      </c>
      <c r="O50">
        <v>56078603</v>
      </c>
      <c r="P50" s="1021" t="s">
        <v>1173</v>
      </c>
      <c r="Q50">
        <v>1</v>
      </c>
    </row>
    <row r="51" spans="3:17" x14ac:dyDescent="0.2">
      <c r="C51">
        <v>390123</v>
      </c>
      <c r="D51" t="s">
        <v>1309</v>
      </c>
      <c r="E51" t="s">
        <v>1301</v>
      </c>
      <c r="F51">
        <v>177</v>
      </c>
      <c r="G51" t="s">
        <v>1420</v>
      </c>
      <c r="H51" t="s">
        <v>1414</v>
      </c>
      <c r="I51">
        <v>1449</v>
      </c>
      <c r="J51" t="s">
        <v>1421</v>
      </c>
      <c r="K51">
        <v>1</v>
      </c>
      <c r="L51">
        <v>3</v>
      </c>
      <c r="M51">
        <v>4</v>
      </c>
      <c r="N51" t="s">
        <v>1419</v>
      </c>
      <c r="O51">
        <v>56078603</v>
      </c>
      <c r="P51" s="1021" t="s">
        <v>1173</v>
      </c>
      <c r="Q51">
        <v>1</v>
      </c>
    </row>
    <row r="52" spans="3:17" x14ac:dyDescent="0.2">
      <c r="C52">
        <v>390124</v>
      </c>
      <c r="D52" t="s">
        <v>1315</v>
      </c>
      <c r="E52" t="s">
        <v>1301</v>
      </c>
      <c r="F52">
        <v>56</v>
      </c>
      <c r="G52" t="s">
        <v>1420</v>
      </c>
      <c r="H52" t="s">
        <v>1413</v>
      </c>
      <c r="I52">
        <v>114394</v>
      </c>
      <c r="J52" t="s">
        <v>1421</v>
      </c>
      <c r="K52">
        <v>1</v>
      </c>
      <c r="L52">
        <v>2</v>
      </c>
      <c r="M52">
        <v>4</v>
      </c>
      <c r="N52" t="s">
        <v>1419</v>
      </c>
      <c r="O52">
        <v>56078603</v>
      </c>
      <c r="P52" s="1021" t="s">
        <v>1173</v>
      </c>
      <c r="Q52">
        <v>1</v>
      </c>
    </row>
    <row r="53" spans="3:17" x14ac:dyDescent="0.2">
      <c r="C53">
        <v>390125</v>
      </c>
      <c r="D53" t="s">
        <v>1315</v>
      </c>
      <c r="E53" t="s">
        <v>1301</v>
      </c>
      <c r="F53">
        <v>56</v>
      </c>
      <c r="G53" t="s">
        <v>1422</v>
      </c>
      <c r="H53" t="s">
        <v>1414</v>
      </c>
      <c r="I53">
        <v>11429</v>
      </c>
      <c r="J53" t="s">
        <v>1125</v>
      </c>
      <c r="K53">
        <v>2</v>
      </c>
      <c r="L53">
        <v>3</v>
      </c>
      <c r="M53">
        <v>2</v>
      </c>
      <c r="N53" t="s">
        <v>1419</v>
      </c>
      <c r="O53">
        <v>56078603</v>
      </c>
      <c r="P53" s="1021" t="s">
        <v>1173</v>
      </c>
      <c r="Q53">
        <v>0</v>
      </c>
    </row>
    <row r="54" spans="3:17" x14ac:dyDescent="0.2">
      <c r="C54">
        <v>390126</v>
      </c>
      <c r="D54" t="s">
        <v>1315</v>
      </c>
      <c r="E54" t="s">
        <v>1301</v>
      </c>
      <c r="F54">
        <v>56</v>
      </c>
      <c r="G54" t="s">
        <v>193</v>
      </c>
      <c r="H54" t="s">
        <v>1418</v>
      </c>
      <c r="I54">
        <v>209</v>
      </c>
      <c r="J54" t="s">
        <v>1125</v>
      </c>
      <c r="K54">
        <v>6</v>
      </c>
      <c r="L54">
        <v>9</v>
      </c>
      <c r="M54">
        <v>2</v>
      </c>
      <c r="N54" t="s">
        <v>1419</v>
      </c>
      <c r="O54">
        <v>56078603</v>
      </c>
      <c r="P54" s="1021" t="s">
        <v>1173</v>
      </c>
      <c r="Q54">
        <v>0</v>
      </c>
    </row>
    <row r="55" spans="3:17" x14ac:dyDescent="0.2">
      <c r="C55">
        <v>390127</v>
      </c>
      <c r="D55" t="s">
        <v>1321</v>
      </c>
      <c r="E55" t="s">
        <v>1301</v>
      </c>
      <c r="F55">
        <v>439</v>
      </c>
      <c r="G55" t="s">
        <v>1422</v>
      </c>
      <c r="H55" t="s">
        <v>1413</v>
      </c>
      <c r="I55">
        <v>20896</v>
      </c>
      <c r="J55" t="s">
        <v>1125</v>
      </c>
      <c r="K55">
        <v>2</v>
      </c>
      <c r="L55">
        <v>2</v>
      </c>
      <c r="M55">
        <v>2</v>
      </c>
      <c r="N55" t="s">
        <v>1419</v>
      </c>
      <c r="O55">
        <v>56078603</v>
      </c>
      <c r="P55" s="1021" t="s">
        <v>1173</v>
      </c>
      <c r="Q55">
        <v>0</v>
      </c>
    </row>
    <row r="56" spans="3:17" x14ac:dyDescent="0.2">
      <c r="C56">
        <v>390128</v>
      </c>
      <c r="D56" t="s">
        <v>1321</v>
      </c>
      <c r="E56" t="s">
        <v>1301</v>
      </c>
      <c r="F56">
        <v>439</v>
      </c>
      <c r="G56" t="s">
        <v>1166</v>
      </c>
      <c r="H56" t="s">
        <v>1414</v>
      </c>
      <c r="I56">
        <v>59379</v>
      </c>
      <c r="J56" t="s">
        <v>1125</v>
      </c>
      <c r="K56">
        <v>7</v>
      </c>
      <c r="L56">
        <v>3</v>
      </c>
      <c r="M56">
        <v>2</v>
      </c>
      <c r="N56" t="s">
        <v>1419</v>
      </c>
      <c r="O56">
        <v>56078603</v>
      </c>
      <c r="P56" s="1021" t="s">
        <v>1173</v>
      </c>
      <c r="Q56">
        <v>0</v>
      </c>
    </row>
    <row r="57" spans="3:17" x14ac:dyDescent="0.2">
      <c r="C57">
        <v>390129</v>
      </c>
      <c r="D57" t="s">
        <v>1321</v>
      </c>
      <c r="E57" t="s">
        <v>1301</v>
      </c>
      <c r="F57">
        <v>439</v>
      </c>
      <c r="G57" t="s">
        <v>193</v>
      </c>
      <c r="H57" t="s">
        <v>1418</v>
      </c>
      <c r="I57">
        <v>16042</v>
      </c>
      <c r="J57" t="s">
        <v>1125</v>
      </c>
      <c r="K57">
        <v>6</v>
      </c>
      <c r="L57">
        <v>9</v>
      </c>
      <c r="M57">
        <v>2</v>
      </c>
      <c r="N57" t="s">
        <v>1419</v>
      </c>
      <c r="O57">
        <v>56078603</v>
      </c>
      <c r="P57" s="1021" t="s">
        <v>1173</v>
      </c>
      <c r="Q57">
        <v>0</v>
      </c>
    </row>
    <row r="58" spans="3:17" x14ac:dyDescent="0.2">
      <c r="C58">
        <v>390130</v>
      </c>
      <c r="D58" t="s">
        <v>1325</v>
      </c>
      <c r="E58" t="s">
        <v>1301</v>
      </c>
      <c r="F58">
        <v>384</v>
      </c>
      <c r="G58" t="s">
        <v>1420</v>
      </c>
      <c r="H58" t="s">
        <v>1414</v>
      </c>
      <c r="I58">
        <v>6395</v>
      </c>
      <c r="J58" t="s">
        <v>1421</v>
      </c>
      <c r="K58">
        <v>1</v>
      </c>
      <c r="L58">
        <v>3</v>
      </c>
      <c r="M58">
        <v>4</v>
      </c>
      <c r="N58" t="s">
        <v>1419</v>
      </c>
      <c r="O58">
        <v>56078603</v>
      </c>
      <c r="P58" s="1021" t="s">
        <v>1173</v>
      </c>
      <c r="Q58">
        <v>1</v>
      </c>
    </row>
    <row r="59" spans="3:17" x14ac:dyDescent="0.2">
      <c r="C59">
        <v>390131</v>
      </c>
      <c r="D59" t="s">
        <v>1325</v>
      </c>
      <c r="E59" t="s">
        <v>1301</v>
      </c>
      <c r="F59">
        <v>384</v>
      </c>
      <c r="G59" t="s">
        <v>1420</v>
      </c>
      <c r="H59" t="s">
        <v>1413</v>
      </c>
      <c r="I59">
        <v>6395</v>
      </c>
      <c r="J59" t="s">
        <v>1421</v>
      </c>
      <c r="K59">
        <v>1</v>
      </c>
      <c r="L59">
        <v>2</v>
      </c>
      <c r="M59">
        <v>4</v>
      </c>
      <c r="N59" t="s">
        <v>1419</v>
      </c>
      <c r="O59">
        <v>56078603</v>
      </c>
      <c r="P59" s="1021" t="s">
        <v>1173</v>
      </c>
      <c r="Q59">
        <v>1</v>
      </c>
    </row>
    <row r="60" spans="3:17" x14ac:dyDescent="0.2">
      <c r="C60">
        <v>390132</v>
      </c>
      <c r="D60" t="s">
        <v>1330</v>
      </c>
      <c r="E60" t="s">
        <v>1339</v>
      </c>
      <c r="F60">
        <v>993</v>
      </c>
      <c r="G60" t="s">
        <v>16</v>
      </c>
      <c r="H60" t="s">
        <v>16</v>
      </c>
      <c r="I60">
        <v>209735.74</v>
      </c>
      <c r="J60" t="s">
        <v>1125</v>
      </c>
      <c r="K60">
        <v>9</v>
      </c>
      <c r="L60">
        <v>1</v>
      </c>
      <c r="M60">
        <v>2</v>
      </c>
      <c r="N60" t="s">
        <v>1332</v>
      </c>
      <c r="O60">
        <v>56078603</v>
      </c>
      <c r="P60" s="1021" t="s">
        <v>1332</v>
      </c>
      <c r="Q60">
        <v>0</v>
      </c>
    </row>
    <row r="61" spans="3:17" x14ac:dyDescent="0.2">
      <c r="C61">
        <v>390133</v>
      </c>
      <c r="D61" t="s">
        <v>1330</v>
      </c>
      <c r="E61" t="s">
        <v>1339</v>
      </c>
      <c r="F61">
        <v>993</v>
      </c>
      <c r="G61" t="s">
        <v>1420</v>
      </c>
      <c r="H61" t="s">
        <v>1413</v>
      </c>
      <c r="I61">
        <v>0</v>
      </c>
      <c r="J61" t="s">
        <v>1125</v>
      </c>
      <c r="K61">
        <v>1</v>
      </c>
      <c r="L61">
        <v>2</v>
      </c>
      <c r="M61">
        <v>2</v>
      </c>
      <c r="N61" t="s">
        <v>1332</v>
      </c>
      <c r="O61">
        <v>56078603</v>
      </c>
      <c r="P61" s="1021" t="s">
        <v>1332</v>
      </c>
      <c r="Q61">
        <v>1</v>
      </c>
    </row>
    <row r="62" spans="3:17" x14ac:dyDescent="0.2">
      <c r="C62">
        <v>390134</v>
      </c>
      <c r="D62" t="s">
        <v>1330</v>
      </c>
      <c r="E62" t="s">
        <v>1339</v>
      </c>
      <c r="F62">
        <v>993</v>
      </c>
      <c r="G62" t="s">
        <v>1422</v>
      </c>
      <c r="H62" t="s">
        <v>1413</v>
      </c>
      <c r="I62">
        <v>242620.43</v>
      </c>
      <c r="J62" t="s">
        <v>1125</v>
      </c>
      <c r="K62">
        <v>2</v>
      </c>
      <c r="L62">
        <v>2</v>
      </c>
      <c r="M62">
        <v>2</v>
      </c>
      <c r="N62" t="s">
        <v>1332</v>
      </c>
      <c r="O62">
        <v>56078603</v>
      </c>
      <c r="P62" s="1021" t="s">
        <v>1332</v>
      </c>
      <c r="Q62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41"/>
  <dimension ref="D5:R104"/>
  <sheetViews>
    <sheetView rightToLeft="1" workbookViewId="0">
      <selection activeCell="AL8" sqref="AL8"/>
    </sheetView>
  </sheetViews>
  <sheetFormatPr defaultRowHeight="12.75" x14ac:dyDescent="0.2"/>
  <cols>
    <col min="15" max="15" width="14" customWidth="1"/>
    <col min="16" max="16" width="15.28515625" customWidth="1"/>
  </cols>
  <sheetData>
    <row r="5" spans="4:17" ht="31.5" x14ac:dyDescent="0.25">
      <c r="D5" s="3" t="s">
        <v>2</v>
      </c>
      <c r="E5" s="3"/>
      <c r="F5" s="3"/>
      <c r="G5" s="3"/>
      <c r="H5" s="3"/>
      <c r="I5" s="3" t="s">
        <v>16</v>
      </c>
      <c r="J5" s="3" t="s">
        <v>204</v>
      </c>
      <c r="K5" s="3" t="s">
        <v>205</v>
      </c>
      <c r="L5" s="3" t="s">
        <v>17</v>
      </c>
      <c r="M5" s="3" t="s">
        <v>18</v>
      </c>
      <c r="N5" s="3" t="s">
        <v>206</v>
      </c>
      <c r="O5" s="3" t="s">
        <v>207</v>
      </c>
      <c r="P5" s="3" t="s">
        <v>208</v>
      </c>
      <c r="Q5" s="3" t="s">
        <v>21</v>
      </c>
    </row>
    <row r="6" spans="4:17" x14ac:dyDescent="0.2">
      <c r="D6">
        <v>56078603</v>
      </c>
      <c r="E6" t="s">
        <v>1351</v>
      </c>
      <c r="F6" t="s">
        <v>911</v>
      </c>
      <c r="G6" t="s">
        <v>1422</v>
      </c>
      <c r="H6" t="s">
        <v>1125</v>
      </c>
      <c r="I6" t="s">
        <v>1206</v>
      </c>
      <c r="K6">
        <v>89040</v>
      </c>
    </row>
    <row r="7" spans="4:17" x14ac:dyDescent="0.2">
      <c r="D7">
        <v>56078603</v>
      </c>
      <c r="E7" t="s">
        <v>1351</v>
      </c>
      <c r="F7" t="s">
        <v>911</v>
      </c>
      <c r="G7" t="s">
        <v>1422</v>
      </c>
      <c r="H7" t="s">
        <v>1125</v>
      </c>
      <c r="I7" t="s">
        <v>1206</v>
      </c>
      <c r="L7">
        <v>92046</v>
      </c>
    </row>
    <row r="8" spans="4:17" x14ac:dyDescent="0.2">
      <c r="D8">
        <v>56078603</v>
      </c>
      <c r="E8" t="s">
        <v>1351</v>
      </c>
      <c r="F8" t="s">
        <v>911</v>
      </c>
      <c r="G8" t="s">
        <v>16</v>
      </c>
      <c r="H8" t="s">
        <v>1125</v>
      </c>
      <c r="I8" t="s">
        <v>1206</v>
      </c>
      <c r="J8">
        <v>89478</v>
      </c>
    </row>
    <row r="9" spans="4:17" x14ac:dyDescent="0.2">
      <c r="D9">
        <v>56078603</v>
      </c>
      <c r="E9" t="s">
        <v>1205</v>
      </c>
      <c r="F9" t="s">
        <v>911</v>
      </c>
      <c r="G9" t="s">
        <v>1420</v>
      </c>
      <c r="H9" t="s">
        <v>1125</v>
      </c>
      <c r="I9" t="s">
        <v>1206</v>
      </c>
      <c r="K9">
        <v>1428</v>
      </c>
    </row>
    <row r="10" spans="4:17" x14ac:dyDescent="0.2">
      <c r="D10">
        <v>56078603</v>
      </c>
      <c r="E10" t="s">
        <v>1205</v>
      </c>
      <c r="F10" t="s">
        <v>911</v>
      </c>
      <c r="G10" t="s">
        <v>1420</v>
      </c>
      <c r="H10" t="s">
        <v>1125</v>
      </c>
      <c r="I10" t="s">
        <v>1206</v>
      </c>
      <c r="L10">
        <v>1405</v>
      </c>
    </row>
    <row r="11" spans="4:17" x14ac:dyDescent="0.2">
      <c r="D11">
        <v>56078603</v>
      </c>
      <c r="E11" t="s">
        <v>1205</v>
      </c>
      <c r="F11" t="s">
        <v>911</v>
      </c>
      <c r="G11" t="s">
        <v>16</v>
      </c>
      <c r="H11" t="s">
        <v>1125</v>
      </c>
      <c r="I11" t="s">
        <v>1206</v>
      </c>
      <c r="J11">
        <v>816</v>
      </c>
    </row>
    <row r="12" spans="4:17" x14ac:dyDescent="0.2">
      <c r="D12">
        <v>56078603</v>
      </c>
      <c r="E12" t="s">
        <v>1214</v>
      </c>
      <c r="F12" t="s">
        <v>1215</v>
      </c>
      <c r="G12" t="s">
        <v>1423</v>
      </c>
      <c r="H12" t="s">
        <v>870</v>
      </c>
      <c r="I12" t="s">
        <v>1173</v>
      </c>
      <c r="M12">
        <v>3958.1</v>
      </c>
    </row>
    <row r="13" spans="4:17" x14ac:dyDescent="0.2">
      <c r="D13">
        <v>56078603</v>
      </c>
      <c r="E13" t="s">
        <v>1225</v>
      </c>
      <c r="F13" t="s">
        <v>1215</v>
      </c>
      <c r="G13" t="s">
        <v>1423</v>
      </c>
      <c r="H13" t="s">
        <v>870</v>
      </c>
      <c r="I13" t="s">
        <v>1173</v>
      </c>
      <c r="L13">
        <v>114.82</v>
      </c>
    </row>
    <row r="14" spans="4:17" x14ac:dyDescent="0.2">
      <c r="D14">
        <v>56078603</v>
      </c>
      <c r="E14" t="s">
        <v>1225</v>
      </c>
      <c r="F14" t="s">
        <v>1215</v>
      </c>
      <c r="G14" t="s">
        <v>193</v>
      </c>
      <c r="H14" t="s">
        <v>870</v>
      </c>
      <c r="I14" t="s">
        <v>1173</v>
      </c>
      <c r="L14">
        <v>1506.95</v>
      </c>
    </row>
    <row r="15" spans="4:17" x14ac:dyDescent="0.2">
      <c r="D15">
        <v>56078603</v>
      </c>
      <c r="E15" t="s">
        <v>1225</v>
      </c>
      <c r="F15" t="s">
        <v>1215</v>
      </c>
      <c r="G15" t="s">
        <v>1423</v>
      </c>
      <c r="H15" t="s">
        <v>870</v>
      </c>
      <c r="I15" t="s">
        <v>1173</v>
      </c>
      <c r="K15">
        <v>113.79</v>
      </c>
    </row>
    <row r="16" spans="4:17" x14ac:dyDescent="0.2">
      <c r="D16">
        <v>56078603</v>
      </c>
      <c r="E16" t="s">
        <v>1225</v>
      </c>
      <c r="F16" t="s">
        <v>1215</v>
      </c>
      <c r="G16" t="s">
        <v>193</v>
      </c>
      <c r="H16" t="s">
        <v>870</v>
      </c>
      <c r="I16" t="s">
        <v>1173</v>
      </c>
      <c r="K16">
        <v>1406.56</v>
      </c>
    </row>
    <row r="17" spans="4:17" x14ac:dyDescent="0.2">
      <c r="D17">
        <v>56078603</v>
      </c>
      <c r="E17" t="s">
        <v>1171</v>
      </c>
      <c r="F17" t="s">
        <v>1172</v>
      </c>
      <c r="G17" t="s">
        <v>196</v>
      </c>
      <c r="H17" t="s">
        <v>870</v>
      </c>
      <c r="I17" t="s">
        <v>1173</v>
      </c>
      <c r="P17">
        <v>6181.91</v>
      </c>
    </row>
    <row r="18" spans="4:17" x14ac:dyDescent="0.2">
      <c r="D18">
        <v>56078603</v>
      </c>
      <c r="E18" t="s">
        <v>1171</v>
      </c>
      <c r="F18" t="s">
        <v>1172</v>
      </c>
      <c r="G18" t="s">
        <v>196</v>
      </c>
      <c r="H18" t="s">
        <v>870</v>
      </c>
      <c r="I18" t="s">
        <v>1173</v>
      </c>
      <c r="Q18">
        <v>28436.79</v>
      </c>
    </row>
    <row r="19" spans="4:17" x14ac:dyDescent="0.2">
      <c r="D19">
        <v>56078603</v>
      </c>
      <c r="E19" t="s">
        <v>1184</v>
      </c>
      <c r="F19" t="s">
        <v>1172</v>
      </c>
      <c r="G19" t="s">
        <v>196</v>
      </c>
      <c r="H19" t="s">
        <v>870</v>
      </c>
      <c r="I19" t="s">
        <v>1173</v>
      </c>
      <c r="P19">
        <v>4475.0600000000004</v>
      </c>
    </row>
    <row r="20" spans="4:17" x14ac:dyDescent="0.2">
      <c r="D20">
        <v>56078603</v>
      </c>
      <c r="E20" t="s">
        <v>1184</v>
      </c>
      <c r="F20" t="s">
        <v>1172</v>
      </c>
      <c r="G20" t="s">
        <v>196</v>
      </c>
      <c r="H20" t="s">
        <v>870</v>
      </c>
      <c r="I20" t="s">
        <v>1173</v>
      </c>
      <c r="Q20">
        <v>20585.189999999999</v>
      </c>
    </row>
    <row r="21" spans="4:17" x14ac:dyDescent="0.2">
      <c r="D21">
        <v>56078603</v>
      </c>
      <c r="E21" t="s">
        <v>1188</v>
      </c>
      <c r="F21" t="s">
        <v>1189</v>
      </c>
      <c r="G21" t="s">
        <v>1166</v>
      </c>
      <c r="H21" t="s">
        <v>870</v>
      </c>
      <c r="I21" t="s">
        <v>1173</v>
      </c>
      <c r="P21">
        <v>12185.3</v>
      </c>
    </row>
    <row r="22" spans="4:17" x14ac:dyDescent="0.2">
      <c r="D22">
        <v>56078603</v>
      </c>
      <c r="E22" t="s">
        <v>1227</v>
      </c>
      <c r="F22" t="s">
        <v>1189</v>
      </c>
      <c r="G22" t="s">
        <v>1422</v>
      </c>
      <c r="H22" t="s">
        <v>1125</v>
      </c>
      <c r="I22" t="s">
        <v>1173</v>
      </c>
      <c r="J22">
        <v>2389</v>
      </c>
    </row>
    <row r="23" spans="4:17" x14ac:dyDescent="0.2">
      <c r="D23">
        <v>56078603</v>
      </c>
      <c r="E23" t="s">
        <v>1227</v>
      </c>
      <c r="F23" t="s">
        <v>1189</v>
      </c>
      <c r="G23" t="s">
        <v>1422</v>
      </c>
      <c r="H23" t="s">
        <v>1125</v>
      </c>
      <c r="I23" t="s">
        <v>1173</v>
      </c>
      <c r="L23">
        <v>1899</v>
      </c>
    </row>
    <row r="24" spans="4:17" x14ac:dyDescent="0.2">
      <c r="D24">
        <v>56078603</v>
      </c>
      <c r="E24" t="s">
        <v>1227</v>
      </c>
      <c r="F24" t="s">
        <v>1189</v>
      </c>
      <c r="G24" t="s">
        <v>1422</v>
      </c>
      <c r="H24" t="s">
        <v>1125</v>
      </c>
      <c r="I24" t="s">
        <v>1173</v>
      </c>
      <c r="K24">
        <v>1795</v>
      </c>
    </row>
    <row r="25" spans="4:17" x14ac:dyDescent="0.2">
      <c r="D25">
        <v>56078603</v>
      </c>
      <c r="E25" t="s">
        <v>1237</v>
      </c>
      <c r="F25" t="s">
        <v>1238</v>
      </c>
      <c r="G25" t="s">
        <v>1166</v>
      </c>
      <c r="H25" t="s">
        <v>1126</v>
      </c>
      <c r="I25" t="s">
        <v>1173</v>
      </c>
      <c r="K25">
        <v>8525.33</v>
      </c>
    </row>
    <row r="26" spans="4:17" x14ac:dyDescent="0.2">
      <c r="D26">
        <v>56078603</v>
      </c>
      <c r="E26" t="s">
        <v>1237</v>
      </c>
      <c r="F26" t="s">
        <v>1238</v>
      </c>
      <c r="G26" t="s">
        <v>1166</v>
      </c>
      <c r="H26" t="s">
        <v>1126</v>
      </c>
      <c r="I26" t="s">
        <v>1173</v>
      </c>
      <c r="L26">
        <v>9134.31</v>
      </c>
    </row>
    <row r="27" spans="4:17" x14ac:dyDescent="0.2">
      <c r="D27">
        <v>56078603</v>
      </c>
      <c r="E27" t="s">
        <v>1237</v>
      </c>
      <c r="F27" t="s">
        <v>1238</v>
      </c>
      <c r="I27" t="s">
        <v>1173</v>
      </c>
    </row>
    <row r="28" spans="4:17" x14ac:dyDescent="0.2">
      <c r="D28">
        <v>56078603</v>
      </c>
      <c r="E28" t="s">
        <v>1247</v>
      </c>
      <c r="F28" t="s">
        <v>1238</v>
      </c>
      <c r="G28" t="s">
        <v>1166</v>
      </c>
      <c r="H28" t="s">
        <v>1126</v>
      </c>
      <c r="I28" t="s">
        <v>1173</v>
      </c>
      <c r="K28">
        <v>4150.92</v>
      </c>
    </row>
    <row r="29" spans="4:17" x14ac:dyDescent="0.2">
      <c r="D29">
        <v>56078603</v>
      </c>
      <c r="E29" t="s">
        <v>1247</v>
      </c>
      <c r="F29" t="s">
        <v>1238</v>
      </c>
      <c r="G29" t="s">
        <v>1166</v>
      </c>
      <c r="H29" t="s">
        <v>1126</v>
      </c>
      <c r="I29" t="s">
        <v>1173</v>
      </c>
      <c r="L29">
        <v>4447.38</v>
      </c>
    </row>
    <row r="30" spans="4:17" x14ac:dyDescent="0.2">
      <c r="D30">
        <v>56078603</v>
      </c>
      <c r="E30" t="s">
        <v>1247</v>
      </c>
      <c r="F30" t="s">
        <v>1238</v>
      </c>
      <c r="I30" t="s">
        <v>1173</v>
      </c>
    </row>
    <row r="31" spans="4:17" x14ac:dyDescent="0.2">
      <c r="D31">
        <v>56078603</v>
      </c>
      <c r="E31" t="s">
        <v>1254</v>
      </c>
      <c r="F31" t="s">
        <v>1238</v>
      </c>
      <c r="G31" t="s">
        <v>1422</v>
      </c>
      <c r="H31" t="s">
        <v>1125</v>
      </c>
      <c r="I31" t="s">
        <v>1173</v>
      </c>
      <c r="J31">
        <v>9420.16</v>
      </c>
    </row>
    <row r="32" spans="4:17" x14ac:dyDescent="0.2">
      <c r="D32">
        <v>56078603</v>
      </c>
      <c r="E32" t="s">
        <v>1254</v>
      </c>
      <c r="F32" t="s">
        <v>1238</v>
      </c>
      <c r="G32" t="s">
        <v>1422</v>
      </c>
      <c r="H32" t="s">
        <v>1125</v>
      </c>
      <c r="I32" t="s">
        <v>1173</v>
      </c>
      <c r="K32">
        <v>8635.18</v>
      </c>
    </row>
    <row r="33" spans="4:18" x14ac:dyDescent="0.2">
      <c r="D33">
        <v>56078603</v>
      </c>
      <c r="E33" t="s">
        <v>1254</v>
      </c>
      <c r="F33" t="s">
        <v>1238</v>
      </c>
      <c r="G33" t="s">
        <v>1422</v>
      </c>
      <c r="H33" t="s">
        <v>1125</v>
      </c>
      <c r="I33" t="s">
        <v>1173</v>
      </c>
      <c r="L33">
        <v>9420.16</v>
      </c>
    </row>
    <row r="34" spans="4:18" x14ac:dyDescent="0.2">
      <c r="D34">
        <v>56078603</v>
      </c>
      <c r="E34" t="s">
        <v>1197</v>
      </c>
      <c r="F34" t="s">
        <v>1198</v>
      </c>
      <c r="G34" t="s">
        <v>193</v>
      </c>
      <c r="H34" t="s">
        <v>870</v>
      </c>
      <c r="I34" t="s">
        <v>1173</v>
      </c>
      <c r="P34">
        <v>6101.53</v>
      </c>
    </row>
    <row r="35" spans="4:18" x14ac:dyDescent="0.2">
      <c r="D35">
        <v>56078603</v>
      </c>
      <c r="E35" t="s">
        <v>1197</v>
      </c>
      <c r="F35" t="s">
        <v>1198</v>
      </c>
      <c r="G35" t="s">
        <v>193</v>
      </c>
      <c r="H35" t="s">
        <v>870</v>
      </c>
      <c r="I35" t="s">
        <v>1173</v>
      </c>
      <c r="Q35">
        <v>28067.34</v>
      </c>
    </row>
    <row r="36" spans="4:18" x14ac:dyDescent="0.2">
      <c r="D36">
        <v>56078603</v>
      </c>
      <c r="E36" t="s">
        <v>1261</v>
      </c>
      <c r="F36" t="s">
        <v>1262</v>
      </c>
      <c r="G36" t="s">
        <v>190</v>
      </c>
      <c r="H36" t="s">
        <v>870</v>
      </c>
      <c r="I36" t="s">
        <v>1173</v>
      </c>
      <c r="K36">
        <v>0</v>
      </c>
    </row>
    <row r="37" spans="4:18" x14ac:dyDescent="0.2">
      <c r="D37">
        <v>56078603</v>
      </c>
      <c r="E37" t="s">
        <v>1261</v>
      </c>
      <c r="F37" t="s">
        <v>1262</v>
      </c>
      <c r="G37" t="s">
        <v>190</v>
      </c>
      <c r="H37" t="s">
        <v>870</v>
      </c>
      <c r="I37" t="s">
        <v>1173</v>
      </c>
      <c r="L37">
        <v>0</v>
      </c>
    </row>
    <row r="38" spans="4:18" x14ac:dyDescent="0.2">
      <c r="D38">
        <v>56078603</v>
      </c>
      <c r="E38" t="s">
        <v>1271</v>
      </c>
      <c r="F38" t="s">
        <v>1272</v>
      </c>
      <c r="G38" t="s">
        <v>16</v>
      </c>
      <c r="H38" t="s">
        <v>1125</v>
      </c>
      <c r="I38" t="s">
        <v>1173</v>
      </c>
      <c r="J38">
        <v>20182.080000000002</v>
      </c>
    </row>
    <row r="39" spans="4:18" x14ac:dyDescent="0.2">
      <c r="D39">
        <v>56078603</v>
      </c>
      <c r="E39" t="s">
        <v>1280</v>
      </c>
      <c r="F39" t="s">
        <v>1281</v>
      </c>
      <c r="G39" t="s">
        <v>1165</v>
      </c>
      <c r="H39" t="s">
        <v>870</v>
      </c>
      <c r="I39" t="s">
        <v>1173</v>
      </c>
      <c r="K39">
        <v>1189.17</v>
      </c>
    </row>
    <row r="40" spans="4:18" x14ac:dyDescent="0.2">
      <c r="D40">
        <v>56078603</v>
      </c>
      <c r="E40" t="s">
        <v>1280</v>
      </c>
      <c r="F40" t="s">
        <v>1281</v>
      </c>
      <c r="G40" t="s">
        <v>1165</v>
      </c>
      <c r="H40" t="s">
        <v>870</v>
      </c>
      <c r="I40" t="s">
        <v>1173</v>
      </c>
      <c r="L40">
        <v>1274.0999999999999</v>
      </c>
    </row>
    <row r="41" spans="4:18" x14ac:dyDescent="0.2">
      <c r="D41">
        <v>56078603</v>
      </c>
      <c r="E41" t="s">
        <v>1280</v>
      </c>
      <c r="F41" t="s">
        <v>1281</v>
      </c>
      <c r="G41" t="s">
        <v>1166</v>
      </c>
      <c r="H41" t="s">
        <v>1126</v>
      </c>
      <c r="I41" t="s">
        <v>1173</v>
      </c>
      <c r="K41">
        <v>13414.26</v>
      </c>
    </row>
    <row r="42" spans="4:18" x14ac:dyDescent="0.2">
      <c r="D42">
        <v>56078603</v>
      </c>
      <c r="E42" t="s">
        <v>1280</v>
      </c>
      <c r="F42" t="s">
        <v>1281</v>
      </c>
      <c r="G42" t="s">
        <v>1166</v>
      </c>
      <c r="H42" t="s">
        <v>1126</v>
      </c>
      <c r="I42" t="s">
        <v>1173</v>
      </c>
      <c r="L42">
        <v>14372.41</v>
      </c>
    </row>
    <row r="43" spans="4:18" x14ac:dyDescent="0.2">
      <c r="D43">
        <v>56078603</v>
      </c>
      <c r="E43" t="s">
        <v>1289</v>
      </c>
      <c r="F43" t="s">
        <v>1281</v>
      </c>
      <c r="G43" t="s">
        <v>1423</v>
      </c>
      <c r="H43" t="s">
        <v>870</v>
      </c>
      <c r="I43" t="s">
        <v>1173</v>
      </c>
      <c r="M43">
        <v>156292.04</v>
      </c>
    </row>
    <row r="44" spans="4:18" x14ac:dyDescent="0.2">
      <c r="D44">
        <v>56078603</v>
      </c>
      <c r="E44" t="s">
        <v>1293</v>
      </c>
      <c r="F44" t="s">
        <v>912</v>
      </c>
      <c r="G44" t="s">
        <v>1420</v>
      </c>
      <c r="H44" t="s">
        <v>1421</v>
      </c>
      <c r="I44" t="s">
        <v>1173</v>
      </c>
      <c r="L44">
        <v>653</v>
      </c>
    </row>
    <row r="45" spans="4:18" x14ac:dyDescent="0.2">
      <c r="D45">
        <v>56078603</v>
      </c>
      <c r="E45" t="s">
        <v>1293</v>
      </c>
      <c r="F45" t="s">
        <v>912</v>
      </c>
      <c r="G45" t="s">
        <v>1422</v>
      </c>
      <c r="H45" t="s">
        <v>1125</v>
      </c>
      <c r="I45" t="s">
        <v>1173</v>
      </c>
      <c r="K45">
        <v>1233</v>
      </c>
    </row>
    <row r="46" spans="4:18" x14ac:dyDescent="0.2">
      <c r="D46">
        <v>56078603</v>
      </c>
      <c r="E46" t="s">
        <v>1293</v>
      </c>
      <c r="F46" t="s">
        <v>912</v>
      </c>
      <c r="G46" t="s">
        <v>193</v>
      </c>
      <c r="H46" t="s">
        <v>1125</v>
      </c>
      <c r="I46" t="s">
        <v>1173</v>
      </c>
      <c r="R46">
        <v>6489</v>
      </c>
    </row>
    <row r="47" spans="4:18" x14ac:dyDescent="0.2">
      <c r="D47">
        <v>56078603</v>
      </c>
      <c r="E47" t="s">
        <v>1303</v>
      </c>
      <c r="F47" t="s">
        <v>912</v>
      </c>
      <c r="G47" t="s">
        <v>1165</v>
      </c>
      <c r="H47" t="s">
        <v>870</v>
      </c>
      <c r="I47" t="s">
        <v>1173</v>
      </c>
      <c r="R47">
        <v>11556</v>
      </c>
    </row>
    <row r="48" spans="4:18" x14ac:dyDescent="0.2">
      <c r="D48">
        <v>56078603</v>
      </c>
      <c r="E48" t="s">
        <v>1309</v>
      </c>
      <c r="F48" t="s">
        <v>912</v>
      </c>
      <c r="G48" t="s">
        <v>1422</v>
      </c>
      <c r="H48" t="s">
        <v>1125</v>
      </c>
      <c r="I48" t="s">
        <v>1173</v>
      </c>
      <c r="L48">
        <v>37298</v>
      </c>
    </row>
    <row r="49" spans="4:18" x14ac:dyDescent="0.2">
      <c r="D49">
        <v>56078603</v>
      </c>
      <c r="E49" t="s">
        <v>1309</v>
      </c>
      <c r="F49" t="s">
        <v>912</v>
      </c>
      <c r="G49" t="s">
        <v>1422</v>
      </c>
      <c r="H49" t="s">
        <v>1125</v>
      </c>
      <c r="I49" t="s">
        <v>1173</v>
      </c>
      <c r="J49">
        <v>84625</v>
      </c>
    </row>
    <row r="50" spans="4:18" x14ac:dyDescent="0.2">
      <c r="D50">
        <v>56078603</v>
      </c>
      <c r="E50" t="s">
        <v>1309</v>
      </c>
      <c r="F50" t="s">
        <v>912</v>
      </c>
      <c r="G50" t="s">
        <v>1420</v>
      </c>
      <c r="H50" t="s">
        <v>1421</v>
      </c>
      <c r="I50" t="s">
        <v>1173</v>
      </c>
      <c r="K50">
        <v>1449</v>
      </c>
    </row>
    <row r="51" spans="4:18" x14ac:dyDescent="0.2">
      <c r="D51">
        <v>56078603</v>
      </c>
      <c r="E51" t="s">
        <v>1309</v>
      </c>
      <c r="F51" t="s">
        <v>912</v>
      </c>
      <c r="G51" t="s">
        <v>1420</v>
      </c>
      <c r="H51" t="s">
        <v>1421</v>
      </c>
      <c r="I51" t="s">
        <v>1173</v>
      </c>
      <c r="L51">
        <v>1449</v>
      </c>
    </row>
    <row r="52" spans="4:18" x14ac:dyDescent="0.2">
      <c r="D52">
        <v>56078603</v>
      </c>
      <c r="E52" t="s">
        <v>1315</v>
      </c>
      <c r="F52" t="s">
        <v>912</v>
      </c>
      <c r="G52" t="s">
        <v>1420</v>
      </c>
      <c r="H52" t="s">
        <v>1421</v>
      </c>
      <c r="I52" t="s">
        <v>1173</v>
      </c>
      <c r="K52">
        <v>114394</v>
      </c>
    </row>
    <row r="53" spans="4:18" x14ac:dyDescent="0.2">
      <c r="D53">
        <v>56078603</v>
      </c>
      <c r="E53" t="s">
        <v>1315</v>
      </c>
      <c r="F53" t="s">
        <v>912</v>
      </c>
      <c r="G53" t="s">
        <v>1422</v>
      </c>
      <c r="H53" t="s">
        <v>1125</v>
      </c>
      <c r="I53" t="s">
        <v>1173</v>
      </c>
      <c r="L53">
        <v>11429</v>
      </c>
    </row>
    <row r="54" spans="4:18" x14ac:dyDescent="0.2">
      <c r="D54">
        <v>56078603</v>
      </c>
      <c r="E54" t="s">
        <v>1315</v>
      </c>
      <c r="F54" t="s">
        <v>912</v>
      </c>
      <c r="G54" t="s">
        <v>193</v>
      </c>
      <c r="H54" t="s">
        <v>1125</v>
      </c>
      <c r="I54" t="s">
        <v>1173</v>
      </c>
      <c r="R54">
        <v>209</v>
      </c>
    </row>
    <row r="55" spans="4:18" x14ac:dyDescent="0.2">
      <c r="D55">
        <v>56078603</v>
      </c>
      <c r="E55" t="s">
        <v>1321</v>
      </c>
      <c r="F55" t="s">
        <v>912</v>
      </c>
      <c r="G55" t="s">
        <v>1422</v>
      </c>
      <c r="H55" t="s">
        <v>1125</v>
      </c>
      <c r="I55" t="s">
        <v>1173</v>
      </c>
      <c r="K55">
        <v>20896</v>
      </c>
    </row>
    <row r="56" spans="4:18" x14ac:dyDescent="0.2">
      <c r="D56">
        <v>56078603</v>
      </c>
      <c r="E56" t="s">
        <v>1321</v>
      </c>
      <c r="F56" t="s">
        <v>912</v>
      </c>
      <c r="G56" t="s">
        <v>1166</v>
      </c>
      <c r="H56" t="s">
        <v>1125</v>
      </c>
      <c r="I56" t="s">
        <v>1173</v>
      </c>
      <c r="L56">
        <v>59379</v>
      </c>
    </row>
    <row r="57" spans="4:18" x14ac:dyDescent="0.2">
      <c r="D57">
        <v>56078603</v>
      </c>
      <c r="E57" t="s">
        <v>1321</v>
      </c>
      <c r="F57" t="s">
        <v>912</v>
      </c>
      <c r="G57" t="s">
        <v>193</v>
      </c>
      <c r="H57" t="s">
        <v>1125</v>
      </c>
      <c r="I57" t="s">
        <v>1173</v>
      </c>
      <c r="R57">
        <v>16042</v>
      </c>
    </row>
    <row r="58" spans="4:18" x14ac:dyDescent="0.2">
      <c r="D58">
        <v>56078603</v>
      </c>
      <c r="E58" t="s">
        <v>1325</v>
      </c>
      <c r="F58" t="s">
        <v>912</v>
      </c>
      <c r="G58" t="s">
        <v>1420</v>
      </c>
      <c r="H58" t="s">
        <v>1421</v>
      </c>
      <c r="I58" t="s">
        <v>1173</v>
      </c>
      <c r="L58">
        <v>6395</v>
      </c>
    </row>
    <row r="59" spans="4:18" x14ac:dyDescent="0.2">
      <c r="D59">
        <v>56078603</v>
      </c>
      <c r="E59" t="s">
        <v>1325</v>
      </c>
      <c r="F59" t="s">
        <v>912</v>
      </c>
      <c r="G59" t="s">
        <v>1420</v>
      </c>
      <c r="H59" t="s">
        <v>1421</v>
      </c>
      <c r="I59" t="s">
        <v>1173</v>
      </c>
      <c r="K59">
        <v>6395</v>
      </c>
    </row>
    <row r="60" spans="4:18" x14ac:dyDescent="0.2">
      <c r="D60">
        <v>56078603</v>
      </c>
      <c r="E60" t="s">
        <v>1330</v>
      </c>
      <c r="F60" t="s">
        <v>1331</v>
      </c>
      <c r="G60" t="s">
        <v>16</v>
      </c>
      <c r="H60" t="s">
        <v>1125</v>
      </c>
      <c r="I60" t="s">
        <v>1332</v>
      </c>
      <c r="J60">
        <v>209735.74</v>
      </c>
    </row>
    <row r="61" spans="4:18" x14ac:dyDescent="0.2">
      <c r="D61">
        <v>56078603</v>
      </c>
      <c r="E61" t="s">
        <v>1330</v>
      </c>
      <c r="F61" t="s">
        <v>1331</v>
      </c>
      <c r="G61" t="s">
        <v>1420</v>
      </c>
      <c r="H61" t="s">
        <v>1125</v>
      </c>
      <c r="I61" t="s">
        <v>1332</v>
      </c>
      <c r="K61">
        <v>0</v>
      </c>
    </row>
    <row r="62" spans="4:18" x14ac:dyDescent="0.2">
      <c r="D62">
        <v>56078603</v>
      </c>
      <c r="E62" t="s">
        <v>1330</v>
      </c>
      <c r="F62" t="s">
        <v>1331</v>
      </c>
      <c r="G62" t="s">
        <v>1422</v>
      </c>
      <c r="H62" t="s">
        <v>1125</v>
      </c>
      <c r="I62" t="s">
        <v>1332</v>
      </c>
      <c r="K62">
        <v>242620.43</v>
      </c>
    </row>
    <row r="63" spans="4:18" x14ac:dyDescent="0.2"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4:18" x14ac:dyDescent="0.2"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9:17" x14ac:dyDescent="0.2"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9:17" x14ac:dyDescent="0.2"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9:17" x14ac:dyDescent="0.2"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9:17" x14ac:dyDescent="0.2"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9:17" x14ac:dyDescent="0.2"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9:17" x14ac:dyDescent="0.2"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9:17" x14ac:dyDescent="0.2"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9:17" x14ac:dyDescent="0.2"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9:17" x14ac:dyDescent="0.2"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9:17" x14ac:dyDescent="0.2"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9:17" x14ac:dyDescent="0.2"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9:17" x14ac:dyDescent="0.2"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9:17" x14ac:dyDescent="0.2"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9:17" x14ac:dyDescent="0.2"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9:17" x14ac:dyDescent="0.2"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9:17" x14ac:dyDescent="0.2"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9:17" x14ac:dyDescent="0.2"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</row>
    <row r="82" spans="9:17" x14ac:dyDescent="0.2"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9:17" x14ac:dyDescent="0.2"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</row>
    <row r="84" spans="9:17" x14ac:dyDescent="0.2"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9:17" x14ac:dyDescent="0.2"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</row>
    <row r="86" spans="9:17" x14ac:dyDescent="0.2"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</row>
    <row r="87" spans="9:17" x14ac:dyDescent="0.2"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</row>
    <row r="88" spans="9:17" x14ac:dyDescent="0.2"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9:17" x14ac:dyDescent="0.2"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</row>
    <row r="90" spans="9:17" x14ac:dyDescent="0.2"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9:17" x14ac:dyDescent="0.2"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</row>
    <row r="92" spans="9:17" x14ac:dyDescent="0.2"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</row>
    <row r="93" spans="9:17" x14ac:dyDescent="0.2"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</row>
    <row r="94" spans="9:17" x14ac:dyDescent="0.2"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</row>
    <row r="95" spans="9:17" x14ac:dyDescent="0.2"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</row>
    <row r="96" spans="9:17" x14ac:dyDescent="0.2"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</row>
    <row r="97" spans="9:17" x14ac:dyDescent="0.2"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</row>
    <row r="98" spans="9:17" x14ac:dyDescent="0.2"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</row>
    <row r="99" spans="9:17" x14ac:dyDescent="0.2"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</row>
    <row r="100" spans="9:17" x14ac:dyDescent="0.2"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9:17" x14ac:dyDescent="0.2"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</row>
    <row r="102" spans="9:17" x14ac:dyDescent="0.2"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9:17" x14ac:dyDescent="0.2"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</row>
    <row r="104" spans="9:17" x14ac:dyDescent="0.2"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32"/>
  <dimension ref="C6:E9"/>
  <sheetViews>
    <sheetView rightToLeft="1" workbookViewId="0">
      <selection activeCell="AL8" sqref="AL8"/>
    </sheetView>
  </sheetViews>
  <sheetFormatPr defaultRowHeight="12.75" x14ac:dyDescent="0.2"/>
  <cols>
    <col min="3" max="3" width="18" bestFit="1" customWidth="1"/>
    <col min="4" max="4" width="13.5703125" bestFit="1" customWidth="1"/>
    <col min="5" max="5" width="8.42578125" customWidth="1"/>
  </cols>
  <sheetData>
    <row r="6" spans="3:5" x14ac:dyDescent="0.2">
      <c r="C6" s="28" t="s">
        <v>1007</v>
      </c>
      <c r="D6" s="28" t="s">
        <v>304</v>
      </c>
    </row>
    <row r="7" spans="3:5" x14ac:dyDescent="0.2">
      <c r="C7" s="28" t="s">
        <v>301</v>
      </c>
      <c r="D7" t="s">
        <v>302</v>
      </c>
      <c r="E7" t="s">
        <v>303</v>
      </c>
    </row>
    <row r="8" spans="3:5" x14ac:dyDescent="0.2">
      <c r="C8" s="29" t="s">
        <v>302</v>
      </c>
      <c r="D8" s="27"/>
      <c r="E8" s="27"/>
    </row>
    <row r="9" spans="3:5" x14ac:dyDescent="0.2">
      <c r="C9" s="29" t="s">
        <v>303</v>
      </c>
      <c r="D9" s="27"/>
      <c r="E9" s="27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51"/>
  <dimension ref="C2:AH24"/>
  <sheetViews>
    <sheetView rightToLeft="1" workbookViewId="0">
      <selection activeCell="AL8" sqref="AL8"/>
    </sheetView>
  </sheetViews>
  <sheetFormatPr defaultRowHeight="12.75" x14ac:dyDescent="0.2"/>
  <cols>
    <col min="4" max="4" width="11.42578125" customWidth="1"/>
    <col min="5" max="5" width="10.7109375" customWidth="1"/>
    <col min="8" max="8" width="11.140625" customWidth="1"/>
    <col min="9" max="9" width="9.7109375" customWidth="1"/>
    <col min="10" max="10" width="10.140625" customWidth="1"/>
    <col min="11" max="11" width="10.85546875" customWidth="1"/>
    <col min="12" max="12" width="10.140625" customWidth="1"/>
    <col min="13" max="13" width="11" customWidth="1"/>
    <col min="14" max="14" width="10" customWidth="1"/>
    <col min="15" max="15" width="13.5703125" customWidth="1"/>
    <col min="17" max="17" width="9.140625" style="1021"/>
  </cols>
  <sheetData>
    <row r="2" spans="3:34" ht="23.25" x14ac:dyDescent="0.35">
      <c r="K2" s="10" t="s">
        <v>182</v>
      </c>
    </row>
    <row r="4" spans="3:34" ht="13.5" thickBot="1" x14ac:dyDescent="0.25"/>
    <row r="5" spans="3:34" ht="75.75" thickBot="1" x14ac:dyDescent="0.25">
      <c r="C5" s="8" t="s">
        <v>0</v>
      </c>
      <c r="D5" s="8" t="s">
        <v>162</v>
      </c>
      <c r="E5" s="8" t="s">
        <v>37</v>
      </c>
      <c r="F5" s="8" t="s">
        <v>83</v>
      </c>
      <c r="G5" s="8" t="s">
        <v>1001</v>
      </c>
      <c r="H5" s="9" t="s">
        <v>1002</v>
      </c>
      <c r="I5" s="9" t="s">
        <v>164</v>
      </c>
      <c r="J5" s="8" t="s">
        <v>165</v>
      </c>
      <c r="K5" s="8" t="s">
        <v>167</v>
      </c>
      <c r="L5" s="8" t="s">
        <v>166</v>
      </c>
      <c r="M5" s="9" t="s">
        <v>168</v>
      </c>
      <c r="N5" s="9" t="s">
        <v>169</v>
      </c>
      <c r="O5" s="8" t="s">
        <v>170</v>
      </c>
      <c r="P5" s="8" t="s">
        <v>1</v>
      </c>
      <c r="Q5" s="1025" t="s">
        <v>3</v>
      </c>
      <c r="R5" s="8"/>
      <c r="S5" s="8"/>
    </row>
    <row r="6" spans="3:34" x14ac:dyDescent="0.2">
      <c r="C6">
        <v>172453</v>
      </c>
      <c r="D6" t="s">
        <v>1351</v>
      </c>
      <c r="E6" t="s">
        <v>1212</v>
      </c>
      <c r="F6">
        <v>1</v>
      </c>
      <c r="G6">
        <v>0</v>
      </c>
      <c r="H6">
        <v>0</v>
      </c>
      <c r="I6">
        <v>0</v>
      </c>
      <c r="J6">
        <v>0</v>
      </c>
      <c r="K6" t="s">
        <v>1209</v>
      </c>
      <c r="L6">
        <v>0</v>
      </c>
      <c r="M6">
        <v>0</v>
      </c>
      <c r="N6">
        <v>0</v>
      </c>
      <c r="O6">
        <v>0</v>
      </c>
      <c r="P6">
        <v>0</v>
      </c>
      <c r="Q6" s="1021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 t="s">
        <v>1209</v>
      </c>
      <c r="Z6" t="s">
        <v>1209</v>
      </c>
      <c r="AB6">
        <v>56078603</v>
      </c>
      <c r="AC6" t="s">
        <v>1206</v>
      </c>
      <c r="AD6">
        <v>0</v>
      </c>
    </row>
    <row r="7" spans="3:34" x14ac:dyDescent="0.2">
      <c r="C7">
        <v>172454</v>
      </c>
      <c r="D7" t="s">
        <v>1351</v>
      </c>
      <c r="E7" t="s">
        <v>1212</v>
      </c>
      <c r="F7">
        <v>1</v>
      </c>
      <c r="G7">
        <v>0</v>
      </c>
      <c r="H7">
        <v>0</v>
      </c>
      <c r="I7">
        <v>0</v>
      </c>
      <c r="J7">
        <v>0</v>
      </c>
      <c r="K7" t="s">
        <v>1209</v>
      </c>
      <c r="L7">
        <v>0</v>
      </c>
      <c r="M7">
        <v>0</v>
      </c>
      <c r="N7">
        <v>0</v>
      </c>
      <c r="O7">
        <v>0</v>
      </c>
      <c r="P7">
        <v>0</v>
      </c>
      <c r="Q7" s="1021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 t="s">
        <v>1209</v>
      </c>
      <c r="Z7" t="s">
        <v>1209</v>
      </c>
      <c r="AB7">
        <v>56078603</v>
      </c>
      <c r="AC7" t="s">
        <v>1206</v>
      </c>
      <c r="AD7">
        <v>0</v>
      </c>
    </row>
    <row r="8" spans="3:34" x14ac:dyDescent="0.2">
      <c r="C8">
        <v>172455</v>
      </c>
      <c r="D8" t="s">
        <v>1351</v>
      </c>
      <c r="E8" t="s">
        <v>1212</v>
      </c>
      <c r="F8">
        <v>1</v>
      </c>
      <c r="G8">
        <v>0</v>
      </c>
      <c r="H8">
        <v>0</v>
      </c>
      <c r="I8">
        <v>0</v>
      </c>
      <c r="J8">
        <v>0</v>
      </c>
      <c r="K8" t="s">
        <v>1209</v>
      </c>
      <c r="L8">
        <v>0</v>
      </c>
      <c r="M8">
        <v>0</v>
      </c>
      <c r="N8">
        <v>0</v>
      </c>
      <c r="O8">
        <v>0</v>
      </c>
      <c r="P8">
        <v>0</v>
      </c>
      <c r="Q8" s="1021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 t="s">
        <v>1209</v>
      </c>
      <c r="Z8" t="s">
        <v>1209</v>
      </c>
      <c r="AB8">
        <v>56078603</v>
      </c>
      <c r="AC8" t="s">
        <v>1206</v>
      </c>
      <c r="AD8">
        <v>0</v>
      </c>
    </row>
    <row r="9" spans="3:34" x14ac:dyDescent="0.2">
      <c r="C9">
        <v>172539</v>
      </c>
      <c r="D9" t="s">
        <v>1205</v>
      </c>
      <c r="E9" t="s">
        <v>1212</v>
      </c>
      <c r="F9">
        <v>1</v>
      </c>
      <c r="G9">
        <v>0</v>
      </c>
      <c r="H9">
        <v>0</v>
      </c>
      <c r="I9">
        <v>0</v>
      </c>
      <c r="J9">
        <v>0</v>
      </c>
      <c r="K9" t="s">
        <v>1209</v>
      </c>
      <c r="L9">
        <v>0</v>
      </c>
      <c r="M9">
        <v>0</v>
      </c>
      <c r="N9">
        <v>0</v>
      </c>
      <c r="O9">
        <v>0</v>
      </c>
      <c r="P9">
        <v>0</v>
      </c>
      <c r="Q9" s="1021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 t="s">
        <v>1209</v>
      </c>
      <c r="Z9" t="s">
        <v>1209</v>
      </c>
      <c r="AB9">
        <v>56078603</v>
      </c>
      <c r="AC9" t="s">
        <v>1206</v>
      </c>
      <c r="AD9">
        <v>0</v>
      </c>
    </row>
    <row r="10" spans="3:34" x14ac:dyDescent="0.2">
      <c r="C10">
        <v>185811</v>
      </c>
      <c r="D10" t="s">
        <v>1214</v>
      </c>
      <c r="E10" t="s">
        <v>1222</v>
      </c>
      <c r="F10">
        <v>662</v>
      </c>
      <c r="O10">
        <v>0</v>
      </c>
      <c r="P10">
        <v>0</v>
      </c>
      <c r="Q10" s="1021">
        <v>0</v>
      </c>
      <c r="T10">
        <v>0</v>
      </c>
      <c r="U10">
        <v>0</v>
      </c>
      <c r="V10">
        <v>0</v>
      </c>
      <c r="AA10" t="s">
        <v>1358</v>
      </c>
      <c r="AB10">
        <v>56078603</v>
      </c>
      <c r="AC10" t="s">
        <v>1173</v>
      </c>
      <c r="AD10">
        <v>3</v>
      </c>
    </row>
    <row r="11" spans="3:34" x14ac:dyDescent="0.2">
      <c r="C11">
        <v>185812</v>
      </c>
      <c r="D11" t="s">
        <v>1225</v>
      </c>
      <c r="E11" t="s">
        <v>1222</v>
      </c>
      <c r="F11">
        <v>624</v>
      </c>
      <c r="O11">
        <v>0</v>
      </c>
      <c r="P11">
        <v>0</v>
      </c>
      <c r="Q11" s="1021">
        <v>0</v>
      </c>
      <c r="T11">
        <v>0</v>
      </c>
      <c r="U11">
        <v>0</v>
      </c>
      <c r="V11">
        <v>0</v>
      </c>
      <c r="AA11" t="s">
        <v>1358</v>
      </c>
      <c r="AB11">
        <v>56078603</v>
      </c>
      <c r="AC11" t="s">
        <v>1173</v>
      </c>
      <c r="AD11">
        <v>3</v>
      </c>
    </row>
    <row r="12" spans="3:34" x14ac:dyDescent="0.2">
      <c r="C12">
        <v>185813</v>
      </c>
      <c r="D12" t="s">
        <v>1171</v>
      </c>
      <c r="E12" t="s">
        <v>1182</v>
      </c>
      <c r="F12">
        <v>449</v>
      </c>
      <c r="AB12">
        <v>56078603</v>
      </c>
      <c r="AC12" t="s">
        <v>1173</v>
      </c>
    </row>
    <row r="13" spans="3:34" x14ac:dyDescent="0.2">
      <c r="C13">
        <v>185814</v>
      </c>
      <c r="D13" t="s">
        <v>1184</v>
      </c>
      <c r="E13" t="s">
        <v>1182</v>
      </c>
      <c r="F13">
        <v>92</v>
      </c>
      <c r="AB13">
        <v>56078603</v>
      </c>
      <c r="AC13" t="s">
        <v>1173</v>
      </c>
    </row>
    <row r="14" spans="3:34" x14ac:dyDescent="0.2">
      <c r="C14">
        <v>185815</v>
      </c>
      <c r="D14" t="s">
        <v>1188</v>
      </c>
      <c r="E14" t="s">
        <v>1196</v>
      </c>
      <c r="F14">
        <v>713</v>
      </c>
      <c r="AB14">
        <v>56078603</v>
      </c>
      <c r="AC14" t="s">
        <v>1173</v>
      </c>
    </row>
    <row r="15" spans="3:34" x14ac:dyDescent="0.2">
      <c r="C15">
        <v>185816</v>
      </c>
      <c r="D15" t="s">
        <v>1227</v>
      </c>
      <c r="E15" t="s">
        <v>1196</v>
      </c>
      <c r="F15">
        <v>453</v>
      </c>
      <c r="G15">
        <v>12.11</v>
      </c>
      <c r="H15">
        <v>0.66</v>
      </c>
      <c r="I15">
        <v>75</v>
      </c>
      <c r="J15">
        <v>951.12</v>
      </c>
      <c r="K15" t="s">
        <v>1173</v>
      </c>
      <c r="L15">
        <v>713.34</v>
      </c>
      <c r="M15">
        <v>16.54</v>
      </c>
      <c r="N15">
        <v>22.25</v>
      </c>
      <c r="O15">
        <v>423.25</v>
      </c>
      <c r="P15">
        <v>211.62</v>
      </c>
      <c r="Q15" s="1021">
        <v>70.569999999999993</v>
      </c>
      <c r="R15">
        <v>44.5</v>
      </c>
      <c r="S15">
        <v>7.42</v>
      </c>
      <c r="T15">
        <v>67</v>
      </c>
      <c r="U15">
        <v>0</v>
      </c>
      <c r="V15">
        <v>60</v>
      </c>
      <c r="Y15" t="s">
        <v>1228</v>
      </c>
      <c r="Z15" t="s">
        <v>1419</v>
      </c>
      <c r="AA15" t="s">
        <v>1375</v>
      </c>
      <c r="AB15">
        <v>56078603</v>
      </c>
      <c r="AC15" t="s">
        <v>1173</v>
      </c>
      <c r="AD15">
        <v>2</v>
      </c>
      <c r="AE15">
        <v>0</v>
      </c>
      <c r="AH15">
        <v>0</v>
      </c>
    </row>
    <row r="16" spans="3:34" x14ac:dyDescent="0.2">
      <c r="C16">
        <v>185817</v>
      </c>
      <c r="D16" t="s">
        <v>1237</v>
      </c>
      <c r="E16" t="s">
        <v>1246</v>
      </c>
      <c r="F16">
        <v>885</v>
      </c>
      <c r="G16">
        <v>0</v>
      </c>
      <c r="H16">
        <v>0</v>
      </c>
      <c r="M16">
        <v>0</v>
      </c>
      <c r="O16">
        <v>0</v>
      </c>
      <c r="P16">
        <v>0</v>
      </c>
      <c r="Q16" s="1021">
        <v>0</v>
      </c>
      <c r="U16">
        <v>0</v>
      </c>
      <c r="Y16" t="s">
        <v>1218</v>
      </c>
      <c r="AB16">
        <v>56078603</v>
      </c>
      <c r="AC16" t="s">
        <v>1173</v>
      </c>
      <c r="AE16">
        <v>0</v>
      </c>
    </row>
    <row r="17" spans="3:34" x14ac:dyDescent="0.2">
      <c r="C17">
        <v>185818</v>
      </c>
      <c r="D17" t="s">
        <v>1247</v>
      </c>
      <c r="E17" t="s">
        <v>1246</v>
      </c>
      <c r="F17">
        <v>188</v>
      </c>
      <c r="G17">
        <v>0</v>
      </c>
      <c r="H17">
        <v>0</v>
      </c>
      <c r="M17">
        <v>0</v>
      </c>
      <c r="O17">
        <v>0</v>
      </c>
      <c r="P17">
        <v>0</v>
      </c>
      <c r="Q17" s="1021">
        <v>0</v>
      </c>
      <c r="U17">
        <v>0</v>
      </c>
      <c r="Y17" t="s">
        <v>1218</v>
      </c>
      <c r="AB17">
        <v>56078603</v>
      </c>
      <c r="AC17" t="s">
        <v>1173</v>
      </c>
      <c r="AE17">
        <v>0</v>
      </c>
    </row>
    <row r="18" spans="3:34" x14ac:dyDescent="0.2">
      <c r="C18">
        <v>185820</v>
      </c>
      <c r="D18" t="s">
        <v>1254</v>
      </c>
      <c r="E18" t="s">
        <v>1246</v>
      </c>
      <c r="F18">
        <v>441</v>
      </c>
      <c r="G18">
        <v>0</v>
      </c>
      <c r="H18">
        <v>0</v>
      </c>
      <c r="I18">
        <v>0</v>
      </c>
      <c r="J18">
        <v>0</v>
      </c>
      <c r="K18" t="s">
        <v>1173</v>
      </c>
      <c r="L18">
        <v>0</v>
      </c>
      <c r="M18">
        <v>0</v>
      </c>
      <c r="N18">
        <v>0</v>
      </c>
      <c r="O18">
        <v>0</v>
      </c>
      <c r="P18">
        <v>0</v>
      </c>
      <c r="Q18" s="1021">
        <v>0</v>
      </c>
      <c r="R18">
        <v>0</v>
      </c>
      <c r="S18">
        <v>0</v>
      </c>
      <c r="T18">
        <v>67</v>
      </c>
      <c r="U18">
        <v>114.39</v>
      </c>
      <c r="V18">
        <v>0</v>
      </c>
      <c r="W18">
        <v>0</v>
      </c>
      <c r="X18">
        <v>0</v>
      </c>
      <c r="Y18" t="s">
        <v>1255</v>
      </c>
      <c r="Z18" t="s">
        <v>1173</v>
      </c>
      <c r="AA18" t="s">
        <v>1375</v>
      </c>
      <c r="AB18">
        <v>56078603</v>
      </c>
      <c r="AC18" t="s">
        <v>1173</v>
      </c>
      <c r="AD18">
        <v>2</v>
      </c>
      <c r="AE18">
        <v>0</v>
      </c>
    </row>
    <row r="19" spans="3:34" x14ac:dyDescent="0.2">
      <c r="C19">
        <v>185821</v>
      </c>
      <c r="D19" t="s">
        <v>1197</v>
      </c>
      <c r="E19" t="s">
        <v>1204</v>
      </c>
      <c r="F19">
        <v>416</v>
      </c>
      <c r="O19">
        <v>0</v>
      </c>
      <c r="P19">
        <v>0</v>
      </c>
      <c r="Q19" s="1021">
        <v>0</v>
      </c>
      <c r="T19">
        <v>0</v>
      </c>
      <c r="U19">
        <v>0</v>
      </c>
      <c r="V19">
        <v>0</v>
      </c>
      <c r="AA19" t="s">
        <v>1357</v>
      </c>
      <c r="AB19">
        <v>56078603</v>
      </c>
      <c r="AC19" t="s">
        <v>1173</v>
      </c>
      <c r="AD19">
        <v>1</v>
      </c>
      <c r="AE19">
        <v>0</v>
      </c>
      <c r="AH19">
        <v>0</v>
      </c>
    </row>
    <row r="20" spans="3:34" x14ac:dyDescent="0.2">
      <c r="C20">
        <v>185822</v>
      </c>
      <c r="D20" t="s">
        <v>1261</v>
      </c>
      <c r="E20" t="s">
        <v>1270</v>
      </c>
      <c r="F20">
        <v>201</v>
      </c>
      <c r="AB20">
        <v>56078603</v>
      </c>
      <c r="AC20" t="s">
        <v>1173</v>
      </c>
    </row>
    <row r="21" spans="3:34" x14ac:dyDescent="0.2">
      <c r="C21">
        <v>185823</v>
      </c>
      <c r="D21" t="s">
        <v>1271</v>
      </c>
      <c r="E21" t="s">
        <v>1279</v>
      </c>
      <c r="F21">
        <v>204</v>
      </c>
      <c r="N21">
        <v>0</v>
      </c>
      <c r="O21">
        <v>0</v>
      </c>
      <c r="P21">
        <v>0</v>
      </c>
      <c r="Q21" s="1021">
        <v>0</v>
      </c>
      <c r="R21">
        <v>0</v>
      </c>
      <c r="T21">
        <v>67</v>
      </c>
      <c r="U21">
        <v>0</v>
      </c>
      <c r="V21">
        <v>19</v>
      </c>
      <c r="W21">
        <v>246.05</v>
      </c>
      <c r="Y21" t="s">
        <v>1273</v>
      </c>
      <c r="Z21" t="s">
        <v>1336</v>
      </c>
      <c r="AA21" t="s">
        <v>1358</v>
      </c>
      <c r="AB21">
        <v>56078603</v>
      </c>
      <c r="AC21" t="s">
        <v>1173</v>
      </c>
      <c r="AD21">
        <v>3</v>
      </c>
    </row>
    <row r="22" spans="3:34" x14ac:dyDescent="0.2">
      <c r="C22">
        <v>185824</v>
      </c>
      <c r="D22" t="s">
        <v>1280</v>
      </c>
      <c r="E22" t="s">
        <v>1287</v>
      </c>
      <c r="F22">
        <v>526</v>
      </c>
      <c r="AB22">
        <v>56078603</v>
      </c>
      <c r="AC22" t="s">
        <v>1173</v>
      </c>
    </row>
    <row r="23" spans="3:34" x14ac:dyDescent="0.2">
      <c r="C23">
        <v>185825</v>
      </c>
      <c r="D23" t="s">
        <v>1289</v>
      </c>
      <c r="E23" t="s">
        <v>1287</v>
      </c>
      <c r="F23">
        <v>23</v>
      </c>
      <c r="AB23">
        <v>56078603</v>
      </c>
      <c r="AC23" t="s">
        <v>1173</v>
      </c>
    </row>
    <row r="24" spans="3:34" x14ac:dyDescent="0.2">
      <c r="C24">
        <v>185826</v>
      </c>
      <c r="D24" t="s">
        <v>1330</v>
      </c>
      <c r="E24" t="s">
        <v>1339</v>
      </c>
      <c r="F24">
        <v>993</v>
      </c>
      <c r="I24">
        <v>42.18</v>
      </c>
      <c r="N24">
        <v>8.44</v>
      </c>
      <c r="O24">
        <v>0</v>
      </c>
      <c r="P24">
        <v>0</v>
      </c>
      <c r="Q24" s="1021">
        <v>0</v>
      </c>
      <c r="R24">
        <v>16.87</v>
      </c>
      <c r="T24">
        <v>67</v>
      </c>
      <c r="U24">
        <v>0</v>
      </c>
      <c r="V24">
        <v>131</v>
      </c>
      <c r="X24">
        <v>21.84</v>
      </c>
      <c r="Y24" t="s">
        <v>1333</v>
      </c>
      <c r="Z24" t="s">
        <v>1332</v>
      </c>
      <c r="AA24" t="s">
        <v>1375</v>
      </c>
      <c r="AB24">
        <v>56078603</v>
      </c>
      <c r="AC24" t="s">
        <v>1332</v>
      </c>
      <c r="AD24">
        <v>2</v>
      </c>
      <c r="AH24">
        <v>131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16"/>
  <dimension ref="A1:R51"/>
  <sheetViews>
    <sheetView rightToLeft="1" topLeftCell="F1" zoomScale="115" zoomScaleNormal="115" workbookViewId="0">
      <selection activeCell="AL8" sqref="AL8"/>
    </sheetView>
  </sheetViews>
  <sheetFormatPr defaultRowHeight="12.75" x14ac:dyDescent="0.2"/>
  <cols>
    <col min="1" max="1" width="6.7109375" customWidth="1"/>
    <col min="2" max="2" width="12.7109375" customWidth="1"/>
    <col min="3" max="3" width="15.28515625" customWidth="1"/>
    <col min="4" max="4" width="13.85546875" customWidth="1"/>
    <col min="5" max="5" width="16.5703125" customWidth="1"/>
    <col min="6" max="8" width="14.7109375" customWidth="1"/>
    <col min="9" max="9" width="14" customWidth="1"/>
    <col min="10" max="10" width="12.28515625" customWidth="1"/>
    <col min="11" max="11" width="13.28515625" customWidth="1"/>
    <col min="12" max="12" width="10.7109375" customWidth="1"/>
    <col min="13" max="13" width="11.7109375" customWidth="1"/>
    <col min="14" max="14" width="11.28515625" customWidth="1"/>
  </cols>
  <sheetData>
    <row r="1" spans="1:18" ht="35.25" x14ac:dyDescent="0.5">
      <c r="A1" s="145"/>
      <c r="B1" s="146" t="s">
        <v>488</v>
      </c>
      <c r="C1" s="146"/>
      <c r="D1" s="1079" t="str">
        <f>ClientList!E6 &amp;" " &amp;ClientList!F6</f>
        <v>ענתבי איל</v>
      </c>
      <c r="E1" s="1079"/>
      <c r="F1" s="1079"/>
      <c r="G1" s="1079"/>
      <c r="H1" s="1079"/>
      <c r="I1" s="1079"/>
      <c r="J1" s="1079"/>
      <c r="K1" s="147"/>
      <c r="L1" s="147"/>
      <c r="M1" s="147"/>
      <c r="N1" s="147"/>
      <c r="O1" s="147"/>
      <c r="P1" s="147"/>
      <c r="Q1" s="148" t="s">
        <v>489</v>
      </c>
    </row>
    <row r="2" spans="1:18" ht="18.75" x14ac:dyDescent="0.3">
      <c r="A2" s="149"/>
      <c r="B2" s="150" t="s">
        <v>490</v>
      </c>
      <c r="C2" s="150"/>
      <c r="D2" s="151"/>
      <c r="E2" s="150"/>
      <c r="F2" s="151"/>
      <c r="G2" s="151"/>
      <c r="H2" s="151"/>
      <c r="I2" s="1030">
        <f>'נתונים ידניים'!D2</f>
        <v>0</v>
      </c>
      <c r="J2" s="151"/>
      <c r="K2" s="151"/>
      <c r="L2" s="152"/>
      <c r="M2" s="149"/>
      <c r="N2" s="151" t="s">
        <v>491</v>
      </c>
      <c r="O2" s="153"/>
      <c r="P2" s="153">
        <f>'נתונים ידניים'!D3</f>
        <v>0</v>
      </c>
      <c r="Q2" s="153"/>
    </row>
    <row r="3" spans="1:18" ht="18.75" x14ac:dyDescent="0.3">
      <c r="A3" s="149"/>
      <c r="B3" s="154" t="s">
        <v>492</v>
      </c>
      <c r="C3" s="154"/>
      <c r="D3" s="153"/>
      <c r="E3" s="154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</row>
    <row r="4" spans="1:18" ht="13.5" thickBot="1" x14ac:dyDescent="0.25">
      <c r="A4" s="155"/>
      <c r="B4" s="155"/>
      <c r="C4" s="155"/>
      <c r="D4" s="156"/>
      <c r="E4" s="157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</row>
    <row r="5" spans="1:18" ht="57" thickBot="1" x14ac:dyDescent="0.25">
      <c r="A5" s="158" t="s">
        <v>493</v>
      </c>
      <c r="B5" s="158" t="s">
        <v>494</v>
      </c>
      <c r="C5" s="158" t="s">
        <v>513</v>
      </c>
      <c r="D5" s="158" t="s">
        <v>228</v>
      </c>
      <c r="E5" s="159" t="s">
        <v>495</v>
      </c>
      <c r="F5" s="158" t="s">
        <v>1073</v>
      </c>
      <c r="G5" s="158" t="s">
        <v>1074</v>
      </c>
      <c r="H5" s="158" t="s">
        <v>1016</v>
      </c>
      <c r="I5" s="158" t="s">
        <v>497</v>
      </c>
      <c r="J5" s="160" t="s">
        <v>498</v>
      </c>
      <c r="K5" s="161" t="s">
        <v>27</v>
      </c>
      <c r="L5" s="161" t="s">
        <v>16</v>
      </c>
      <c r="M5" s="162" t="s">
        <v>249</v>
      </c>
      <c r="N5" s="163" t="s">
        <v>250</v>
      </c>
      <c r="O5" s="163" t="s">
        <v>499</v>
      </c>
      <c r="P5" s="163" t="s">
        <v>500</v>
      </c>
      <c r="Q5" s="163" t="s">
        <v>501</v>
      </c>
      <c r="R5" s="1042" t="s">
        <v>521</v>
      </c>
    </row>
    <row r="6" spans="1:18" ht="50.1" customHeight="1" x14ac:dyDescent="0.2">
      <c r="A6" s="164">
        <f>IF(main!A9&gt;0,main!A9,"")</f>
        <v>1</v>
      </c>
      <c r="B6" s="165" t="str">
        <f>IF(main!B9&gt;0,main!B9,"")</f>
        <v>1595222</v>
      </c>
      <c r="C6" s="165" t="str">
        <f>IF(main!C9&gt;0,main!C9,"")</f>
        <v/>
      </c>
      <c r="D6" s="165" t="str">
        <f>IF(main!D9&gt;0,main!D9,"")</f>
        <v>כלל</v>
      </c>
      <c r="E6" s="165" t="str">
        <f>IF(main!E9&gt;0,main!E9,"")</f>
        <v/>
      </c>
      <c r="F6" s="165" t="str">
        <f>main!N9</f>
        <v>משתתף ברווחים</v>
      </c>
      <c r="G6" s="165" t="str">
        <f>IF(main!K9&gt;0,main!K9,"")</f>
        <v>שכיר</v>
      </c>
      <c r="H6" s="165" t="str">
        <f>IF(main!O9&gt;0,main!O9,"")</f>
        <v>מוקפא</v>
      </c>
      <c r="I6" s="983" t="str">
        <f>IF(main!R9&gt;0,main!R9,"")</f>
        <v>01/01/1900</v>
      </c>
      <c r="J6" s="164">
        <f>IF(main!CR9+main!CS9&gt;0,main!CR9+main!CS9,0)</f>
        <v>0</v>
      </c>
      <c r="K6" s="164">
        <f>main!DP9</f>
        <v>0</v>
      </c>
      <c r="L6" s="996">
        <f>main!AG9</f>
        <v>0</v>
      </c>
      <c r="M6" s="164">
        <f>SUM(J6:L6)</f>
        <v>0</v>
      </c>
      <c r="N6" s="164">
        <f>IF(main!CV9&gt;0,main!CV9,0)</f>
        <v>0</v>
      </c>
      <c r="O6" s="164">
        <f>IF(main!ED9&gt;0,main!ED9,0)</f>
        <v>0</v>
      </c>
      <c r="P6" s="164">
        <f>IF(main!CX9&gt;0,main!CX9,0)</f>
        <v>0</v>
      </c>
      <c r="Q6" s="164">
        <f>IF(main!DO9&gt;0,main!DO9,0)</f>
        <v>0</v>
      </c>
      <c r="R6" s="1043" t="str">
        <f>IF('נתונים ידניים'!O10&lt;&gt;"",'נתונים ידניים'!O10," ")</f>
        <v xml:space="preserve"> </v>
      </c>
    </row>
    <row r="7" spans="1:18" ht="50.1" customHeight="1" x14ac:dyDescent="0.2">
      <c r="A7" s="164">
        <f>IF(main!A10&gt;0,main!A10,"")</f>
        <v>2</v>
      </c>
      <c r="B7" s="165" t="str">
        <f>IF(main!B10&gt;0,main!B10,"")</f>
        <v>1394362</v>
      </c>
      <c r="C7" s="165" t="str">
        <f>IF(main!C10&gt;0,main!C10,"")</f>
        <v>קופת גמל</v>
      </c>
      <c r="D7" s="165" t="str">
        <f>IF(main!D10&gt;0,main!D10,"")</f>
        <v>ארם גמולים - חברה לניהול קופות גמל בע"מ</v>
      </c>
      <c r="E7" s="165" t="str">
        <f>IF(main!E10&gt;0,main!E10,"")</f>
        <v>ארם-קופת גמל לתגמולים של ארגון הרופאים עובדי מדינה</v>
      </c>
      <c r="F7" s="165" t="str">
        <f>main!N10</f>
        <v>משתתף ברווחים</v>
      </c>
      <c r="G7" s="165" t="str">
        <f>IF(main!K10&gt;0,main!K10,"")</f>
        <v>עצמאי</v>
      </c>
      <c r="H7" s="165" t="str">
        <f>IF(main!O10&gt;0,main!O10,"")</f>
        <v>פעיל</v>
      </c>
      <c r="I7" s="983" t="str">
        <f>IF(main!R10&gt;0,main!R10,"")</f>
        <v>01/11/2011</v>
      </c>
      <c r="J7" s="164">
        <f>IF(main!CR10+main!CS10&gt;0,main!CR10+main!CS10,0)</f>
        <v>0</v>
      </c>
      <c r="K7" s="164">
        <f>main!DP10</f>
        <v>0</v>
      </c>
      <c r="L7" s="996">
        <f>main!AG10</f>
        <v>0</v>
      </c>
      <c r="M7" s="164">
        <f t="shared" ref="M7:M48" si="0">SUM(J7:L7)</f>
        <v>0</v>
      </c>
      <c r="N7" s="164">
        <f>IF(main!CV10&gt;0,main!CV10,0)</f>
        <v>0</v>
      </c>
      <c r="O7" s="164">
        <f>IF(main!ED10&gt;0,main!ED10,0)</f>
        <v>0</v>
      </c>
      <c r="P7" s="164">
        <f>IF(main!CX10&gt;0,main!CX10,0)</f>
        <v>0</v>
      </c>
      <c r="Q7" s="164">
        <f>IF(main!DO10&gt;0,main!DO10,0)</f>
        <v>0</v>
      </c>
      <c r="R7" s="1043" t="str">
        <f>IF('נתונים ידניים'!O11&lt;&gt;"",'נתונים ידניים'!O11," ")</f>
        <v xml:space="preserve"> </v>
      </c>
    </row>
    <row r="8" spans="1:18" ht="50.1" customHeight="1" x14ac:dyDescent="0.2">
      <c r="A8" s="164">
        <f>IF(main!A11&gt;0,main!A11,"")</f>
        <v>3</v>
      </c>
      <c r="B8" s="165" t="str">
        <f>IF(main!B11&gt;0,main!B11,"")</f>
        <v>1394370</v>
      </c>
      <c r="C8" s="165" t="str">
        <f>IF(main!C11&gt;0,main!C11,"")</f>
        <v>קופת גמל</v>
      </c>
      <c r="D8" s="165" t="str">
        <f>IF(main!D11&gt;0,main!D11,"")</f>
        <v>ארם גמולים - חברה לניהול קופות גמל בע"מ</v>
      </c>
      <c r="E8" s="165" t="str">
        <f>IF(main!E11&gt;0,main!E11,"")</f>
        <v>ארם-קופת גמל לתגמולים של ארגון הרופאים עובדי מדינה</v>
      </c>
      <c r="F8" s="165" t="str">
        <f>main!N11</f>
        <v>משתתף ברווחים</v>
      </c>
      <c r="G8" s="165" t="str">
        <f>IF(main!K11&gt;0,main!K11,"")</f>
        <v>שכיר</v>
      </c>
      <c r="H8" s="165" t="str">
        <f>IF(main!O11&gt;0,main!O11,"")</f>
        <v>פעיל</v>
      </c>
      <c r="I8" s="983" t="str">
        <f>IF(main!R11&gt;0,main!R11,"")</f>
        <v>02/03/2008</v>
      </c>
      <c r="J8" s="164">
        <f>IF(main!CR11+main!CS11&gt;0,main!CR11+main!CS11,0)</f>
        <v>0</v>
      </c>
      <c r="K8" s="164">
        <f>main!DP11</f>
        <v>0</v>
      </c>
      <c r="L8" s="996">
        <f>main!AG11</f>
        <v>0</v>
      </c>
      <c r="M8" s="164">
        <f t="shared" si="0"/>
        <v>0</v>
      </c>
      <c r="N8" s="164">
        <f>IF(main!CV11&gt;0,main!CV11,0)</f>
        <v>0</v>
      </c>
      <c r="O8" s="164">
        <f>IF(main!ED11&gt;0,main!ED11,0)</f>
        <v>0</v>
      </c>
      <c r="P8" s="164">
        <f>IF(main!CX11&gt;0,main!CX11,0)</f>
        <v>0</v>
      </c>
      <c r="Q8" s="164">
        <f>IF(main!DO11&gt;0,main!DO11,0)</f>
        <v>0</v>
      </c>
      <c r="R8" s="1043" t="str">
        <f>IF('נתונים ידניים'!O12&lt;&gt;"",'נתונים ידניים'!O12," ")</f>
        <v xml:space="preserve"> </v>
      </c>
    </row>
    <row r="9" spans="1:18" ht="50.1" customHeight="1" x14ac:dyDescent="0.2">
      <c r="A9" s="164">
        <f>IF(main!A12&gt;0,main!A12,"")</f>
        <v>4</v>
      </c>
      <c r="B9" s="165" t="str">
        <f>IF(main!B12&gt;0,main!B12,"")</f>
        <v>630251455</v>
      </c>
      <c r="C9" s="165" t="str">
        <f>IF(main!C12&gt;0,main!C12,"")</f>
        <v>קרן פנסיה</v>
      </c>
      <c r="D9" s="165" t="str">
        <f>IF(main!D12&gt;0,main!D12,"")</f>
        <v>מגדל מקפת פנסיה וגמל</v>
      </c>
      <c r="E9" s="165" t="str">
        <f>IF(main!E12&gt;0,main!E12,"")</f>
        <v>מקפת אישית</v>
      </c>
      <c r="F9" s="165" t="str">
        <f>main!N12</f>
        <v>משתתף ברווחים</v>
      </c>
      <c r="G9" s="165" t="str">
        <f>IF(main!K12&gt;0,main!K12,"")</f>
        <v>שכיר</v>
      </c>
      <c r="H9" s="165" t="str">
        <f>IF(main!O12&gt;0,main!O12,"")</f>
        <v>פעיל</v>
      </c>
      <c r="I9" s="983" t="str">
        <f>IF(main!R12&gt;0,main!R12,"")</f>
        <v>02/03/2008</v>
      </c>
      <c r="J9" s="164">
        <f>IF(main!CR12+main!CS12&gt;0,main!CR12+main!CS12,0)</f>
        <v>0</v>
      </c>
      <c r="K9" s="164">
        <f>main!DP12</f>
        <v>0</v>
      </c>
      <c r="L9" s="996">
        <f>main!AG12</f>
        <v>0</v>
      </c>
      <c r="M9" s="164">
        <f t="shared" si="0"/>
        <v>0</v>
      </c>
      <c r="N9" s="164">
        <f>IF(main!CV12&gt;0,main!CV12,0)</f>
        <v>0</v>
      </c>
      <c r="O9" s="164">
        <f>IF(main!ED12&gt;0,main!ED12,0)</f>
        <v>713.34</v>
      </c>
      <c r="P9" s="164">
        <f>IF(main!CX12&gt;0,main!CX12,0)</f>
        <v>0</v>
      </c>
      <c r="Q9" s="164">
        <f>IF(main!DO12&gt;0,main!DO12,0)</f>
        <v>0</v>
      </c>
      <c r="R9" s="1043" t="str">
        <f>IF('נתונים ידניים'!O13&lt;&gt;"",'נתונים ידניים'!O13," ")</f>
        <v xml:space="preserve"> </v>
      </c>
    </row>
    <row r="10" spans="1:18" ht="50.1" customHeight="1" x14ac:dyDescent="0.2">
      <c r="A10" s="164">
        <f>IF(main!A13&gt;0,main!A13,"")</f>
        <v>5</v>
      </c>
      <c r="B10" s="165" t="str">
        <f>IF(main!B13&gt;0,main!B13,"")</f>
        <v>20047373</v>
      </c>
      <c r="C10" s="165" t="str">
        <f>IF(main!C13&gt;0,main!C13,"")</f>
        <v>קופת גמל</v>
      </c>
      <c r="D10" s="165" t="str">
        <f>IF(main!D13&gt;0,main!D13,"")</f>
        <v>מנורה מבטחים פנסיה וגמל בעמ</v>
      </c>
      <c r="E10" s="165" t="str">
        <f>IF(main!E13&gt;0,main!E13,"")</f>
        <v>מנורה מבטחים אמיר כללי</v>
      </c>
      <c r="F10" s="165" t="str">
        <f>main!N13</f>
        <v>משתתף ברווחים</v>
      </c>
      <c r="G10" s="165" t="str">
        <f>IF(main!K13&gt;0,main!K13,"")</f>
        <v>שכיר</v>
      </c>
      <c r="H10" s="165" t="str">
        <f>IF(main!O13&gt;0,main!O13,"")</f>
        <v>מוקפא</v>
      </c>
      <c r="I10" s="983" t="str">
        <f>IF(main!R13&gt;0,main!R13,"")</f>
        <v>01/02/2005</v>
      </c>
      <c r="J10" s="164">
        <f>IF(main!CR13+main!CS13&gt;0,main!CR13+main!CS13,0)</f>
        <v>0</v>
      </c>
      <c r="K10" s="164">
        <f>main!DP13</f>
        <v>0</v>
      </c>
      <c r="L10" s="996">
        <f>main!AG13</f>
        <v>0</v>
      </c>
      <c r="M10" s="164">
        <f t="shared" si="0"/>
        <v>0</v>
      </c>
      <c r="N10" s="164">
        <f>IF(main!CV13&gt;0,main!CV13,0)</f>
        <v>0</v>
      </c>
      <c r="O10" s="164">
        <f>IF(main!ED13&gt;0,main!ED13,0)</f>
        <v>0</v>
      </c>
      <c r="P10" s="164">
        <f>IF(main!CX13&gt;0,main!CX13,0)</f>
        <v>0</v>
      </c>
      <c r="Q10" s="164">
        <f>IF(main!DO13&gt;0,main!DO13,0)</f>
        <v>0</v>
      </c>
      <c r="R10" s="1043" t="str">
        <f>IF('נתונים ידניים'!O14&lt;&gt;"",'נתונים ידניים'!O14," ")</f>
        <v xml:space="preserve"> </v>
      </c>
    </row>
    <row r="11" spans="1:18" ht="50.1" customHeight="1" x14ac:dyDescent="0.2">
      <c r="A11" s="164">
        <f>IF(main!A14&gt;0,main!A14,"")</f>
        <v>6</v>
      </c>
      <c r="B11" s="165" t="str">
        <f>IF(main!B14&gt;0,main!B14,"")</f>
        <v>2296587</v>
      </c>
      <c r="C11" s="165" t="str">
        <f>IF(main!C14&gt;0,main!C14,"")</f>
        <v>קופת גמל</v>
      </c>
      <c r="D11" s="165" t="str">
        <f>IF(main!D14&gt;0,main!D14,"")</f>
        <v>מנורה מבטחים פנסיה וגמל בעמ</v>
      </c>
      <c r="E11" s="165" t="str">
        <f>IF(main!E14&gt;0,main!E14,"")</f>
        <v>מנורה מבטחים תגמולים</v>
      </c>
      <c r="F11" s="165" t="str">
        <f>main!N14</f>
        <v>משתתף ברווחים</v>
      </c>
      <c r="G11" s="165" t="str">
        <f>IF(main!K14&gt;0,main!K14,"")</f>
        <v>שכיר</v>
      </c>
      <c r="H11" s="165" t="str">
        <f>IF(main!O14&gt;0,main!O14,"")</f>
        <v>מוקפא</v>
      </c>
      <c r="I11" s="983" t="str">
        <f>IF(main!R14&gt;0,main!R14,"")</f>
        <v>02/01/2005</v>
      </c>
      <c r="J11" s="164">
        <f>IF(main!CR14+main!CS14&gt;0,main!CR14+main!CS14,0)</f>
        <v>0</v>
      </c>
      <c r="K11" s="164">
        <f>main!DP14</f>
        <v>0</v>
      </c>
      <c r="L11" s="996">
        <f>main!AG14</f>
        <v>0</v>
      </c>
      <c r="M11" s="164">
        <f t="shared" si="0"/>
        <v>0</v>
      </c>
      <c r="N11" s="164">
        <f>IF(main!CV14&gt;0,main!CV14,0)</f>
        <v>0</v>
      </c>
      <c r="O11" s="164">
        <f>IF(main!ED14&gt;0,main!ED14,0)</f>
        <v>0</v>
      </c>
      <c r="P11" s="164">
        <f>IF(main!CX14&gt;0,main!CX14,0)</f>
        <v>0</v>
      </c>
      <c r="Q11" s="164">
        <f>IF(main!DO14&gt;0,main!DO14,0)</f>
        <v>0</v>
      </c>
      <c r="R11" s="1043" t="str">
        <f>IF('נתונים ידניים'!O15&lt;&gt;"",'נתונים ידניים'!O15," ")</f>
        <v xml:space="preserve"> </v>
      </c>
    </row>
    <row r="12" spans="1:18" ht="50.1" customHeight="1" x14ac:dyDescent="0.2">
      <c r="A12" s="164">
        <f>IF(main!A15&gt;0,main!A15,"")</f>
        <v>7</v>
      </c>
      <c r="B12" s="165" t="str">
        <f>IF(main!B15&gt;0,main!B15,"")</f>
        <v>56078603</v>
      </c>
      <c r="C12" s="165" t="str">
        <f>IF(main!C15&gt;0,main!C15,"")</f>
        <v>קרן פנסיה</v>
      </c>
      <c r="D12" s="165" t="str">
        <f>IF(main!D15&gt;0,main!D15,"")</f>
        <v>מנורה מבטחים פנסיה וגמל בעמ</v>
      </c>
      <c r="E12" s="165" t="str">
        <f>IF(main!E15&gt;0,main!E15,"")</f>
        <v>מבטחים החדשה פלוס</v>
      </c>
      <c r="F12" s="165" t="str">
        <f>main!N15</f>
        <v>משתתף ברווחים</v>
      </c>
      <c r="G12" s="165" t="str">
        <f>IF(main!K15&gt;0,main!K15,"")</f>
        <v>שכיר</v>
      </c>
      <c r="H12" s="165" t="str">
        <f>IF(main!O15&gt;0,main!O15,"")</f>
        <v>מוקפא</v>
      </c>
      <c r="I12" s="983" t="str">
        <f>IF(main!R15&gt;0,main!R15,"")</f>
        <v>16/08/1994</v>
      </c>
      <c r="J12" s="164">
        <f>IF(main!CR15+main!CS15&gt;0,main!CR15+main!CS15,0)</f>
        <v>0</v>
      </c>
      <c r="K12" s="164">
        <f>main!DP15</f>
        <v>0</v>
      </c>
      <c r="L12" s="996">
        <f>main!AG15</f>
        <v>0</v>
      </c>
      <c r="M12" s="164">
        <f t="shared" si="0"/>
        <v>0</v>
      </c>
      <c r="N12" s="164">
        <f>IF(main!CV15&gt;0,main!CV15,0)</f>
        <v>0</v>
      </c>
      <c r="O12" s="164">
        <f>IF(main!ED15&gt;0,main!ED15,0)</f>
        <v>0</v>
      </c>
      <c r="P12" s="164">
        <f>IF(main!CX15&gt;0,main!CX15,0)</f>
        <v>0</v>
      </c>
      <c r="Q12" s="164">
        <f>IF(main!DO15&gt;0,main!DO15,0)</f>
        <v>0</v>
      </c>
      <c r="R12" s="1043" t="str">
        <f>IF('נתונים ידניים'!O16&lt;&gt;"",'נתונים ידניים'!O16," ")</f>
        <v xml:space="preserve"> </v>
      </c>
    </row>
    <row r="13" spans="1:18" ht="50.1" customHeight="1" x14ac:dyDescent="0.2">
      <c r="A13" s="164">
        <f>IF(main!A16&gt;0,main!A16,"")</f>
        <v>8</v>
      </c>
      <c r="B13" s="165" t="str">
        <f>IF(main!B16&gt;0,main!B16,"")</f>
        <v>4355788</v>
      </c>
      <c r="C13" s="165" t="str">
        <f>IF(main!C16&gt;0,main!C16,"")</f>
        <v>קופת גמל</v>
      </c>
      <c r="D13" s="165" t="str">
        <f>IF(main!D16&gt;0,main!D16,"")</f>
        <v xml:space="preserve">אלטשולר שחם  גמל ופנסיה </v>
      </c>
      <c r="E13" s="165" t="str">
        <f>IF(main!E16&gt;0,main!E16,"")</f>
        <v>אלטשולר שחם גמל</v>
      </c>
      <c r="F13" s="165" t="str">
        <f>main!N16</f>
        <v>משתתף ברווחים</v>
      </c>
      <c r="G13" s="165" t="str">
        <f>IF(main!K16&gt;0,main!K16,"")</f>
        <v>שכיר</v>
      </c>
      <c r="H13" s="165" t="str">
        <f>IF(main!O16&gt;0,main!O16,"")</f>
        <v>מוקפא</v>
      </c>
      <c r="I13" s="983" t="str">
        <f>IF(main!R16&gt;0,main!R16,"")</f>
        <v>01/01/2007</v>
      </c>
      <c r="J13" s="164">
        <f>IF(main!CR16+main!CS16&gt;0,main!CR16+main!CS16,0)</f>
        <v>1</v>
      </c>
      <c r="K13" s="164">
        <f>main!DP16</f>
        <v>0</v>
      </c>
      <c r="L13" s="996">
        <f>main!AG16</f>
        <v>0</v>
      </c>
      <c r="M13" s="164">
        <f t="shared" si="0"/>
        <v>1</v>
      </c>
      <c r="N13" s="164">
        <f>IF(main!CV16&gt;0,main!CV16,0)</f>
        <v>0</v>
      </c>
      <c r="O13" s="164">
        <f>IF(main!ED16&gt;0,main!ED16,0)</f>
        <v>0</v>
      </c>
      <c r="P13" s="164">
        <f>IF(main!CX16&gt;0,main!CX16,0)</f>
        <v>0</v>
      </c>
      <c r="Q13" s="164">
        <f>IF(main!DO16&gt;0,main!DO16,0)</f>
        <v>0</v>
      </c>
      <c r="R13" s="1043" t="str">
        <f>IF('נתונים ידניים'!O17&lt;&gt;"",'נתונים ידניים'!O17," ")</f>
        <v xml:space="preserve"> </v>
      </c>
    </row>
    <row r="14" spans="1:18" ht="50.1" customHeight="1" x14ac:dyDescent="0.2">
      <c r="A14" s="164">
        <f>IF(main!A17&gt;0,main!A17,"")</f>
        <v>9</v>
      </c>
      <c r="B14" s="165" t="str">
        <f>IF(main!B17&gt;0,main!B17,"")</f>
        <v>69002</v>
      </c>
      <c r="C14" s="165" t="str">
        <f>IF(main!C17&gt;0,main!C17,"")</f>
        <v>קרן פנסיה</v>
      </c>
      <c r="D14" s="165" t="str">
        <f>IF(main!D17&gt;0,main!D17,"")</f>
        <v>פסגות קופות גמל ופנסיה בע"מ</v>
      </c>
      <c r="E14" s="165" t="str">
        <f>IF(main!E17&gt;0,main!E17,"")</f>
        <v>תשורה מקיפה</v>
      </c>
      <c r="F14" s="165" t="str">
        <f>main!N17</f>
        <v>משתתף ברווחים</v>
      </c>
      <c r="G14" s="165" t="str">
        <f>IF(main!K17&gt;0,main!K17,"")</f>
        <v>שכיר</v>
      </c>
      <c r="H14" s="165" t="str">
        <f>IF(main!O17&gt;0,main!O17,"")</f>
        <v>מוקפא</v>
      </c>
      <c r="I14" s="983" t="str">
        <f>IF(main!R17&gt;0,main!R17,"")</f>
        <v>01/02/2015</v>
      </c>
      <c r="J14" s="164">
        <f>IF(main!CR17+main!CS17&gt;0,main!CR17+main!CS17,0)</f>
        <v>0</v>
      </c>
      <c r="K14" s="164">
        <f>main!DP17</f>
        <v>0</v>
      </c>
      <c r="L14" s="996">
        <f>main!AG17</f>
        <v>0</v>
      </c>
      <c r="M14" s="164">
        <f t="shared" si="0"/>
        <v>0</v>
      </c>
      <c r="N14" s="164">
        <f>IF(main!CV17&gt;0,main!CV17,0)</f>
        <v>0</v>
      </c>
      <c r="O14" s="164">
        <f>IF(main!ED17&gt;0,main!ED17,0)</f>
        <v>0</v>
      </c>
      <c r="P14" s="164">
        <f>IF(main!CX17&gt;0,main!CX17,0)</f>
        <v>0</v>
      </c>
      <c r="Q14" s="164">
        <f>IF(main!DO17&gt;0,main!DO17,0)</f>
        <v>0</v>
      </c>
      <c r="R14" s="1043" t="str">
        <f>IF('נתונים ידניים'!O18&lt;&gt;"",'נתונים ידניים'!O18," ")</f>
        <v xml:space="preserve"> </v>
      </c>
    </row>
    <row r="15" spans="1:18" ht="50.1" customHeight="1" x14ac:dyDescent="0.2">
      <c r="A15" s="164">
        <f>IF(main!A18&gt;0,main!A18,"")</f>
        <v>10</v>
      </c>
      <c r="B15" s="165" t="str">
        <f>IF(main!B18&gt;0,main!B18,"")</f>
        <v>911245475</v>
      </c>
      <c r="C15" s="165" t="str">
        <f>IF(main!C18&gt;0,main!C18,"")</f>
        <v>פוליסת ביטוח חיים משולב חיסכון</v>
      </c>
      <c r="D15" s="165" t="str">
        <f>IF(main!D18&gt;0,main!D18,"")</f>
        <v>הראל חברה לביטוח בע"מ</v>
      </c>
      <c r="E15" s="165" t="str">
        <f>IF(main!E18&gt;0,main!E18,"")</f>
        <v xml:space="preserve">הראל מגוון עסקי למנהלים                           </v>
      </c>
      <c r="F15" s="165" t="str">
        <f>main!N18</f>
        <v>משתתף ברווחים</v>
      </c>
      <c r="G15" s="165" t="str">
        <f>IF(main!K18&gt;0,main!K18,"")</f>
        <v>שכיר</v>
      </c>
      <c r="H15" s="165" t="str">
        <f>IF(main!O18&gt;0,main!O18,"")</f>
        <v>פעיל</v>
      </c>
      <c r="I15" s="983" t="str">
        <f>IF(main!R18&gt;0,main!R18,"")</f>
        <v>01/02/1999</v>
      </c>
      <c r="J15" s="164">
        <f>IF(main!CR18+main!CS18&gt;0,main!CR18+main!CS18,0)</f>
        <v>0</v>
      </c>
      <c r="K15" s="164">
        <f>main!DP18</f>
        <v>0</v>
      </c>
      <c r="L15" s="996">
        <f>main!AG18</f>
        <v>0</v>
      </c>
      <c r="M15" s="164">
        <f t="shared" si="0"/>
        <v>0</v>
      </c>
      <c r="N15" s="164">
        <f>IF(main!CV18&gt;0,main!CV18,0)</f>
        <v>0</v>
      </c>
      <c r="O15" s="164">
        <f>IF(main!ED18&gt;0,main!ED18,0)</f>
        <v>0</v>
      </c>
      <c r="P15" s="164">
        <f>IF(main!CX18&gt;0,main!CX18,0)</f>
        <v>0</v>
      </c>
      <c r="Q15" s="164">
        <f>IF(main!DO18&gt;0,main!DO18,0)</f>
        <v>0</v>
      </c>
      <c r="R15" s="1043" t="str">
        <f>IF('נתונים ידניים'!O19&lt;&gt;"",'נתונים ידניים'!O19," ")</f>
        <v xml:space="preserve"> </v>
      </c>
    </row>
    <row r="16" spans="1:18" ht="50.1" customHeight="1" x14ac:dyDescent="0.2">
      <c r="A16" s="164">
        <f>IF(main!A19&gt;0,main!A19,"")</f>
        <v>11</v>
      </c>
      <c r="B16" s="165" t="str">
        <f>IF(main!B19&gt;0,main!B19,"")</f>
        <v>922972106</v>
      </c>
      <c r="C16" s="165" t="str">
        <f>IF(main!C19&gt;0,main!C19,"")</f>
        <v>פוליסת ביטוח חיים משולב חיסכון</v>
      </c>
      <c r="D16" s="165" t="str">
        <f>IF(main!D19&gt;0,main!D19,"")</f>
        <v>הראל חברה לביטוח בע"מ</v>
      </c>
      <c r="E16" s="165" t="str">
        <f>IF(main!E19&gt;0,main!E19,"")</f>
        <v xml:space="preserve">מגוון לשכירים קצבה לא משלמת                       </v>
      </c>
      <c r="F16" s="165" t="str">
        <f>main!N19</f>
        <v>משתתף ברווחים</v>
      </c>
      <c r="G16" s="165" t="str">
        <f>IF(main!K19&gt;0,main!K19,"")</f>
        <v>עצמאי</v>
      </c>
      <c r="H16" s="165" t="str">
        <f>IF(main!O19&gt;0,main!O19,"")</f>
        <v>פעיל</v>
      </c>
      <c r="I16" s="983" t="str">
        <f>IF(main!R19&gt;0,main!R19,"")</f>
        <v>01/02/2000</v>
      </c>
      <c r="J16" s="164">
        <f>IF(main!CR19+main!CS19&gt;0,main!CR19+main!CS19,0)</f>
        <v>0</v>
      </c>
      <c r="K16" s="164">
        <f>main!DP19</f>
        <v>0</v>
      </c>
      <c r="L16" s="996">
        <f>main!AG19</f>
        <v>0</v>
      </c>
      <c r="M16" s="164">
        <f t="shared" si="0"/>
        <v>0</v>
      </c>
      <c r="N16" s="164">
        <f>IF(main!CV19&gt;0,main!CV19,0)</f>
        <v>0</v>
      </c>
      <c r="O16" s="164">
        <f>IF(main!ED19&gt;0,main!ED19,0)</f>
        <v>0</v>
      </c>
      <c r="P16" s="164">
        <f>IF(main!CX19&gt;0,main!CX19,0)</f>
        <v>0</v>
      </c>
      <c r="Q16" s="164">
        <f>IF(main!DO19&gt;0,main!DO19,0)</f>
        <v>0</v>
      </c>
      <c r="R16" s="1043" t="str">
        <f>IF('נתונים ידניים'!O20&lt;&gt;"",'נתונים ידניים'!O20," ")</f>
        <v xml:space="preserve"> </v>
      </c>
    </row>
    <row r="17" spans="1:18" ht="50.1" customHeight="1" x14ac:dyDescent="0.2">
      <c r="A17" s="164">
        <f>IF(main!A20&gt;0,main!A20,"")</f>
        <v>12</v>
      </c>
      <c r="B17" s="165" t="str">
        <f>IF(main!B20&gt;0,main!B20,"")</f>
        <v>411113798</v>
      </c>
      <c r="C17" s="165" t="str">
        <f>IF(main!C20&gt;0,main!C20,"")</f>
        <v>פוליסת ביטוח חיים משולב חיסכון</v>
      </c>
      <c r="D17" s="165" t="str">
        <f>IF(main!D20&gt;0,main!D20,"")</f>
        <v>מגדל</v>
      </c>
      <c r="E17" s="165" t="str">
        <f>IF(main!E20&gt;0,main!E20,"")</f>
        <v>יותר</v>
      </c>
      <c r="F17" s="165" t="str">
        <f>main!N20</f>
        <v>משתתף ברווחים</v>
      </c>
      <c r="G17" s="165" t="str">
        <f>IF(main!K20&gt;0,main!K20,"")</f>
        <v>שכיר</v>
      </c>
      <c r="H17" s="165" t="str">
        <f>IF(main!O20&gt;0,main!O20,"")</f>
        <v>פעיל</v>
      </c>
      <c r="I17" s="983" t="str">
        <f>IF(main!R20&gt;0,main!R20,"")</f>
        <v>01/01/1999</v>
      </c>
      <c r="J17" s="164">
        <f>IF(main!CR20+main!CS20&gt;0,main!CR20+main!CS20,0)</f>
        <v>0</v>
      </c>
      <c r="K17" s="164">
        <f>main!DP20</f>
        <v>0</v>
      </c>
      <c r="L17" s="996">
        <f>main!AG20</f>
        <v>0</v>
      </c>
      <c r="M17" s="164">
        <f t="shared" si="0"/>
        <v>0</v>
      </c>
      <c r="N17" s="164">
        <f>IF(main!CV20&gt;0,main!CV20,0)</f>
        <v>0</v>
      </c>
      <c r="O17" s="164">
        <f>IF(main!ED20&gt;0,main!ED20,0)</f>
        <v>0</v>
      </c>
      <c r="P17" s="164">
        <f>IF(main!CX20&gt;0,main!CX20,0)</f>
        <v>0</v>
      </c>
      <c r="Q17" s="164">
        <f>IF(main!DO20&gt;0,main!DO20,0)</f>
        <v>0</v>
      </c>
      <c r="R17" s="1043" t="str">
        <f>IF('נתונים ידניים'!O21&lt;&gt;"",'נתונים ידניים'!O21," ")</f>
        <v xml:space="preserve"> </v>
      </c>
    </row>
    <row r="18" spans="1:18" ht="50.1" customHeight="1" x14ac:dyDescent="0.2">
      <c r="A18" s="164">
        <f>IF(main!A21&gt;0,main!A21,"")</f>
        <v>13</v>
      </c>
      <c r="B18" s="165" t="str">
        <f>IF(main!B21&gt;0,main!B21,"")</f>
        <v>411138484</v>
      </c>
      <c r="C18" s="165" t="str">
        <f>IF(main!C21&gt;0,main!C21,"")</f>
        <v>פוליסת ביטוח חיים משולב חיסכון</v>
      </c>
      <c r="D18" s="165" t="str">
        <f>IF(main!D21&gt;0,main!D21,"")</f>
        <v>מגדל</v>
      </c>
      <c r="E18" s="165" t="str">
        <f>IF(main!E21&gt;0,main!E21,"")</f>
        <v>יותר הון</v>
      </c>
      <c r="F18" s="165" t="str">
        <f>main!N21</f>
        <v>משתתף ברווחים</v>
      </c>
      <c r="G18" s="165" t="str">
        <f>IF(main!K21&gt;0,main!K21,"")</f>
        <v>שכיר</v>
      </c>
      <c r="H18" s="165" t="str">
        <f>IF(main!O21&gt;0,main!O21,"")</f>
        <v>מוקפא</v>
      </c>
      <c r="I18" s="983" t="str">
        <f>IF(main!R21&gt;0,main!R21,"")</f>
        <v>01/07/1988</v>
      </c>
      <c r="J18" s="164">
        <f>IF(main!CR21+main!CS21&gt;0,main!CR21+main!CS21,0)</f>
        <v>0</v>
      </c>
      <c r="K18" s="164">
        <f>main!DP21</f>
        <v>0</v>
      </c>
      <c r="L18" s="996">
        <f>main!AG21</f>
        <v>0</v>
      </c>
      <c r="M18" s="164">
        <f t="shared" si="0"/>
        <v>0</v>
      </c>
      <c r="N18" s="164">
        <f>IF(main!CV21&gt;0,main!CV21,0)</f>
        <v>0</v>
      </c>
      <c r="O18" s="164">
        <f>IF(main!ED21&gt;0,main!ED21,0)</f>
        <v>0</v>
      </c>
      <c r="P18" s="164">
        <f>IF(main!CX21&gt;0,main!CX21,0)</f>
        <v>0</v>
      </c>
      <c r="Q18" s="164">
        <f>IF(main!DO21&gt;0,main!DO21,0)</f>
        <v>0</v>
      </c>
      <c r="R18" s="1043" t="str">
        <f>IF('נתונים ידניים'!O22&lt;&gt;"",'נתונים ידניים'!O22," ")</f>
        <v xml:space="preserve"> </v>
      </c>
    </row>
    <row r="19" spans="1:18" ht="50.1" customHeight="1" x14ac:dyDescent="0.2">
      <c r="A19" s="164">
        <f>IF(main!A22&gt;0,main!A22,"")</f>
        <v>14</v>
      </c>
      <c r="B19" s="165" t="str">
        <f>IF(main!B22&gt;0,main!B22,"")</f>
        <v>323406232</v>
      </c>
      <c r="C19" s="165" t="str">
        <f>IF(main!C22&gt;0,main!C22,"")</f>
        <v>פוליסת ביטוח חיים משולב חיסכון</v>
      </c>
      <c r="D19" s="165" t="str">
        <f>IF(main!D22&gt;0,main!D22,"")</f>
        <v>מגדל</v>
      </c>
      <c r="E19" s="165" t="str">
        <f>IF(main!E22&gt;0,main!E22,"")</f>
        <v>יותר</v>
      </c>
      <c r="F19" s="165" t="str">
        <f>main!N22</f>
        <v>משתתף ברווחים</v>
      </c>
      <c r="G19" s="165" t="str">
        <f>IF(main!K22&gt;0,main!K22,"")</f>
        <v>עצמאי</v>
      </c>
      <c r="H19" s="165" t="str">
        <f>IF(main!O22&gt;0,main!O22,"")</f>
        <v>פעיל</v>
      </c>
      <c r="I19" s="983" t="str">
        <f>IF(main!R22&gt;0,main!R22,"")</f>
        <v>01/07/1994</v>
      </c>
      <c r="J19" s="164">
        <f>IF(main!CR22+main!CS22&gt;0,main!CR22+main!CS22,0)</f>
        <v>0</v>
      </c>
      <c r="K19" s="164">
        <f>main!DP22</f>
        <v>0</v>
      </c>
      <c r="L19" s="996">
        <f>main!AG22</f>
        <v>0</v>
      </c>
      <c r="M19" s="164">
        <f t="shared" si="0"/>
        <v>0</v>
      </c>
      <c r="N19" s="164">
        <f>IF(main!CV22&gt;0,main!CV22,0)</f>
        <v>0</v>
      </c>
      <c r="O19" s="164">
        <f>IF(main!ED22&gt;0,main!ED22,0)</f>
        <v>0</v>
      </c>
      <c r="P19" s="164">
        <f>IF(main!CX22&gt;0,main!CX22,0)</f>
        <v>0</v>
      </c>
      <c r="Q19" s="164">
        <f>IF(main!DO22&gt;0,main!DO22,0)</f>
        <v>166.41</v>
      </c>
      <c r="R19" s="1043" t="str">
        <f>IF('נתונים ידניים'!O23&lt;&gt;"",'נתונים ידניים'!O23," ")</f>
        <v xml:space="preserve"> </v>
      </c>
    </row>
    <row r="20" spans="1:18" ht="50.1" customHeight="1" x14ac:dyDescent="0.2">
      <c r="A20" s="164">
        <f>IF(main!A23&gt;0,main!A23,"")</f>
        <v>15</v>
      </c>
      <c r="B20" s="165" t="str">
        <f>IF(main!B23&gt;0,main!B23,"")</f>
        <v>730141236</v>
      </c>
      <c r="C20" s="165" t="str">
        <f>IF(main!C23&gt;0,main!C23,"")</f>
        <v>פוליסת ביטוח חיים משולב חיסכון</v>
      </c>
      <c r="D20" s="165" t="str">
        <f>IF(main!D23&gt;0,main!D23,"")</f>
        <v>מגדל</v>
      </c>
      <c r="E20" s="165" t="str">
        <f>IF(main!E23&gt;0,main!E23,"")</f>
        <v>יותר</v>
      </c>
      <c r="F20" s="165" t="str">
        <f>main!N23</f>
        <v>משתתף ברווחים</v>
      </c>
      <c r="G20" s="165" t="str">
        <f>IF(main!K23&gt;0,main!K23,"")</f>
        <v>שכיר</v>
      </c>
      <c r="H20" s="165" t="str">
        <f>IF(main!O23&gt;0,main!O23,"")</f>
        <v>מוקפא</v>
      </c>
      <c r="I20" s="983" t="str">
        <f>IF(main!R23&gt;0,main!R23,"")</f>
        <v>01/12/1998</v>
      </c>
      <c r="J20" s="164">
        <f>IF(main!CR23+main!CS23&gt;0,main!CR23+main!CS23,0)</f>
        <v>0</v>
      </c>
      <c r="K20" s="164">
        <f>main!DP23</f>
        <v>0</v>
      </c>
      <c r="L20" s="996">
        <f>main!AG23</f>
        <v>0</v>
      </c>
      <c r="M20" s="164">
        <f t="shared" si="0"/>
        <v>0</v>
      </c>
      <c r="N20" s="164">
        <f>IF(main!CV23&gt;0,main!CV23,0)</f>
        <v>0</v>
      </c>
      <c r="O20" s="164">
        <f>IF(main!ED23&gt;0,main!ED23,0)</f>
        <v>0</v>
      </c>
      <c r="P20" s="164">
        <f>IF(main!CX23&gt;0,main!CX23,0)</f>
        <v>0</v>
      </c>
      <c r="Q20" s="164">
        <f>IF(main!DO23&gt;0,main!DO23,0)</f>
        <v>0</v>
      </c>
      <c r="R20" s="1043" t="str">
        <f>IF('נתונים ידניים'!O24&lt;&gt;"",'נתונים ידניים'!O24," ")</f>
        <v xml:space="preserve"> </v>
      </c>
    </row>
    <row r="21" spans="1:18" ht="50.1" customHeight="1" x14ac:dyDescent="0.2">
      <c r="A21" s="164">
        <f>IF(main!A24&gt;0,main!A24,"")</f>
        <v>16</v>
      </c>
      <c r="B21" s="165" t="str">
        <f>IF(main!B24&gt;0,main!B24,"")</f>
        <v>323158955</v>
      </c>
      <c r="C21" s="165" t="str">
        <f>IF(main!C24&gt;0,main!C24,"")</f>
        <v>פוליסת ביטוח חיים משולב חיסכון</v>
      </c>
      <c r="D21" s="165" t="str">
        <f>IF(main!D24&gt;0,main!D24,"")</f>
        <v>מגדל</v>
      </c>
      <c r="E21" s="165" t="str">
        <f>IF(main!E24&gt;0,main!E24,"")</f>
        <v>יותר</v>
      </c>
      <c r="F21" s="165" t="str">
        <f>main!N24</f>
        <v>משתתף ברווחים</v>
      </c>
      <c r="G21" s="165" t="str">
        <f>IF(main!K24&gt;0,main!K24,"")</f>
        <v>שכיר</v>
      </c>
      <c r="H21" s="165" t="str">
        <f>IF(main!O24&gt;0,main!O24,"")</f>
        <v>פעיל</v>
      </c>
      <c r="I21" s="983" t="str">
        <f>IF(main!R24&gt;0,main!R24,"")</f>
        <v>01/03/1984</v>
      </c>
      <c r="J21" s="164">
        <f>IF(main!CR24+main!CS24&gt;0,main!CR24+main!CS24,0)</f>
        <v>0</v>
      </c>
      <c r="K21" s="164">
        <f>main!DP24</f>
        <v>0</v>
      </c>
      <c r="L21" s="996">
        <f>main!AG24</f>
        <v>0</v>
      </c>
      <c r="M21" s="164">
        <f t="shared" si="0"/>
        <v>0</v>
      </c>
      <c r="N21" s="164">
        <f>IF(main!CV24&gt;0,main!CV24,0)</f>
        <v>0</v>
      </c>
      <c r="O21" s="164">
        <f>IF(main!ED24&gt;0,main!ED24,0)</f>
        <v>0</v>
      </c>
      <c r="P21" s="164">
        <f>IF(main!CX24&gt;0,main!CX24,0)</f>
        <v>0</v>
      </c>
      <c r="Q21" s="164">
        <f>IF(main!DO24&gt;0,main!DO24,0)</f>
        <v>0</v>
      </c>
      <c r="R21" s="1043" t="str">
        <f>IF('נתונים ידניים'!O25&lt;&gt;"",'נתונים ידניים'!O25," ")</f>
        <v xml:space="preserve"> </v>
      </c>
    </row>
    <row r="22" spans="1:18" ht="50.1" customHeight="1" x14ac:dyDescent="0.2">
      <c r="A22" s="164">
        <f>IF(main!A25&gt;0,main!A25,"")</f>
        <v>17</v>
      </c>
      <c r="B22" s="165" t="str">
        <f>IF(main!B25&gt;0,main!B25,"")</f>
        <v>323405593</v>
      </c>
      <c r="C22" s="165" t="str">
        <f>IF(main!C25&gt;0,main!C25,"")</f>
        <v>פוליסת ביטוח חיים משולב חיסכון</v>
      </c>
      <c r="D22" s="165" t="str">
        <f>IF(main!D25&gt;0,main!D25,"")</f>
        <v>מגדל</v>
      </c>
      <c r="E22" s="165" t="str">
        <f>IF(main!E25&gt;0,main!E25,"")</f>
        <v>יותר</v>
      </c>
      <c r="F22" s="165" t="str">
        <f>main!N25</f>
        <v>משתתף ברווחים</v>
      </c>
      <c r="G22" s="165" t="str">
        <f>IF(main!K25&gt;0,main!K25,"")</f>
        <v>שכיר</v>
      </c>
      <c r="H22" s="165" t="str">
        <f>IF(main!O25&gt;0,main!O25,"")</f>
        <v>מוקפא</v>
      </c>
      <c r="I22" s="983" t="str">
        <f>IF(main!R25&gt;0,main!R25,"")</f>
        <v/>
      </c>
      <c r="J22" s="164">
        <f>IF(main!CR25+main!CS25&gt;0,main!CR25+main!CS25,0)</f>
        <v>0</v>
      </c>
      <c r="K22" s="164">
        <f>main!DP25</f>
        <v>0</v>
      </c>
      <c r="L22" s="996">
        <f>main!AG25</f>
        <v>0</v>
      </c>
      <c r="M22" s="164">
        <f t="shared" si="0"/>
        <v>0</v>
      </c>
      <c r="N22" s="164">
        <f>IF(main!CV25&gt;0,main!CV25,0)</f>
        <v>0</v>
      </c>
      <c r="O22" s="164">
        <f>IF(main!ED25&gt;0,main!ED25,0)</f>
        <v>0</v>
      </c>
      <c r="P22" s="164">
        <f>IF(main!CX25&gt;0,main!CX25,0)</f>
        <v>0</v>
      </c>
      <c r="Q22" s="164">
        <f>IF(main!DO25&gt;0,main!DO25,0)</f>
        <v>0</v>
      </c>
      <c r="R22" s="1043" t="str">
        <f>IF('נתונים ידניים'!O26&lt;&gt;"",'נתונים ידניים'!O26," ")</f>
        <v xml:space="preserve"> </v>
      </c>
    </row>
    <row r="23" spans="1:18" ht="50.1" customHeight="1" x14ac:dyDescent="0.2">
      <c r="A23" s="164">
        <f>IF(main!A26&gt;0,main!A26,"")</f>
        <v>18</v>
      </c>
      <c r="B23" s="165" t="str">
        <f>IF(main!B26&gt;0,main!B26,"")</f>
        <v>056078603</v>
      </c>
      <c r="C23" s="165" t="str">
        <f>IF(main!C26&gt;0,main!C26,"")</f>
        <v>קרן פנסיה</v>
      </c>
      <c r="D23" s="165" t="str">
        <f>IF(main!D26&gt;0,main!D26,"")</f>
        <v>מבטחים מוסד לביטוח סוציאלי של העובדים</v>
      </c>
      <c r="E23" s="165" t="str">
        <f>IF(main!E26&gt;0,main!E26,"")</f>
        <v>מקיפה</v>
      </c>
      <c r="F23" s="165" t="str">
        <f>main!N26</f>
        <v>משתתף ברווחים</v>
      </c>
      <c r="G23" s="165" t="str">
        <f>IF(main!K26&gt;0,main!K26,"")</f>
        <v>שכיר</v>
      </c>
      <c r="H23" s="165" t="str">
        <f>IF(main!O26&gt;0,main!O26,"")</f>
        <v>פעיל</v>
      </c>
      <c r="I23" s="983" t="str">
        <f>IF(main!R26&gt;0,main!R26,"")</f>
        <v/>
      </c>
      <c r="J23" s="164">
        <f>IF(main!CR26+main!CS26&gt;0,main!CR26+main!CS26,0)</f>
        <v>0</v>
      </c>
      <c r="K23" s="164">
        <f>main!DP26</f>
        <v>0</v>
      </c>
      <c r="L23" s="996">
        <f>main!AG26</f>
        <v>0</v>
      </c>
      <c r="M23" s="164">
        <f t="shared" si="0"/>
        <v>0</v>
      </c>
      <c r="N23" s="164">
        <f>IF(main!CV26&gt;0,main!CV26,0)</f>
        <v>0</v>
      </c>
      <c r="O23" s="164">
        <f>IF(main!ED26&gt;0,main!ED26,0)</f>
        <v>0</v>
      </c>
      <c r="P23" s="164">
        <f>IF(main!CX26&gt;0,main!CX26,0)</f>
        <v>0</v>
      </c>
      <c r="Q23" s="164">
        <f>IF(main!DO26&gt;0,main!DO26,0)</f>
        <v>0</v>
      </c>
      <c r="R23" s="1043" t="str">
        <f>IF('נתונים ידניים'!O27&lt;&gt;"",'נתונים ידניים'!O27," ")</f>
        <v xml:space="preserve"> </v>
      </c>
    </row>
    <row r="24" spans="1:18" ht="50.1" customHeight="1" x14ac:dyDescent="0.2">
      <c r="A24" s="164" t="str">
        <f>IF(main!A27&gt;0,main!A27,"")</f>
        <v/>
      </c>
      <c r="B24" s="165" t="str">
        <f>IF(main!B27&gt;0,main!B27,"")</f>
        <v/>
      </c>
      <c r="C24" s="165" t="str">
        <f>IF(main!C27&gt;0,main!C27,"")</f>
        <v/>
      </c>
      <c r="D24" s="165" t="str">
        <f>IF(main!D27&gt;0,main!D27,"")</f>
        <v/>
      </c>
      <c r="E24" s="165" t="str">
        <f>IF(main!E27&gt;0,main!E27,"")</f>
        <v/>
      </c>
      <c r="F24" s="165" t="str">
        <f>main!N27</f>
        <v/>
      </c>
      <c r="G24" s="165" t="str">
        <f>IF(main!K27&gt;0,main!K27,"")</f>
        <v/>
      </c>
      <c r="H24" s="165" t="str">
        <f>IF(main!O27&gt;0,main!O27,"")</f>
        <v/>
      </c>
      <c r="I24" s="983" t="str">
        <f>IF(main!R27&gt;0,main!R27,"")</f>
        <v xml:space="preserve"> </v>
      </c>
      <c r="J24" s="164">
        <f>IF(main!CR27+main!CS27&gt;0,main!CR27+main!CS27,0)</f>
        <v>0</v>
      </c>
      <c r="K24" s="164">
        <f>main!DP27</f>
        <v>0</v>
      </c>
      <c r="L24" s="996">
        <f>main!AG27</f>
        <v>0</v>
      </c>
      <c r="M24" s="164">
        <f t="shared" si="0"/>
        <v>0</v>
      </c>
      <c r="N24" s="164">
        <f>IF(main!CV27&gt;0,main!CV27,0)</f>
        <v>0</v>
      </c>
      <c r="O24" s="164">
        <f>IF(main!ED27&gt;0,main!ED27,0)</f>
        <v>0</v>
      </c>
      <c r="P24" s="164">
        <f>IF(main!CX27&gt;0,main!CX27,0)</f>
        <v>0</v>
      </c>
      <c r="Q24" s="164">
        <f>IF(main!DO27&gt;0,main!DO27,0)</f>
        <v>0</v>
      </c>
      <c r="R24" s="1043" t="str">
        <f>IF('נתונים ידניים'!O28&lt;&gt;"",'נתונים ידניים'!O28," ")</f>
        <v xml:space="preserve"> </v>
      </c>
    </row>
    <row r="25" spans="1:18" ht="50.1" customHeight="1" x14ac:dyDescent="0.2">
      <c r="A25" s="164" t="str">
        <f>IF(main!A28&gt;0,main!A28,"")</f>
        <v/>
      </c>
      <c r="B25" s="165" t="str">
        <f>IF(main!B28&gt;0,main!B28,"")</f>
        <v/>
      </c>
      <c r="C25" s="165" t="str">
        <f>IF(main!C28&gt;0,main!C28,"")</f>
        <v/>
      </c>
      <c r="D25" s="165" t="str">
        <f>IF(main!D28&gt;0,main!D28,"")</f>
        <v/>
      </c>
      <c r="E25" s="165" t="str">
        <f>IF(main!E28&gt;0,main!E28,"")</f>
        <v/>
      </c>
      <c r="F25" s="165" t="str">
        <f>main!N28</f>
        <v/>
      </c>
      <c r="G25" s="165" t="str">
        <f>IF(main!K28&gt;0,main!K28,"")</f>
        <v/>
      </c>
      <c r="H25" s="165" t="str">
        <f>IF(main!O28&gt;0,main!O28,"")</f>
        <v/>
      </c>
      <c r="I25" s="983" t="str">
        <f>IF(main!R28&gt;0,main!R28,"")</f>
        <v xml:space="preserve"> </v>
      </c>
      <c r="J25" s="164">
        <f>IF(main!CR28+main!CS28&gt;0,main!CR28+main!CS28,0)</f>
        <v>0</v>
      </c>
      <c r="K25" s="164">
        <f>main!DP28</f>
        <v>0</v>
      </c>
      <c r="L25" s="996">
        <f>main!AG28</f>
        <v>0</v>
      </c>
      <c r="M25" s="164">
        <f t="shared" si="0"/>
        <v>0</v>
      </c>
      <c r="N25" s="164">
        <f>IF(main!CV28&gt;0,main!CV28,0)</f>
        <v>0</v>
      </c>
      <c r="O25" s="164">
        <f>IF(main!ED28&gt;0,main!ED28,0)</f>
        <v>0</v>
      </c>
      <c r="P25" s="164">
        <f>IF(main!CX28&gt;0,main!CX28,0)</f>
        <v>0</v>
      </c>
      <c r="Q25" s="164">
        <f>IF(main!DO28&gt;0,main!DO28,0)</f>
        <v>0</v>
      </c>
      <c r="R25" s="1043" t="str">
        <f>IF('נתונים ידניים'!O29&lt;&gt;"",'נתונים ידניים'!O29," ")</f>
        <v xml:space="preserve"> </v>
      </c>
    </row>
    <row r="26" spans="1:18" ht="50.1" customHeight="1" x14ac:dyDescent="0.2">
      <c r="A26" s="164" t="str">
        <f>IF(main!A29&gt;0,main!A29,"")</f>
        <v/>
      </c>
      <c r="B26" s="165" t="str">
        <f>IF(main!B29&gt;0,main!B29,"")</f>
        <v/>
      </c>
      <c r="C26" s="165" t="str">
        <f>IF(main!C29&gt;0,main!C29,"")</f>
        <v/>
      </c>
      <c r="D26" s="165" t="str">
        <f>IF(main!D29&gt;0,main!D29,"")</f>
        <v/>
      </c>
      <c r="E26" s="165" t="str">
        <f>IF(main!E29&gt;0,main!E29,"")</f>
        <v/>
      </c>
      <c r="F26" s="165" t="str">
        <f>main!N29</f>
        <v/>
      </c>
      <c r="G26" s="165" t="str">
        <f>IF(main!K29&gt;0,main!K29,"")</f>
        <v/>
      </c>
      <c r="H26" s="165" t="str">
        <f>IF(main!O29&gt;0,main!O29,"")</f>
        <v/>
      </c>
      <c r="I26" s="983" t="str">
        <f>IF(main!R29&gt;0,main!R29,"")</f>
        <v xml:space="preserve"> </v>
      </c>
      <c r="J26" s="164">
        <f>IF(main!CR29+main!CS29&gt;0,main!CR29+main!CS29,0)</f>
        <v>0</v>
      </c>
      <c r="K26" s="164">
        <f>main!DP29</f>
        <v>0</v>
      </c>
      <c r="L26" s="996">
        <f>main!AG29</f>
        <v>0</v>
      </c>
      <c r="M26" s="164">
        <f t="shared" si="0"/>
        <v>0</v>
      </c>
      <c r="N26" s="164">
        <f>IF(main!CV29&gt;0,main!CV29,0)</f>
        <v>0</v>
      </c>
      <c r="O26" s="164">
        <f>IF(main!ED29&gt;0,main!ED29,0)</f>
        <v>0</v>
      </c>
      <c r="P26" s="164">
        <f>IF(main!CX29&gt;0,main!CX29,0)</f>
        <v>0</v>
      </c>
      <c r="Q26" s="164">
        <f>IF(main!DO29&gt;0,main!DO29,0)</f>
        <v>0</v>
      </c>
      <c r="R26" s="1043" t="str">
        <f>IF('נתונים ידניים'!O30&lt;&gt;"",'נתונים ידניים'!O30," ")</f>
        <v xml:space="preserve"> </v>
      </c>
    </row>
    <row r="27" spans="1:18" ht="50.1" customHeight="1" x14ac:dyDescent="0.2">
      <c r="A27" s="164" t="str">
        <f>IF(main!A30&gt;0,main!A30,"")</f>
        <v/>
      </c>
      <c r="B27" s="165" t="str">
        <f>IF(main!B30&gt;0,main!B30,"")</f>
        <v/>
      </c>
      <c r="C27" s="165" t="str">
        <f>IF(main!C30&gt;0,main!C30,"")</f>
        <v/>
      </c>
      <c r="D27" s="165" t="str">
        <f>IF(main!D30&gt;0,main!D30,"")</f>
        <v/>
      </c>
      <c r="E27" s="165" t="str">
        <f>IF(main!E30&gt;0,main!E30,"")</f>
        <v/>
      </c>
      <c r="F27" s="165" t="str">
        <f>main!N30</f>
        <v/>
      </c>
      <c r="G27" s="165" t="str">
        <f>IF(main!K30&gt;0,main!K30,"")</f>
        <v/>
      </c>
      <c r="H27" s="165" t="str">
        <f>IF(main!O30&gt;0,main!O30,"")</f>
        <v/>
      </c>
      <c r="I27" s="983" t="str">
        <f>IF(main!R30&gt;0,main!R30,"")</f>
        <v xml:space="preserve"> </v>
      </c>
      <c r="J27" s="164">
        <f>IF(main!CR30+main!CS30&gt;0,main!CR30+main!CS30,0)</f>
        <v>0</v>
      </c>
      <c r="K27" s="164">
        <f>main!DP30</f>
        <v>0</v>
      </c>
      <c r="L27" s="996">
        <f>main!AG30</f>
        <v>0</v>
      </c>
      <c r="M27" s="164">
        <f t="shared" si="0"/>
        <v>0</v>
      </c>
      <c r="N27" s="164">
        <f>IF(main!CV30&gt;0,main!CV30,0)</f>
        <v>0</v>
      </c>
      <c r="O27" s="164">
        <f>IF(main!ED30&gt;0,main!ED30,0)</f>
        <v>0</v>
      </c>
      <c r="P27" s="164">
        <f>IF(main!CX30&gt;0,main!CX30,0)</f>
        <v>0</v>
      </c>
      <c r="Q27" s="164">
        <f>IF(main!DO30&gt;0,main!DO30,0)</f>
        <v>0</v>
      </c>
      <c r="R27" s="1043" t="str">
        <f>IF('נתונים ידניים'!O31&lt;&gt;"",'נתונים ידניים'!O31," ")</f>
        <v xml:space="preserve"> </v>
      </c>
    </row>
    <row r="28" spans="1:18" ht="50.1" customHeight="1" x14ac:dyDescent="0.2">
      <c r="A28" s="164" t="str">
        <f>IF(main!A31&gt;0,main!A31,"")</f>
        <v/>
      </c>
      <c r="B28" s="165" t="str">
        <f>IF(main!B31&gt;0,main!B31,"")</f>
        <v/>
      </c>
      <c r="C28" s="165" t="str">
        <f>IF(main!C31&gt;0,main!C31,"")</f>
        <v/>
      </c>
      <c r="D28" s="165" t="str">
        <f>IF(main!D31&gt;0,main!D31,"")</f>
        <v/>
      </c>
      <c r="E28" s="165" t="str">
        <f>IF(main!E31&gt;0,main!E31,"")</f>
        <v/>
      </c>
      <c r="F28" s="165" t="str">
        <f>main!N31</f>
        <v/>
      </c>
      <c r="G28" s="165" t="str">
        <f>IF(main!K31&gt;0,main!K31,"")</f>
        <v/>
      </c>
      <c r="H28" s="165" t="str">
        <f>IF(main!O31&gt;0,main!O31,"")</f>
        <v/>
      </c>
      <c r="I28" s="983" t="str">
        <f>IF(main!R31&gt;0,main!R31,"")</f>
        <v xml:space="preserve"> </v>
      </c>
      <c r="J28" s="164">
        <f>IF(main!CR31+main!CS31&gt;0,main!CR31+main!CS31,0)</f>
        <v>0</v>
      </c>
      <c r="K28" s="164">
        <f>main!DP31</f>
        <v>0</v>
      </c>
      <c r="L28" s="996">
        <f>main!AG31</f>
        <v>0</v>
      </c>
      <c r="M28" s="164">
        <f t="shared" si="0"/>
        <v>0</v>
      </c>
      <c r="N28" s="164">
        <f>IF(main!CV31&gt;0,main!CV31,0)</f>
        <v>0</v>
      </c>
      <c r="O28" s="164">
        <f>IF(main!ED31&gt;0,main!ED31,0)</f>
        <v>0</v>
      </c>
      <c r="P28" s="164">
        <f>IF(main!CX31&gt;0,main!CX31,0)</f>
        <v>0</v>
      </c>
      <c r="Q28" s="164">
        <f>IF(main!DO31&gt;0,main!DO31,0)</f>
        <v>0</v>
      </c>
      <c r="R28" s="1043" t="str">
        <f>IF('נתונים ידניים'!O32&lt;&gt;"",'נתונים ידניים'!O32," ")</f>
        <v xml:space="preserve"> </v>
      </c>
    </row>
    <row r="29" spans="1:18" ht="50.1" customHeight="1" x14ac:dyDescent="0.2">
      <c r="A29" s="164" t="str">
        <f>IF(main!A32&gt;0,main!A32,"")</f>
        <v/>
      </c>
      <c r="B29" s="165" t="str">
        <f>IF(main!B32&gt;0,main!B32,"")</f>
        <v/>
      </c>
      <c r="C29" s="165" t="str">
        <f>IF(main!C32&gt;0,main!C32,"")</f>
        <v/>
      </c>
      <c r="D29" s="165" t="str">
        <f>IF(main!D32&gt;0,main!D32,"")</f>
        <v/>
      </c>
      <c r="E29" s="165" t="str">
        <f>IF(main!E32&gt;0,main!E32,"")</f>
        <v/>
      </c>
      <c r="F29" s="165" t="str">
        <f>main!N32</f>
        <v/>
      </c>
      <c r="G29" s="165" t="str">
        <f>IF(main!K32&gt;0,main!K32,"")</f>
        <v/>
      </c>
      <c r="H29" s="165" t="str">
        <f>IF(main!O32&gt;0,main!O32,"")</f>
        <v/>
      </c>
      <c r="I29" s="983" t="str">
        <f>IF(main!R32&gt;0,main!R32,"")</f>
        <v xml:space="preserve"> </v>
      </c>
      <c r="J29" s="164">
        <f>IF(main!CR32+main!CS32&gt;0,main!CR32+main!CS32,0)</f>
        <v>0</v>
      </c>
      <c r="K29" s="164">
        <f>main!DP32</f>
        <v>0</v>
      </c>
      <c r="L29" s="996">
        <f>main!AG32</f>
        <v>0</v>
      </c>
      <c r="M29" s="164">
        <f t="shared" si="0"/>
        <v>0</v>
      </c>
      <c r="N29" s="164">
        <f>IF(main!CV32&gt;0,main!CV32,0)</f>
        <v>0</v>
      </c>
      <c r="O29" s="164">
        <f>IF(main!ED32&gt;0,main!ED32,0)</f>
        <v>0</v>
      </c>
      <c r="P29" s="164">
        <f>IF(main!CX32&gt;0,main!CX32,0)</f>
        <v>0</v>
      </c>
      <c r="Q29" s="164">
        <f>IF(main!DO32&gt;0,main!DO32,0)</f>
        <v>0</v>
      </c>
      <c r="R29" s="1043" t="str">
        <f>IF('נתונים ידניים'!O33&lt;&gt;"",'נתונים ידניים'!O33," ")</f>
        <v xml:space="preserve"> </v>
      </c>
    </row>
    <row r="30" spans="1:18" ht="50.1" customHeight="1" x14ac:dyDescent="0.2">
      <c r="A30" s="164" t="str">
        <f>IF(main!A33&gt;0,main!A33,"")</f>
        <v/>
      </c>
      <c r="B30" s="165" t="str">
        <f>IF(main!B33&gt;0,main!B33,"")</f>
        <v/>
      </c>
      <c r="C30" s="165" t="str">
        <f>IF(main!C33&gt;0,main!C33,"")</f>
        <v/>
      </c>
      <c r="D30" s="165" t="str">
        <f>IF(main!D33&gt;0,main!D33,"")</f>
        <v/>
      </c>
      <c r="E30" s="165" t="str">
        <f>IF(main!E33&gt;0,main!E33,"")</f>
        <v/>
      </c>
      <c r="F30" s="165" t="str">
        <f>main!N33</f>
        <v/>
      </c>
      <c r="G30" s="165" t="str">
        <f>IF(main!K33&gt;0,main!K33,"")</f>
        <v/>
      </c>
      <c r="H30" s="165" t="str">
        <f>IF(main!O33&gt;0,main!O33,"")</f>
        <v/>
      </c>
      <c r="I30" s="983" t="str">
        <f>IF(main!R33&gt;0,main!R33,"")</f>
        <v xml:space="preserve"> </v>
      </c>
      <c r="J30" s="164">
        <f>IF(main!CR33+main!CS33&gt;0,main!CR33+main!CS33,0)</f>
        <v>0</v>
      </c>
      <c r="K30" s="164">
        <f>main!DP33</f>
        <v>0</v>
      </c>
      <c r="L30" s="996">
        <f>main!AG33</f>
        <v>0</v>
      </c>
      <c r="M30" s="164">
        <f t="shared" si="0"/>
        <v>0</v>
      </c>
      <c r="N30" s="164">
        <f>IF(main!CV33&gt;0,main!CV33,0)</f>
        <v>0</v>
      </c>
      <c r="O30" s="164">
        <f>IF(main!ED33&gt;0,main!ED33,0)</f>
        <v>0</v>
      </c>
      <c r="P30" s="164">
        <f>IF(main!CX33&gt;0,main!CX33,0)</f>
        <v>0</v>
      </c>
      <c r="Q30" s="164">
        <f>IF(main!DO33&gt;0,main!DO33,0)</f>
        <v>0</v>
      </c>
      <c r="R30" s="1043" t="str">
        <f>IF('נתונים ידניים'!O34&lt;&gt;"",'נתונים ידניים'!O34," ")</f>
        <v xml:space="preserve"> </v>
      </c>
    </row>
    <row r="31" spans="1:18" ht="50.1" customHeight="1" x14ac:dyDescent="0.2">
      <c r="A31" s="164" t="str">
        <f>IF(main!A34&gt;0,main!A34,"")</f>
        <v/>
      </c>
      <c r="B31" s="165" t="str">
        <f>IF(main!B34&gt;0,main!B34,"")</f>
        <v/>
      </c>
      <c r="C31" s="165" t="str">
        <f>IF(main!C34&gt;0,main!C34,"")</f>
        <v/>
      </c>
      <c r="D31" s="165" t="str">
        <f>IF(main!D34&gt;0,main!D34,"")</f>
        <v/>
      </c>
      <c r="E31" s="165" t="str">
        <f>IF(main!E34&gt;0,main!E34,"")</f>
        <v/>
      </c>
      <c r="F31" s="165" t="str">
        <f>main!N34</f>
        <v/>
      </c>
      <c r="G31" s="165" t="str">
        <f>IF(main!K34&gt;0,main!K34,"")</f>
        <v/>
      </c>
      <c r="H31" s="165" t="str">
        <f>IF(main!O34&gt;0,main!O34,"")</f>
        <v/>
      </c>
      <c r="I31" s="983" t="str">
        <f>IF(main!R34&gt;0,main!R34,"")</f>
        <v xml:space="preserve"> </v>
      </c>
      <c r="J31" s="164">
        <f>IF(main!CR34+main!CS34&gt;0,main!CR34+main!CS34,0)</f>
        <v>0</v>
      </c>
      <c r="K31" s="164">
        <f>main!DP34</f>
        <v>0</v>
      </c>
      <c r="L31" s="996">
        <f>main!AG34</f>
        <v>0</v>
      </c>
      <c r="M31" s="164">
        <f t="shared" si="0"/>
        <v>0</v>
      </c>
      <c r="N31" s="164">
        <f>IF(main!CV34&gt;0,main!CV34,0)</f>
        <v>0</v>
      </c>
      <c r="O31" s="164">
        <f>IF(main!ED34&gt;0,main!ED34,0)</f>
        <v>0</v>
      </c>
      <c r="P31" s="164">
        <f>IF(main!CX34&gt;0,main!CX34,0)</f>
        <v>0</v>
      </c>
      <c r="Q31" s="164">
        <f>IF(main!DO34&gt;0,main!DO34,0)</f>
        <v>0</v>
      </c>
      <c r="R31" s="1043" t="str">
        <f>IF('נתונים ידניים'!O35&lt;&gt;"",'נתונים ידניים'!O35," ")</f>
        <v xml:space="preserve"> </v>
      </c>
    </row>
    <row r="32" spans="1:18" ht="50.1" customHeight="1" x14ac:dyDescent="0.2">
      <c r="A32" s="164" t="str">
        <f>IF(main!A35&gt;0,main!A35,"")</f>
        <v/>
      </c>
      <c r="B32" s="165" t="str">
        <f>IF(main!B35&gt;0,main!B35,"")</f>
        <v/>
      </c>
      <c r="C32" s="165" t="str">
        <f>IF(main!C35&gt;0,main!C35,"")</f>
        <v/>
      </c>
      <c r="D32" s="165" t="str">
        <f>IF(main!D35&gt;0,main!D35,"")</f>
        <v/>
      </c>
      <c r="E32" s="165" t="str">
        <f>IF(main!E35&gt;0,main!E35,"")</f>
        <v/>
      </c>
      <c r="F32" s="165" t="str">
        <f>main!N35</f>
        <v/>
      </c>
      <c r="G32" s="165" t="str">
        <f>IF(main!K35&gt;0,main!K35,"")</f>
        <v/>
      </c>
      <c r="H32" s="165" t="str">
        <f>IF(main!O35&gt;0,main!O35,"")</f>
        <v/>
      </c>
      <c r="I32" s="983" t="str">
        <f>IF(main!R35&gt;0,main!R35,"")</f>
        <v xml:space="preserve"> </v>
      </c>
      <c r="J32" s="164">
        <f>IF(main!CR35+main!CS35&gt;0,main!CR35+main!CS35,0)</f>
        <v>0</v>
      </c>
      <c r="K32" s="164">
        <f>main!DP35</f>
        <v>0</v>
      </c>
      <c r="L32" s="996">
        <f>main!AG35</f>
        <v>0</v>
      </c>
      <c r="M32" s="164">
        <f t="shared" si="0"/>
        <v>0</v>
      </c>
      <c r="N32" s="164">
        <f>IF(main!CV35&gt;0,main!CV35,0)</f>
        <v>0</v>
      </c>
      <c r="O32" s="164">
        <f>IF(main!ED35&gt;0,main!ED35,0)</f>
        <v>0</v>
      </c>
      <c r="P32" s="164">
        <f>IF(main!CX35&gt;0,main!CX35,0)</f>
        <v>0</v>
      </c>
      <c r="Q32" s="164">
        <f>IF(main!DO35&gt;0,main!DO35,0)</f>
        <v>0</v>
      </c>
      <c r="R32" s="1043" t="str">
        <f>IF('נתונים ידניים'!O36&lt;&gt;"",'נתונים ידניים'!O36," ")</f>
        <v xml:space="preserve"> </v>
      </c>
    </row>
    <row r="33" spans="1:18" ht="50.1" customHeight="1" x14ac:dyDescent="0.2">
      <c r="A33" s="164" t="str">
        <f>IF(main!A36&gt;0,main!A36,"")</f>
        <v/>
      </c>
      <c r="B33" s="165" t="str">
        <f>IF(main!B36&gt;0,main!B36,"")</f>
        <v/>
      </c>
      <c r="C33" s="165" t="str">
        <f>IF(main!C36&gt;0,main!C36,"")</f>
        <v/>
      </c>
      <c r="D33" s="165" t="str">
        <f>IF(main!D36&gt;0,main!D36,"")</f>
        <v/>
      </c>
      <c r="E33" s="165" t="str">
        <f>IF(main!E36&gt;0,main!E36,"")</f>
        <v/>
      </c>
      <c r="F33" s="165" t="str">
        <f>main!N36</f>
        <v/>
      </c>
      <c r="G33" s="165" t="str">
        <f>IF(main!K36&gt;0,main!K36,"")</f>
        <v/>
      </c>
      <c r="H33" s="165" t="str">
        <f>IF(main!O36&gt;0,main!O36,"")</f>
        <v/>
      </c>
      <c r="I33" s="983" t="str">
        <f>IF(main!R36&gt;0,main!R36,"")</f>
        <v xml:space="preserve"> </v>
      </c>
      <c r="J33" s="164">
        <f>IF(main!CR36+main!CS36&gt;0,main!CR36+main!CS36,0)</f>
        <v>0</v>
      </c>
      <c r="K33" s="164">
        <f>main!DP36</f>
        <v>0</v>
      </c>
      <c r="L33" s="996">
        <f>main!AG36</f>
        <v>0</v>
      </c>
      <c r="M33" s="164">
        <f t="shared" si="0"/>
        <v>0</v>
      </c>
      <c r="N33" s="164">
        <f>IF(main!CV36&gt;0,main!CV36,0)</f>
        <v>0</v>
      </c>
      <c r="O33" s="164">
        <f>IF(main!ED36&gt;0,main!ED36,0)</f>
        <v>0</v>
      </c>
      <c r="P33" s="164">
        <f>IF(main!CX36&gt;0,main!CX36,0)</f>
        <v>0</v>
      </c>
      <c r="Q33" s="164">
        <f>IF(main!DO36&gt;0,main!DO36,0)</f>
        <v>0</v>
      </c>
      <c r="R33" s="1043" t="str">
        <f>IF('נתונים ידניים'!O37&lt;&gt;"",'נתונים ידניים'!O37," ")</f>
        <v xml:space="preserve"> </v>
      </c>
    </row>
    <row r="34" spans="1:18" ht="50.1" customHeight="1" x14ac:dyDescent="0.2">
      <c r="A34" s="164" t="str">
        <f>IF(main!A37&gt;0,main!A37,"")</f>
        <v/>
      </c>
      <c r="B34" s="165" t="str">
        <f>IF(main!B37&gt;0,main!B37,"")</f>
        <v/>
      </c>
      <c r="C34" s="165" t="str">
        <f>IF(main!C37&gt;0,main!C37,"")</f>
        <v/>
      </c>
      <c r="D34" s="165" t="str">
        <f>IF(main!D37&gt;0,main!D37,"")</f>
        <v/>
      </c>
      <c r="E34" s="165" t="str">
        <f>IF(main!E37&gt;0,main!E37,"")</f>
        <v/>
      </c>
      <c r="F34" s="165" t="str">
        <f>main!N37</f>
        <v/>
      </c>
      <c r="G34" s="165" t="str">
        <f>IF(main!K37&gt;0,main!K37,"")</f>
        <v/>
      </c>
      <c r="H34" s="165" t="str">
        <f>IF(main!O37&gt;0,main!O37,"")</f>
        <v/>
      </c>
      <c r="I34" s="983" t="str">
        <f>IF(main!R37&gt;0,main!R37,"")</f>
        <v xml:space="preserve"> </v>
      </c>
      <c r="J34" s="164">
        <f>IF(main!CR37+main!CS37&gt;0,main!CR37+main!CS37,0)</f>
        <v>0</v>
      </c>
      <c r="K34" s="164">
        <f>main!DP37</f>
        <v>0</v>
      </c>
      <c r="L34" s="996">
        <f>main!AG37</f>
        <v>0</v>
      </c>
      <c r="M34" s="164">
        <f t="shared" si="0"/>
        <v>0</v>
      </c>
      <c r="N34" s="164">
        <f>IF(main!CV37&gt;0,main!CV37,0)</f>
        <v>0</v>
      </c>
      <c r="O34" s="164">
        <f>IF(main!ED37&gt;0,main!ED37,0)</f>
        <v>0</v>
      </c>
      <c r="P34" s="164">
        <f>IF(main!CX37&gt;0,main!CX37,0)</f>
        <v>0</v>
      </c>
      <c r="Q34" s="164">
        <f>IF(main!DO37&gt;0,main!DO37,0)</f>
        <v>0</v>
      </c>
      <c r="R34" s="1043" t="str">
        <f>IF('נתונים ידניים'!O38&lt;&gt;"",'נתונים ידניים'!O38," ")</f>
        <v xml:space="preserve"> </v>
      </c>
    </row>
    <row r="35" spans="1:18" ht="50.1" customHeight="1" x14ac:dyDescent="0.2">
      <c r="A35" s="164" t="str">
        <f>IF(main!A38&gt;0,main!A38,"")</f>
        <v/>
      </c>
      <c r="B35" s="165" t="str">
        <f>IF(main!B38&gt;0,main!B38,"")</f>
        <v/>
      </c>
      <c r="C35" s="165" t="str">
        <f>IF(main!C38&gt;0,main!C38,"")</f>
        <v/>
      </c>
      <c r="D35" s="165" t="str">
        <f>IF(main!D38&gt;0,main!D38,"")</f>
        <v/>
      </c>
      <c r="E35" s="165" t="str">
        <f>IF(main!E38&gt;0,main!E38,"")</f>
        <v/>
      </c>
      <c r="F35" s="165" t="str">
        <f>main!N38</f>
        <v/>
      </c>
      <c r="G35" s="165" t="str">
        <f>IF(main!K38&gt;0,main!K38,"")</f>
        <v/>
      </c>
      <c r="H35" s="165" t="str">
        <f>IF(main!O38&gt;0,main!O38,"")</f>
        <v/>
      </c>
      <c r="I35" s="983" t="str">
        <f>IF(main!R38&gt;0,main!R38,"")</f>
        <v xml:space="preserve"> </v>
      </c>
      <c r="J35" s="164">
        <f>IF(main!CR38+main!CS38&gt;0,main!CR38+main!CS38,0)</f>
        <v>0</v>
      </c>
      <c r="K35" s="164">
        <f>main!DP38</f>
        <v>0</v>
      </c>
      <c r="L35" s="996">
        <f>main!AG38</f>
        <v>0</v>
      </c>
      <c r="M35" s="164">
        <f t="shared" si="0"/>
        <v>0</v>
      </c>
      <c r="N35" s="164">
        <f>IF(main!CV38&gt;0,main!CV38,0)</f>
        <v>0</v>
      </c>
      <c r="O35" s="164">
        <f>IF(main!ED38&gt;0,main!ED38,0)</f>
        <v>0</v>
      </c>
      <c r="P35" s="164">
        <f>IF(main!CX38&gt;0,main!CX38,0)</f>
        <v>0</v>
      </c>
      <c r="Q35" s="164">
        <f>IF(main!DO38&gt;0,main!DO38,0)</f>
        <v>0</v>
      </c>
      <c r="R35" s="1043" t="str">
        <f>IF('נתונים ידניים'!O39&lt;&gt;"",'נתונים ידניים'!O39," ")</f>
        <v xml:space="preserve"> </v>
      </c>
    </row>
    <row r="36" spans="1:18" ht="50.1" customHeight="1" x14ac:dyDescent="0.2">
      <c r="A36" s="164" t="str">
        <f>IF(main!A39&gt;0,main!A39,"")</f>
        <v/>
      </c>
      <c r="B36" s="165" t="str">
        <f>IF(main!B39&gt;0,main!B39,"")</f>
        <v/>
      </c>
      <c r="C36" s="165" t="str">
        <f>IF(main!C39&gt;0,main!C39,"")</f>
        <v/>
      </c>
      <c r="D36" s="165" t="str">
        <f>IF(main!D39&gt;0,main!D39,"")</f>
        <v/>
      </c>
      <c r="E36" s="165" t="str">
        <f>IF(main!E39&gt;0,main!E39,"")</f>
        <v/>
      </c>
      <c r="F36" s="165" t="str">
        <f>main!N39</f>
        <v/>
      </c>
      <c r="G36" s="165" t="str">
        <f>IF(main!K39&gt;0,main!K39,"")</f>
        <v/>
      </c>
      <c r="H36" s="165" t="str">
        <f>IF(main!O39&gt;0,main!O39,"")</f>
        <v/>
      </c>
      <c r="I36" s="983" t="str">
        <f>IF(main!R39&gt;0,main!R39,"")</f>
        <v xml:space="preserve"> </v>
      </c>
      <c r="J36" s="164">
        <f>IF(main!CR39+main!CS39&gt;0,main!CR39+main!CS39,0)</f>
        <v>0</v>
      </c>
      <c r="K36" s="164">
        <f>main!DP39</f>
        <v>0</v>
      </c>
      <c r="L36" s="996">
        <f>main!AG39</f>
        <v>0</v>
      </c>
      <c r="M36" s="164">
        <f t="shared" si="0"/>
        <v>0</v>
      </c>
      <c r="N36" s="164">
        <f>IF(main!CV39&gt;0,main!CV39,0)</f>
        <v>0</v>
      </c>
      <c r="O36" s="164">
        <f>IF(main!ED39&gt;0,main!ED39,0)</f>
        <v>0</v>
      </c>
      <c r="P36" s="164">
        <f>IF(main!CX39&gt;0,main!CX39,0)</f>
        <v>0</v>
      </c>
      <c r="Q36" s="164">
        <f>IF(main!DO39&gt;0,main!DO39,0)</f>
        <v>0</v>
      </c>
      <c r="R36" s="1043" t="str">
        <f>IF('נתונים ידניים'!O40&lt;&gt;"",'נתונים ידניים'!O40," ")</f>
        <v xml:space="preserve"> </v>
      </c>
    </row>
    <row r="37" spans="1:18" ht="50.1" customHeight="1" x14ac:dyDescent="0.2">
      <c r="A37" s="164" t="str">
        <f>IF(main!A40&gt;0,main!A40,"")</f>
        <v/>
      </c>
      <c r="B37" s="165" t="str">
        <f>IF(main!B40&gt;0,main!B40,"")</f>
        <v/>
      </c>
      <c r="C37" s="165" t="str">
        <f>IF(main!C40&gt;0,main!C40,"")</f>
        <v/>
      </c>
      <c r="D37" s="165" t="str">
        <f>IF(main!D40&gt;0,main!D40,"")</f>
        <v/>
      </c>
      <c r="E37" s="165" t="str">
        <f>IF(main!E40&gt;0,main!E40,"")</f>
        <v/>
      </c>
      <c r="F37" s="165" t="str">
        <f>main!N40</f>
        <v/>
      </c>
      <c r="G37" s="165" t="str">
        <f>IF(main!K40&gt;0,main!K40,"")</f>
        <v/>
      </c>
      <c r="H37" s="165" t="str">
        <f>IF(main!O40&gt;0,main!O40,"")</f>
        <v/>
      </c>
      <c r="I37" s="983" t="str">
        <f>IF(main!R40&gt;0,main!R40,"")</f>
        <v xml:space="preserve"> </v>
      </c>
      <c r="J37" s="164">
        <f>IF(main!CR40+main!CS40&gt;0,main!CR40+main!CS40,0)</f>
        <v>0</v>
      </c>
      <c r="K37" s="164">
        <f>main!DP40</f>
        <v>0</v>
      </c>
      <c r="L37" s="996">
        <f>main!AG40</f>
        <v>0</v>
      </c>
      <c r="M37" s="164">
        <f t="shared" si="0"/>
        <v>0</v>
      </c>
      <c r="N37" s="164">
        <f>IF(main!CV40&gt;0,main!CV40,0)</f>
        <v>0</v>
      </c>
      <c r="O37" s="164">
        <f>IF(main!ED40&gt;0,main!ED40,0)</f>
        <v>0</v>
      </c>
      <c r="P37" s="164">
        <f>IF(main!CX40&gt;0,main!CX40,0)</f>
        <v>0</v>
      </c>
      <c r="Q37" s="164">
        <f>IF(main!DO40&gt;0,main!DO40,0)</f>
        <v>0</v>
      </c>
      <c r="R37" s="1043" t="str">
        <f>IF('נתונים ידניים'!O41&lt;&gt;"",'נתונים ידניים'!O41," ")</f>
        <v xml:space="preserve"> </v>
      </c>
    </row>
    <row r="38" spans="1:18" ht="50.1" customHeight="1" x14ac:dyDescent="0.2">
      <c r="A38" s="164" t="str">
        <f>IF(main!A41&gt;0,main!A41,"")</f>
        <v/>
      </c>
      <c r="B38" s="165" t="str">
        <f>IF(main!B41&gt;0,main!B41,"")</f>
        <v/>
      </c>
      <c r="C38" s="165" t="str">
        <f>IF(main!C41&gt;0,main!C41,"")</f>
        <v/>
      </c>
      <c r="D38" s="165" t="str">
        <f>IF(main!D41&gt;0,main!D41,"")</f>
        <v/>
      </c>
      <c r="E38" s="165" t="str">
        <f>IF(main!E41&gt;0,main!E41,"")</f>
        <v/>
      </c>
      <c r="F38" s="165" t="str">
        <f>main!N41</f>
        <v/>
      </c>
      <c r="G38" s="165" t="str">
        <f>IF(main!K41&gt;0,main!K41,"")</f>
        <v/>
      </c>
      <c r="H38" s="165" t="str">
        <f>IF(main!O41&gt;0,main!O41,"")</f>
        <v/>
      </c>
      <c r="I38" s="983" t="str">
        <f>IF(main!R41&gt;0,main!R41,"")</f>
        <v xml:space="preserve"> </v>
      </c>
      <c r="J38" s="164">
        <f>IF(main!CR41+main!CS41&gt;0,main!CR41+main!CS41,0)</f>
        <v>0</v>
      </c>
      <c r="K38" s="164">
        <f>main!DP41</f>
        <v>0</v>
      </c>
      <c r="L38" s="996">
        <f>main!AG41</f>
        <v>0</v>
      </c>
      <c r="M38" s="164">
        <f t="shared" si="0"/>
        <v>0</v>
      </c>
      <c r="N38" s="164">
        <f>IF(main!CV41&gt;0,main!CV41,0)</f>
        <v>0</v>
      </c>
      <c r="O38" s="164">
        <f>IF(main!ED41&gt;0,main!ED41,0)</f>
        <v>0</v>
      </c>
      <c r="P38" s="164">
        <f>IF(main!CX41&gt;0,main!CX41,0)</f>
        <v>0</v>
      </c>
      <c r="Q38" s="164">
        <f>IF(main!DO41&gt;0,main!DO41,0)</f>
        <v>0</v>
      </c>
      <c r="R38" s="1043" t="str">
        <f>IF('נתונים ידניים'!O42&lt;&gt;"",'נתונים ידניים'!O42," ")</f>
        <v xml:space="preserve"> </v>
      </c>
    </row>
    <row r="39" spans="1:18" ht="50.1" customHeight="1" x14ac:dyDescent="0.2">
      <c r="A39" s="164" t="str">
        <f>IF(main!A42&gt;0,main!A42,"")</f>
        <v/>
      </c>
      <c r="B39" s="165" t="str">
        <f>IF(main!B42&gt;0,main!B42,"")</f>
        <v/>
      </c>
      <c r="C39" s="165" t="str">
        <f>IF(main!C42&gt;0,main!C42,"")</f>
        <v/>
      </c>
      <c r="D39" s="165" t="str">
        <f>IF(main!D42&gt;0,main!D42,"")</f>
        <v/>
      </c>
      <c r="E39" s="165" t="str">
        <f>IF(main!E42&gt;0,main!E42,"")</f>
        <v/>
      </c>
      <c r="F39" s="165" t="str">
        <f>main!N42</f>
        <v/>
      </c>
      <c r="G39" s="165" t="str">
        <f>IF(main!K42&gt;0,main!K42,"")</f>
        <v/>
      </c>
      <c r="H39" s="165" t="str">
        <f>IF(main!O42&gt;0,main!O42,"")</f>
        <v/>
      </c>
      <c r="I39" s="983" t="str">
        <f>IF(main!R42&gt;0,main!R42,"")</f>
        <v xml:space="preserve"> </v>
      </c>
      <c r="J39" s="164">
        <f>IF(main!CR42+main!CS42&gt;0,main!CR42+main!CS42,0)</f>
        <v>0</v>
      </c>
      <c r="K39" s="164">
        <f>main!DP42</f>
        <v>0</v>
      </c>
      <c r="L39" s="996">
        <f>main!AG42</f>
        <v>0</v>
      </c>
      <c r="M39" s="164">
        <f t="shared" si="0"/>
        <v>0</v>
      </c>
      <c r="N39" s="164">
        <f>IF(main!CV42&gt;0,main!CV42,0)</f>
        <v>0</v>
      </c>
      <c r="O39" s="164">
        <f>IF(main!ED42&gt;0,main!ED42,0)</f>
        <v>0</v>
      </c>
      <c r="P39" s="164">
        <f>IF(main!CX42&gt;0,main!CX42,0)</f>
        <v>0</v>
      </c>
      <c r="Q39" s="164">
        <f>IF(main!DO42&gt;0,main!DO42,0)</f>
        <v>0</v>
      </c>
      <c r="R39" s="1043" t="str">
        <f>IF('נתונים ידניים'!O43&lt;&gt;"",'נתונים ידניים'!O43," ")</f>
        <v xml:space="preserve"> </v>
      </c>
    </row>
    <row r="40" spans="1:18" ht="50.1" customHeight="1" x14ac:dyDescent="0.2">
      <c r="A40" s="164" t="str">
        <f>IF(main!A43&gt;0,main!A43,"")</f>
        <v/>
      </c>
      <c r="B40" s="165" t="str">
        <f>IF(main!B43&gt;0,main!B43,"")</f>
        <v/>
      </c>
      <c r="C40" s="165" t="str">
        <f>IF(main!C43&gt;0,main!C43,"")</f>
        <v/>
      </c>
      <c r="D40" s="165" t="str">
        <f>IF(main!D43&gt;0,main!D43,"")</f>
        <v/>
      </c>
      <c r="E40" s="165" t="str">
        <f>IF(main!E43&gt;0,main!E43,"")</f>
        <v/>
      </c>
      <c r="F40" s="165" t="str">
        <f>main!N43</f>
        <v/>
      </c>
      <c r="G40" s="165" t="str">
        <f>IF(main!K43&gt;0,main!K43,"")</f>
        <v/>
      </c>
      <c r="H40" s="165" t="str">
        <f>IF(main!O43&gt;0,main!O43,"")</f>
        <v/>
      </c>
      <c r="I40" s="983" t="str">
        <f>IF(main!R43&gt;0,main!R43,"")</f>
        <v xml:space="preserve"> </v>
      </c>
      <c r="J40" s="164">
        <f>IF(main!CR43+main!CS43&gt;0,main!CR43+main!CS43,0)</f>
        <v>0</v>
      </c>
      <c r="K40" s="164">
        <f>main!DP43</f>
        <v>0</v>
      </c>
      <c r="L40" s="996">
        <f>main!AG43</f>
        <v>0</v>
      </c>
      <c r="M40" s="164">
        <f t="shared" si="0"/>
        <v>0</v>
      </c>
      <c r="N40" s="164">
        <f>IF(main!CV43&gt;0,main!CV43,0)</f>
        <v>0</v>
      </c>
      <c r="O40" s="164">
        <f>IF(main!ED43&gt;0,main!ED43,0)</f>
        <v>0</v>
      </c>
      <c r="P40" s="164">
        <f>IF(main!CX43&gt;0,main!CX43,0)</f>
        <v>0</v>
      </c>
      <c r="Q40" s="164">
        <f>IF(main!DO43&gt;0,main!DO43,0)</f>
        <v>0</v>
      </c>
      <c r="R40" s="1043" t="str">
        <f>IF('נתונים ידניים'!O44&lt;&gt;"",'נתונים ידניים'!O44," ")</f>
        <v xml:space="preserve"> </v>
      </c>
    </row>
    <row r="41" spans="1:18" ht="50.1" customHeight="1" x14ac:dyDescent="0.2">
      <c r="A41" s="164" t="str">
        <f>IF(main!A44&gt;0,main!A44,"")</f>
        <v/>
      </c>
      <c r="B41" s="165" t="str">
        <f>IF(main!B44&gt;0,main!B44,"")</f>
        <v/>
      </c>
      <c r="C41" s="165" t="str">
        <f>IF(main!C44&gt;0,main!C44,"")</f>
        <v/>
      </c>
      <c r="D41" s="165" t="str">
        <f>IF(main!D44&gt;0,main!D44,"")</f>
        <v/>
      </c>
      <c r="E41" s="165" t="str">
        <f>IF(main!E44&gt;0,main!E44,"")</f>
        <v/>
      </c>
      <c r="F41" s="165" t="str">
        <f>main!N44</f>
        <v/>
      </c>
      <c r="G41" s="165" t="str">
        <f>IF(main!K44&gt;0,main!K44,"")</f>
        <v/>
      </c>
      <c r="H41" s="165" t="str">
        <f>IF(main!O44&gt;0,main!O44,"")</f>
        <v/>
      </c>
      <c r="I41" s="983" t="str">
        <f>IF(main!R44&gt;0,main!R44,"")</f>
        <v xml:space="preserve"> </v>
      </c>
      <c r="J41" s="164">
        <f>IF(main!CR44+main!CS44&gt;0,main!CR44+main!CS44,0)</f>
        <v>0</v>
      </c>
      <c r="K41" s="164">
        <f>main!DP44</f>
        <v>0</v>
      </c>
      <c r="L41" s="996">
        <f>main!AG44</f>
        <v>0</v>
      </c>
      <c r="M41" s="164">
        <f t="shared" si="0"/>
        <v>0</v>
      </c>
      <c r="N41" s="164">
        <f>IF(main!CV44&gt;0,main!CV44,0)</f>
        <v>0</v>
      </c>
      <c r="O41" s="164">
        <f>IF(main!ED44&gt;0,main!ED44,0)</f>
        <v>0</v>
      </c>
      <c r="P41" s="164">
        <f>IF(main!CX44&gt;0,main!CX44,0)</f>
        <v>0</v>
      </c>
      <c r="Q41" s="164">
        <f>IF(main!DO44&gt;0,main!DO44,0)</f>
        <v>0</v>
      </c>
      <c r="R41" s="1043" t="str">
        <f>IF('נתונים ידניים'!O45&lt;&gt;"",'נתונים ידניים'!O45," ")</f>
        <v xml:space="preserve"> </v>
      </c>
    </row>
    <row r="42" spans="1:18" ht="50.1" customHeight="1" x14ac:dyDescent="0.2">
      <c r="A42" s="164" t="str">
        <f>IF(main!A45&gt;0,main!A45,"")</f>
        <v/>
      </c>
      <c r="B42" s="165" t="str">
        <f>IF(main!B45&gt;0,main!B45,"")</f>
        <v/>
      </c>
      <c r="C42" s="165" t="str">
        <f>IF(main!C45&gt;0,main!C45,"")</f>
        <v/>
      </c>
      <c r="D42" s="165" t="str">
        <f>IF(main!D45&gt;0,main!D45,"")</f>
        <v/>
      </c>
      <c r="E42" s="165" t="str">
        <f>IF(main!E45&gt;0,main!E45,"")</f>
        <v/>
      </c>
      <c r="F42" s="165" t="str">
        <f>main!N45</f>
        <v/>
      </c>
      <c r="G42" s="165" t="str">
        <f>IF(main!K45&gt;0,main!K45,"")</f>
        <v/>
      </c>
      <c r="H42" s="165" t="str">
        <f>IF(main!O45&gt;0,main!O45,"")</f>
        <v/>
      </c>
      <c r="I42" s="983" t="str">
        <f>IF(main!R45&gt;0,main!R45,"")</f>
        <v xml:space="preserve"> </v>
      </c>
      <c r="J42" s="164">
        <f>IF(main!CR45+main!CS45&gt;0,main!CR45+main!CS45,0)</f>
        <v>0</v>
      </c>
      <c r="K42" s="164">
        <f>main!DP45</f>
        <v>0</v>
      </c>
      <c r="L42" s="996">
        <f>main!AG45</f>
        <v>0</v>
      </c>
      <c r="M42" s="164">
        <f t="shared" si="0"/>
        <v>0</v>
      </c>
      <c r="N42" s="164">
        <f>IF(main!CV45&gt;0,main!CV45,0)</f>
        <v>0</v>
      </c>
      <c r="O42" s="164">
        <f>IF(main!ED45&gt;0,main!ED45,0)</f>
        <v>0</v>
      </c>
      <c r="P42" s="164">
        <f>IF(main!CX45&gt;0,main!CX45,0)</f>
        <v>0</v>
      </c>
      <c r="Q42" s="164">
        <f>IF(main!DO45&gt;0,main!DO45,0)</f>
        <v>0</v>
      </c>
      <c r="R42" s="1043" t="str">
        <f>IF('נתונים ידניים'!O46&lt;&gt;"",'נתונים ידניים'!O46," ")</f>
        <v xml:space="preserve"> </v>
      </c>
    </row>
    <row r="43" spans="1:18" ht="50.1" customHeight="1" x14ac:dyDescent="0.2">
      <c r="A43" s="164" t="str">
        <f>IF(main!A46&gt;0,main!A46,"")</f>
        <v/>
      </c>
      <c r="B43" s="165" t="str">
        <f>IF(main!B46&gt;0,main!B46,"")</f>
        <v/>
      </c>
      <c r="C43" s="165" t="str">
        <f>IF(main!C46&gt;0,main!C46,"")</f>
        <v/>
      </c>
      <c r="D43" s="165" t="str">
        <f>IF(main!D46&gt;0,main!D46,"")</f>
        <v/>
      </c>
      <c r="E43" s="165" t="str">
        <f>IF(main!E46&gt;0,main!E46,"")</f>
        <v/>
      </c>
      <c r="F43" s="165" t="str">
        <f>main!N46</f>
        <v/>
      </c>
      <c r="G43" s="165" t="str">
        <f>IF(main!K46&gt;0,main!K46,"")</f>
        <v/>
      </c>
      <c r="H43" s="165" t="str">
        <f>IF(main!O46&gt;0,main!O46,"")</f>
        <v/>
      </c>
      <c r="I43" s="983" t="str">
        <f>IF(main!R46&gt;0,main!R46,"")</f>
        <v xml:space="preserve"> </v>
      </c>
      <c r="J43" s="164">
        <f>IF(main!CR46+main!CS46&gt;0,main!CR46+main!CS46,0)</f>
        <v>0</v>
      </c>
      <c r="K43" s="164">
        <f>main!DP46</f>
        <v>0</v>
      </c>
      <c r="L43" s="996">
        <f>main!AG46</f>
        <v>0</v>
      </c>
      <c r="M43" s="164">
        <f t="shared" si="0"/>
        <v>0</v>
      </c>
      <c r="N43" s="164">
        <f>IF(main!CV46&gt;0,main!CV46,0)</f>
        <v>0</v>
      </c>
      <c r="O43" s="164">
        <f>IF(main!ED46&gt;0,main!ED46,0)</f>
        <v>0</v>
      </c>
      <c r="P43" s="164">
        <f>IF(main!CX46&gt;0,main!CX46,0)</f>
        <v>0</v>
      </c>
      <c r="Q43" s="164">
        <f>IF(main!DO46&gt;0,main!DO46,0)</f>
        <v>0</v>
      </c>
      <c r="R43" s="1043" t="str">
        <f>IF('נתונים ידניים'!O47&lt;&gt;"",'נתונים ידניים'!O47," ")</f>
        <v xml:space="preserve"> </v>
      </c>
    </row>
    <row r="44" spans="1:18" ht="50.1" customHeight="1" x14ac:dyDescent="0.2">
      <c r="A44" s="164" t="str">
        <f>IF(main!A47&gt;0,main!A47,"")</f>
        <v/>
      </c>
      <c r="B44" s="165" t="str">
        <f>IF(main!B47&gt;0,main!B47,"")</f>
        <v/>
      </c>
      <c r="C44" s="165" t="str">
        <f>IF(main!C47&gt;0,main!C47,"")</f>
        <v/>
      </c>
      <c r="D44" s="165" t="str">
        <f>IF(main!D47&gt;0,main!D47,"")</f>
        <v/>
      </c>
      <c r="E44" s="165" t="str">
        <f>IF(main!E47&gt;0,main!E47,"")</f>
        <v/>
      </c>
      <c r="F44" s="165" t="str">
        <f>main!N47</f>
        <v/>
      </c>
      <c r="G44" s="165" t="str">
        <f>IF(main!K47&gt;0,main!K47,"")</f>
        <v/>
      </c>
      <c r="H44" s="165" t="str">
        <f>IF(main!O47&gt;0,main!O47,"")</f>
        <v/>
      </c>
      <c r="I44" s="983" t="str">
        <f>IF(main!R47&gt;0,main!R47,"")</f>
        <v xml:space="preserve"> </v>
      </c>
      <c r="J44" s="164">
        <f>IF(main!CR47+main!CS47&gt;0,main!CR47+main!CS47,0)</f>
        <v>0</v>
      </c>
      <c r="K44" s="164">
        <f>main!DP47</f>
        <v>0</v>
      </c>
      <c r="L44" s="996">
        <f>main!AG47</f>
        <v>0</v>
      </c>
      <c r="M44" s="164">
        <f t="shared" si="0"/>
        <v>0</v>
      </c>
      <c r="N44" s="164">
        <f>IF(main!CV47&gt;0,main!CV47,0)</f>
        <v>0</v>
      </c>
      <c r="O44" s="164">
        <f>IF(main!ED47&gt;0,main!ED47,0)</f>
        <v>0</v>
      </c>
      <c r="P44" s="164">
        <f>IF(main!CX47&gt;0,main!CX47,0)</f>
        <v>0</v>
      </c>
      <c r="Q44" s="164">
        <f>IF(main!DO47&gt;0,main!DO47,0)</f>
        <v>0</v>
      </c>
      <c r="R44" s="1043" t="str">
        <f>IF('נתונים ידניים'!O48&lt;&gt;"",'נתונים ידניים'!O48," ")</f>
        <v xml:space="preserve"> </v>
      </c>
    </row>
    <row r="45" spans="1:18" ht="50.1" customHeight="1" x14ac:dyDescent="0.2">
      <c r="A45" s="164" t="str">
        <f>IF(main!A48&gt;0,main!A48,"")</f>
        <v/>
      </c>
      <c r="B45" s="165" t="str">
        <f>IF(main!B48&gt;0,main!B48,"")</f>
        <v/>
      </c>
      <c r="C45" s="165" t="str">
        <f>IF(main!C48&gt;0,main!C48,"")</f>
        <v/>
      </c>
      <c r="D45" s="165" t="str">
        <f>IF(main!D48&gt;0,main!D48,"")</f>
        <v/>
      </c>
      <c r="E45" s="165" t="str">
        <f>IF(main!E48&gt;0,main!E48,"")</f>
        <v/>
      </c>
      <c r="F45" s="165" t="str">
        <f>main!N48</f>
        <v/>
      </c>
      <c r="G45" s="165" t="str">
        <f>IF(main!K48&gt;0,main!K48,"")</f>
        <v/>
      </c>
      <c r="H45" s="165" t="str">
        <f>IF(main!O48&gt;0,main!O48,"")</f>
        <v/>
      </c>
      <c r="I45" s="983" t="str">
        <f>IF(main!R48&gt;0,main!R48,"")</f>
        <v xml:space="preserve"> </v>
      </c>
      <c r="J45" s="164">
        <f>IF(main!CR48+main!CS48&gt;0,main!CR48+main!CS48,0)</f>
        <v>0</v>
      </c>
      <c r="K45" s="164">
        <f>main!DP48</f>
        <v>0</v>
      </c>
      <c r="L45" s="996">
        <f>main!AG48</f>
        <v>0</v>
      </c>
      <c r="M45" s="164">
        <f t="shared" si="0"/>
        <v>0</v>
      </c>
      <c r="N45" s="164">
        <f>IF(main!CV48&gt;0,main!CV48,0)</f>
        <v>0</v>
      </c>
      <c r="O45" s="164">
        <f>IF(main!ED48&gt;0,main!ED48,0)</f>
        <v>0</v>
      </c>
      <c r="P45" s="164">
        <f>IF(main!CX48&gt;0,main!CX48,0)</f>
        <v>0</v>
      </c>
      <c r="Q45" s="164">
        <f>IF(main!DO48&gt;0,main!DO48,0)</f>
        <v>0</v>
      </c>
      <c r="R45" s="1043" t="str">
        <f>IF('נתונים ידניים'!O49&lt;&gt;"",'נתונים ידניים'!O49," ")</f>
        <v xml:space="preserve"> </v>
      </c>
    </row>
    <row r="46" spans="1:18" ht="50.1" customHeight="1" x14ac:dyDescent="0.2">
      <c r="A46" s="164" t="str">
        <f>IF(main!A49&gt;0,main!A49,"")</f>
        <v/>
      </c>
      <c r="B46" s="165" t="str">
        <f>IF(main!B49&gt;0,main!B49,"")</f>
        <v/>
      </c>
      <c r="C46" s="165" t="str">
        <f>IF(main!C49&gt;0,main!C49,"")</f>
        <v/>
      </c>
      <c r="D46" s="165" t="str">
        <f>IF(main!D49&gt;0,main!D49,"")</f>
        <v/>
      </c>
      <c r="E46" s="165" t="str">
        <f>IF(main!E49&gt;0,main!E49,"")</f>
        <v/>
      </c>
      <c r="F46" s="165" t="str">
        <f>main!N49</f>
        <v/>
      </c>
      <c r="G46" s="165" t="str">
        <f>IF(main!K49&gt;0,main!K49,"")</f>
        <v/>
      </c>
      <c r="H46" s="165" t="str">
        <f>IF(main!O49&gt;0,main!O49,"")</f>
        <v/>
      </c>
      <c r="I46" s="983" t="str">
        <f>IF(main!R49&gt;0,main!R49,"")</f>
        <v xml:space="preserve"> </v>
      </c>
      <c r="J46" s="164">
        <f>IF(main!CR49+main!CS49&gt;0,main!CR49+main!CS49,0)</f>
        <v>0</v>
      </c>
      <c r="K46" s="164">
        <f>main!DP49</f>
        <v>0</v>
      </c>
      <c r="L46" s="996">
        <f>main!AG49</f>
        <v>0</v>
      </c>
      <c r="M46" s="164">
        <f t="shared" si="0"/>
        <v>0</v>
      </c>
      <c r="N46" s="164">
        <f>IF(main!CV49&gt;0,main!CV49,0)</f>
        <v>0</v>
      </c>
      <c r="O46" s="164">
        <f>IF(main!ED49&gt;0,main!ED49,0)</f>
        <v>0</v>
      </c>
      <c r="P46" s="164">
        <f>IF(main!CX49&gt;0,main!CX49,0)</f>
        <v>0</v>
      </c>
      <c r="Q46" s="164">
        <f>IF(main!DO49&gt;0,main!DO49,0)</f>
        <v>0</v>
      </c>
      <c r="R46" s="1043" t="str">
        <f>IF('נתונים ידניים'!O50&lt;&gt;"",'נתונים ידניים'!O50," ")</f>
        <v xml:space="preserve"> </v>
      </c>
    </row>
    <row r="47" spans="1:18" ht="50.1" customHeight="1" x14ac:dyDescent="0.2">
      <c r="A47" s="164" t="str">
        <f>IF(main!A50&gt;0,main!A50,"")</f>
        <v/>
      </c>
      <c r="B47" s="165" t="str">
        <f>IF(main!B50&gt;0,main!B50,"")</f>
        <v/>
      </c>
      <c r="C47" s="165" t="str">
        <f>IF(main!C50&gt;0,main!C50,"")</f>
        <v/>
      </c>
      <c r="D47" s="165" t="str">
        <f>IF(main!D50&gt;0,main!D50,"")</f>
        <v/>
      </c>
      <c r="E47" s="165" t="str">
        <f>IF(main!E50&gt;0,main!E50,"")</f>
        <v/>
      </c>
      <c r="F47" s="165" t="str">
        <f>main!N50</f>
        <v/>
      </c>
      <c r="G47" s="165" t="str">
        <f>IF(main!K50&gt;0,main!K50,"")</f>
        <v/>
      </c>
      <c r="H47" s="165" t="str">
        <f>IF(main!O50&gt;0,main!O50,"")</f>
        <v/>
      </c>
      <c r="I47" s="983" t="str">
        <f>IF(main!R50&gt;0,main!R50,"")</f>
        <v xml:space="preserve"> </v>
      </c>
      <c r="J47" s="164">
        <f>IF(main!CR50+main!CS50&gt;0,main!CR50+main!CS50,0)</f>
        <v>0</v>
      </c>
      <c r="K47" s="164">
        <f>main!DP50</f>
        <v>0</v>
      </c>
      <c r="L47" s="996">
        <f>main!AG50</f>
        <v>0</v>
      </c>
      <c r="M47" s="164">
        <f t="shared" si="0"/>
        <v>0</v>
      </c>
      <c r="N47" s="164">
        <f>IF(main!CV50&gt;0,main!CV50,0)</f>
        <v>0</v>
      </c>
      <c r="O47" s="164">
        <f>IF(main!ED50&gt;0,main!ED50,0)</f>
        <v>0</v>
      </c>
      <c r="P47" s="164">
        <f>IF(main!CX50&gt;0,main!CX50,0)</f>
        <v>0</v>
      </c>
      <c r="Q47" s="164">
        <f>IF(main!DO50&gt;0,main!DO50,0)</f>
        <v>0</v>
      </c>
      <c r="R47" s="1043" t="str">
        <f>IF('נתונים ידניים'!O51&lt;&gt;"",'נתונים ידניים'!O51," ")</f>
        <v xml:space="preserve"> </v>
      </c>
    </row>
    <row r="48" spans="1:18" ht="50.1" customHeight="1" x14ac:dyDescent="0.2">
      <c r="A48" s="164" t="str">
        <f>IF(main!A51&gt;0,main!A51,"")</f>
        <v/>
      </c>
      <c r="B48" s="165" t="str">
        <f>IF(main!B51&gt;0,main!B51,"")</f>
        <v/>
      </c>
      <c r="C48" s="165" t="str">
        <f>IF(main!C51&gt;0,main!C51,"")</f>
        <v/>
      </c>
      <c r="D48" s="165" t="str">
        <f>IF(main!D51&gt;0,main!D51,"")</f>
        <v/>
      </c>
      <c r="E48" s="165" t="str">
        <f>IF(main!E51&gt;0,main!E51,"")</f>
        <v/>
      </c>
      <c r="F48" s="165" t="str">
        <f>main!N51</f>
        <v/>
      </c>
      <c r="G48" s="165" t="str">
        <f>IF(main!K51&gt;0,main!K51,"")</f>
        <v/>
      </c>
      <c r="H48" s="165" t="str">
        <f>IF(main!O51&gt;0,main!O51,"")</f>
        <v/>
      </c>
      <c r="I48" s="983" t="str">
        <f>IF(main!R51&gt;0,main!R51,"")</f>
        <v xml:space="preserve"> </v>
      </c>
      <c r="J48" s="164">
        <f>IF(main!CR51+main!CS51&gt;0,main!CR51+main!CS51,0)</f>
        <v>0</v>
      </c>
      <c r="K48" s="164">
        <f>main!DP51</f>
        <v>0</v>
      </c>
      <c r="L48" s="996">
        <f>main!AG51</f>
        <v>0</v>
      </c>
      <c r="M48" s="164">
        <f t="shared" si="0"/>
        <v>0</v>
      </c>
      <c r="N48" s="164">
        <f>IF(main!CV51&gt;0,main!CV51,0)</f>
        <v>0</v>
      </c>
      <c r="O48" s="164">
        <f>IF(main!ED51&gt;0,main!ED51,0)</f>
        <v>0</v>
      </c>
      <c r="P48" s="164">
        <f>IF(main!CX51&gt;0,main!CX51,0)</f>
        <v>0</v>
      </c>
      <c r="Q48" s="164">
        <f>IF(main!DO51&gt;0,main!DO51,0)</f>
        <v>0</v>
      </c>
      <c r="R48" s="1043" t="str">
        <f>IF('נתונים ידניים'!O52&lt;&gt;"",'נתונים ידניים'!O52," ")</f>
        <v xml:space="preserve"> </v>
      </c>
    </row>
    <row r="49" spans="1:18" ht="19.5" thickBot="1" x14ac:dyDescent="0.25">
      <c r="A49" s="164" t="str">
        <f>IF(main!A52&gt;0,main!A52,"")</f>
        <v/>
      </c>
      <c r="B49" s="165" t="str">
        <f>IF(main!B52&gt;0,main!B52,"")</f>
        <v/>
      </c>
      <c r="C49" s="165" t="str">
        <f>IF(main!C52&gt;0,main!C52,"")</f>
        <v/>
      </c>
      <c r="D49" s="165" t="str">
        <f>IF(main!D52&gt;0,main!D52,"")</f>
        <v/>
      </c>
      <c r="E49" s="165" t="str">
        <f>IF(main!E52&gt;0,main!E52,"")</f>
        <v/>
      </c>
      <c r="F49" s="165" t="str">
        <f>main!N52</f>
        <v/>
      </c>
      <c r="G49" s="165" t="str">
        <f>IF(main!K52&gt;0,main!K52,"")</f>
        <v/>
      </c>
      <c r="H49" s="165" t="str">
        <f>IF(main!O52&gt;0,main!O52,"")</f>
        <v/>
      </c>
      <c r="I49" s="983" t="str">
        <f>IF(main!R52&gt;0,main!R52,"")</f>
        <v xml:space="preserve"> </v>
      </c>
      <c r="J49" s="164">
        <f>IF(main!CR52+main!CS52&gt;0,main!CR52+main!CS52,0)</f>
        <v>0</v>
      </c>
      <c r="K49" s="164">
        <f>main!DP52</f>
        <v>0</v>
      </c>
      <c r="L49" s="996">
        <f>main!AG52</f>
        <v>0</v>
      </c>
      <c r="M49" s="164">
        <f>SUM(J49:L49)</f>
        <v>0</v>
      </c>
      <c r="N49" s="164">
        <f>IF(main!CV52&gt;0,main!CV52,0)</f>
        <v>0</v>
      </c>
      <c r="O49" s="164">
        <f>IF(main!ED52&gt;0,main!ED52,0)</f>
        <v>0</v>
      </c>
      <c r="P49" s="164">
        <f>IF(main!CX52&gt;0,main!CX52,0)</f>
        <v>0</v>
      </c>
      <c r="Q49" s="164">
        <f>IF(main!DO52&gt;0,main!DO52,0)</f>
        <v>0</v>
      </c>
      <c r="R49" s="1043" t="str">
        <f>IF('נתונים ידניים'!O53&lt;&gt;"",'נתונים ידניים'!O53," ")</f>
        <v xml:space="preserve"> </v>
      </c>
    </row>
    <row r="50" spans="1:18" ht="29.25" thickTop="1" thickBot="1" x14ac:dyDescent="0.25">
      <c r="A50" s="166"/>
      <c r="B50" s="167" t="s">
        <v>249</v>
      </c>
      <c r="C50" s="982"/>
      <c r="D50" s="168"/>
      <c r="E50" s="169"/>
      <c r="F50" s="170"/>
      <c r="G50" s="170"/>
      <c r="H50" s="170"/>
      <c r="I50" s="170"/>
      <c r="J50" s="171">
        <f>SUM(J6:J49)</f>
        <v>1</v>
      </c>
      <c r="K50" s="172">
        <f>SUM(K6:K49)</f>
        <v>0</v>
      </c>
      <c r="L50" s="172">
        <f>SUM(L6:L49)</f>
        <v>0</v>
      </c>
      <c r="M50" s="172">
        <f>SUM(M6:M49)</f>
        <v>1</v>
      </c>
      <c r="N50" s="172">
        <f t="shared" ref="N50" si="1">SUM(N6:N49)</f>
        <v>0</v>
      </c>
      <c r="O50" s="172" t="s">
        <v>537</v>
      </c>
      <c r="P50" s="172"/>
      <c r="Q50" s="172">
        <f>SUM(Q6:Q49)</f>
        <v>166.41</v>
      </c>
    </row>
    <row r="51" spans="1:18" ht="19.5" thickTop="1" x14ac:dyDescent="0.2">
      <c r="A51" s="173"/>
      <c r="B51" s="173"/>
      <c r="C51" s="173"/>
      <c r="D51" s="174"/>
      <c r="E51" s="173"/>
      <c r="F51" s="174"/>
      <c r="G51" s="174"/>
      <c r="H51" s="174"/>
      <c r="I51" s="174"/>
      <c r="J51" s="174"/>
      <c r="K51" s="174"/>
      <c r="L51" s="174"/>
      <c r="M51" s="174"/>
      <c r="N51" s="174"/>
      <c r="O51" s="175"/>
      <c r="P51" s="175"/>
      <c r="Q51" s="176">
        <v>0</v>
      </c>
    </row>
  </sheetData>
  <mergeCells count="1">
    <mergeCell ref="D1:J1"/>
  </mergeCells>
  <pageMargins left="0.7" right="0.7" top="0.75" bottom="0.75" header="0.3" footer="0.3"/>
  <pageSetup orientation="portrait" horizontalDpi="4294967293" verticalDpi="4294967293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61"/>
  <dimension ref="C2:Y87"/>
  <sheetViews>
    <sheetView rightToLeft="1" topLeftCell="D1" workbookViewId="0">
      <selection activeCell="AL8" sqref="AL8"/>
    </sheetView>
  </sheetViews>
  <sheetFormatPr defaultRowHeight="12.75" x14ac:dyDescent="0.2"/>
  <cols>
    <col min="4" max="4" width="10.7109375" customWidth="1"/>
    <col min="5" max="5" width="11.85546875" customWidth="1"/>
    <col min="7" max="7" width="11" customWidth="1"/>
    <col min="8" max="8" width="12.140625" customWidth="1"/>
    <col min="9" max="9" width="11.5703125" customWidth="1"/>
    <col min="13" max="13" width="11" customWidth="1"/>
    <col min="14" max="14" width="11.85546875" customWidth="1"/>
    <col min="17" max="17" width="12.28515625" customWidth="1"/>
    <col min="18" max="18" width="12.5703125" customWidth="1"/>
  </cols>
  <sheetData>
    <row r="2" spans="3:25" ht="23.25" x14ac:dyDescent="0.35">
      <c r="F2" s="10" t="s">
        <v>183</v>
      </c>
    </row>
    <row r="4" spans="3:25" ht="13.5" thickBot="1" x14ac:dyDescent="0.25"/>
    <row r="5" spans="3:25" ht="90.75" customHeight="1" thickBot="1" x14ac:dyDescent="0.25">
      <c r="C5" s="8" t="s">
        <v>0</v>
      </c>
      <c r="D5" s="8" t="s">
        <v>162</v>
      </c>
      <c r="E5" s="8" t="s">
        <v>37</v>
      </c>
      <c r="F5" s="8" t="s">
        <v>83</v>
      </c>
      <c r="G5" s="8" t="s">
        <v>163</v>
      </c>
      <c r="H5" s="8" t="s">
        <v>171</v>
      </c>
      <c r="I5" s="8" t="s">
        <v>172</v>
      </c>
      <c r="J5" s="8" t="s">
        <v>1130</v>
      </c>
      <c r="K5" s="8" t="s">
        <v>1131</v>
      </c>
      <c r="L5" s="8" t="s">
        <v>1132</v>
      </c>
      <c r="M5" s="8" t="s">
        <v>26</v>
      </c>
      <c r="N5" s="8" t="s">
        <v>1133</v>
      </c>
      <c r="O5" s="8" t="s">
        <v>1134</v>
      </c>
      <c r="P5" s="8" t="s">
        <v>1135</v>
      </c>
      <c r="Q5" s="8" t="s">
        <v>1136</v>
      </c>
      <c r="R5" s="8" t="s">
        <v>1138</v>
      </c>
      <c r="S5" s="8" t="s">
        <v>1137</v>
      </c>
    </row>
    <row r="6" spans="3:25" x14ac:dyDescent="0.2">
      <c r="C6">
        <v>110400</v>
      </c>
      <c r="D6" t="s">
        <v>1351</v>
      </c>
      <c r="E6" t="s">
        <v>1212</v>
      </c>
      <c r="F6">
        <v>1</v>
      </c>
      <c r="G6">
        <v>0</v>
      </c>
      <c r="H6" s="997">
        <v>0</v>
      </c>
      <c r="I6" s="997">
        <v>0</v>
      </c>
      <c r="J6">
        <v>0</v>
      </c>
      <c r="X6">
        <v>56078603</v>
      </c>
      <c r="Y6" t="s">
        <v>1206</v>
      </c>
    </row>
    <row r="7" spans="3:25" x14ac:dyDescent="0.2">
      <c r="C7">
        <v>110480</v>
      </c>
      <c r="D7" t="s">
        <v>1205</v>
      </c>
      <c r="E7" t="s">
        <v>1212</v>
      </c>
      <c r="F7">
        <v>1</v>
      </c>
      <c r="G7">
        <v>0</v>
      </c>
      <c r="H7" s="997">
        <v>4876.580078125</v>
      </c>
      <c r="I7" s="997">
        <v>4876.580078125</v>
      </c>
      <c r="J7">
        <v>0</v>
      </c>
      <c r="X7">
        <v>56078603</v>
      </c>
      <c r="Y7" t="s">
        <v>1206</v>
      </c>
    </row>
    <row r="8" spans="3:25" x14ac:dyDescent="0.2">
      <c r="C8">
        <v>130605</v>
      </c>
      <c r="D8" t="s">
        <v>1214</v>
      </c>
      <c r="E8" t="s">
        <v>1222</v>
      </c>
      <c r="F8">
        <v>662</v>
      </c>
      <c r="G8">
        <v>0</v>
      </c>
      <c r="H8" s="997">
        <v>0</v>
      </c>
      <c r="I8" s="997">
        <v>0</v>
      </c>
      <c r="J8">
        <v>0</v>
      </c>
      <c r="X8">
        <v>56078603</v>
      </c>
      <c r="Y8" t="s">
        <v>1173</v>
      </c>
    </row>
    <row r="9" spans="3:25" x14ac:dyDescent="0.2">
      <c r="C9">
        <v>130606</v>
      </c>
      <c r="D9" t="s">
        <v>1225</v>
      </c>
      <c r="E9" t="s">
        <v>1222</v>
      </c>
      <c r="F9">
        <v>624</v>
      </c>
      <c r="G9">
        <v>0</v>
      </c>
      <c r="H9" s="997">
        <v>0</v>
      </c>
      <c r="I9" s="997">
        <v>0</v>
      </c>
      <c r="J9">
        <v>0</v>
      </c>
      <c r="X9">
        <v>56078603</v>
      </c>
      <c r="Y9" t="s">
        <v>1173</v>
      </c>
    </row>
    <row r="10" spans="3:25" x14ac:dyDescent="0.2">
      <c r="C10">
        <v>130607</v>
      </c>
      <c r="D10" t="s">
        <v>1171</v>
      </c>
      <c r="E10" t="s">
        <v>1182</v>
      </c>
      <c r="F10">
        <v>449</v>
      </c>
      <c r="G10">
        <v>0</v>
      </c>
      <c r="H10" s="997"/>
      <c r="I10" s="997"/>
      <c r="X10">
        <v>56078603</v>
      </c>
      <c r="Y10" t="s">
        <v>1173</v>
      </c>
    </row>
    <row r="11" spans="3:25" x14ac:dyDescent="0.2">
      <c r="C11">
        <v>130608</v>
      </c>
      <c r="D11" t="s">
        <v>1184</v>
      </c>
      <c r="E11" t="s">
        <v>1182</v>
      </c>
      <c r="F11">
        <v>92</v>
      </c>
      <c r="G11">
        <v>0</v>
      </c>
      <c r="H11" s="997"/>
      <c r="I11" s="997"/>
      <c r="X11">
        <v>56078603</v>
      </c>
      <c r="Y11" t="s">
        <v>1173</v>
      </c>
    </row>
    <row r="12" spans="3:25" x14ac:dyDescent="0.2">
      <c r="C12">
        <v>130609</v>
      </c>
      <c r="D12" t="s">
        <v>1188</v>
      </c>
      <c r="E12" t="s">
        <v>1196</v>
      </c>
      <c r="F12">
        <v>713</v>
      </c>
      <c r="G12">
        <v>67</v>
      </c>
      <c r="H12" s="997">
        <v>0</v>
      </c>
      <c r="I12" s="997">
        <v>0</v>
      </c>
      <c r="X12">
        <v>56078603</v>
      </c>
      <c r="Y12" t="s">
        <v>1173</v>
      </c>
    </row>
    <row r="13" spans="3:25" x14ac:dyDescent="0.2">
      <c r="C13">
        <v>130610</v>
      </c>
      <c r="D13" t="s">
        <v>1188</v>
      </c>
      <c r="E13" t="s">
        <v>1196</v>
      </c>
      <c r="F13">
        <v>713</v>
      </c>
      <c r="G13">
        <v>67</v>
      </c>
      <c r="H13" s="997">
        <v>0</v>
      </c>
      <c r="I13" s="997">
        <v>0</v>
      </c>
      <c r="X13">
        <v>56078603</v>
      </c>
      <c r="Y13" t="s">
        <v>1173</v>
      </c>
    </row>
    <row r="14" spans="3:25" x14ac:dyDescent="0.2">
      <c r="C14">
        <v>130611</v>
      </c>
      <c r="D14" t="s">
        <v>1188</v>
      </c>
      <c r="E14" t="s">
        <v>1196</v>
      </c>
      <c r="F14">
        <v>713</v>
      </c>
      <c r="G14">
        <v>67</v>
      </c>
      <c r="H14" s="997">
        <v>0</v>
      </c>
      <c r="I14" s="997">
        <v>0</v>
      </c>
      <c r="X14">
        <v>56078603</v>
      </c>
      <c r="Y14" t="s">
        <v>1173</v>
      </c>
    </row>
    <row r="15" spans="3:25" x14ac:dyDescent="0.2">
      <c r="C15">
        <v>130612</v>
      </c>
      <c r="D15" t="s">
        <v>1188</v>
      </c>
      <c r="E15" t="s">
        <v>1196</v>
      </c>
      <c r="F15">
        <v>713</v>
      </c>
      <c r="G15">
        <v>67</v>
      </c>
      <c r="H15" s="997">
        <v>0</v>
      </c>
      <c r="I15" s="997">
        <v>0</v>
      </c>
      <c r="X15">
        <v>56078603</v>
      </c>
      <c r="Y15" t="s">
        <v>1173</v>
      </c>
    </row>
    <row r="16" spans="3:25" x14ac:dyDescent="0.2">
      <c r="C16">
        <v>130613</v>
      </c>
      <c r="D16" t="s">
        <v>1188</v>
      </c>
      <c r="E16" t="s">
        <v>1196</v>
      </c>
      <c r="F16">
        <v>713</v>
      </c>
      <c r="G16">
        <v>67</v>
      </c>
      <c r="H16" s="997">
        <v>0</v>
      </c>
      <c r="I16" s="997">
        <v>0</v>
      </c>
      <c r="X16">
        <v>56078603</v>
      </c>
      <c r="Y16" t="s">
        <v>1173</v>
      </c>
    </row>
    <row r="17" spans="3:25" x14ac:dyDescent="0.2">
      <c r="C17">
        <v>130614</v>
      </c>
      <c r="D17" t="s">
        <v>1188</v>
      </c>
      <c r="E17" t="s">
        <v>1196</v>
      </c>
      <c r="F17">
        <v>713</v>
      </c>
      <c r="G17">
        <v>67</v>
      </c>
      <c r="H17" s="997">
        <v>0</v>
      </c>
      <c r="I17" s="997">
        <v>0</v>
      </c>
      <c r="X17">
        <v>56078603</v>
      </c>
      <c r="Y17" t="s">
        <v>1173</v>
      </c>
    </row>
    <row r="18" spans="3:25" x14ac:dyDescent="0.2">
      <c r="C18">
        <v>130615</v>
      </c>
      <c r="D18" t="s">
        <v>1188</v>
      </c>
      <c r="E18" t="s">
        <v>1196</v>
      </c>
      <c r="F18">
        <v>713</v>
      </c>
      <c r="G18">
        <v>67</v>
      </c>
      <c r="H18" s="997">
        <v>0</v>
      </c>
      <c r="I18" s="997">
        <v>0</v>
      </c>
      <c r="X18">
        <v>56078603</v>
      </c>
      <c r="Y18" t="s">
        <v>1173</v>
      </c>
    </row>
    <row r="19" spans="3:25" x14ac:dyDescent="0.2">
      <c r="C19">
        <v>130616</v>
      </c>
      <c r="D19" t="s">
        <v>1188</v>
      </c>
      <c r="E19" t="s">
        <v>1196</v>
      </c>
      <c r="F19">
        <v>713</v>
      </c>
      <c r="G19">
        <v>67</v>
      </c>
      <c r="H19" s="997">
        <v>0</v>
      </c>
      <c r="I19" s="997">
        <v>0</v>
      </c>
      <c r="X19">
        <v>56078603</v>
      </c>
      <c r="Y19" t="s">
        <v>1173</v>
      </c>
    </row>
    <row r="20" spans="3:25" x14ac:dyDescent="0.2">
      <c r="C20">
        <v>130617</v>
      </c>
      <c r="D20" t="s">
        <v>1188</v>
      </c>
      <c r="E20" t="s">
        <v>1196</v>
      </c>
      <c r="F20">
        <v>713</v>
      </c>
      <c r="G20">
        <v>67</v>
      </c>
      <c r="H20" s="997">
        <v>0</v>
      </c>
      <c r="I20" s="997">
        <v>0</v>
      </c>
      <c r="X20">
        <v>56078603</v>
      </c>
      <c r="Y20" t="s">
        <v>1173</v>
      </c>
    </row>
    <row r="21" spans="3:25" x14ac:dyDescent="0.2">
      <c r="C21">
        <v>130618</v>
      </c>
      <c r="D21" t="s">
        <v>1188</v>
      </c>
      <c r="E21" t="s">
        <v>1196</v>
      </c>
      <c r="F21">
        <v>713</v>
      </c>
      <c r="G21">
        <v>67</v>
      </c>
      <c r="H21" s="997">
        <v>0</v>
      </c>
      <c r="I21" s="997">
        <v>0</v>
      </c>
      <c r="X21">
        <v>56078603</v>
      </c>
      <c r="Y21" t="s">
        <v>1173</v>
      </c>
    </row>
    <row r="22" spans="3:25" x14ac:dyDescent="0.2">
      <c r="C22">
        <v>130619</v>
      </c>
      <c r="D22" t="s">
        <v>1188</v>
      </c>
      <c r="E22" t="s">
        <v>1196</v>
      </c>
      <c r="F22">
        <v>713</v>
      </c>
      <c r="G22">
        <v>67</v>
      </c>
      <c r="H22" s="997">
        <v>0</v>
      </c>
      <c r="I22" s="997">
        <v>0</v>
      </c>
      <c r="X22">
        <v>56078603</v>
      </c>
      <c r="Y22" t="s">
        <v>1173</v>
      </c>
    </row>
    <row r="23" spans="3:25" x14ac:dyDescent="0.2">
      <c r="C23">
        <v>130620</v>
      </c>
      <c r="D23" t="s">
        <v>1188</v>
      </c>
      <c r="E23" t="s">
        <v>1196</v>
      </c>
      <c r="F23">
        <v>713</v>
      </c>
      <c r="G23">
        <v>67</v>
      </c>
      <c r="H23" s="997">
        <v>0</v>
      </c>
      <c r="I23" s="997">
        <v>0</v>
      </c>
      <c r="X23">
        <v>56078603</v>
      </c>
      <c r="Y23" t="s">
        <v>1173</v>
      </c>
    </row>
    <row r="24" spans="3:25" x14ac:dyDescent="0.2">
      <c r="C24">
        <v>130621</v>
      </c>
      <c r="D24" t="s">
        <v>1188</v>
      </c>
      <c r="E24" t="s">
        <v>1196</v>
      </c>
      <c r="F24">
        <v>713</v>
      </c>
      <c r="G24">
        <v>67</v>
      </c>
      <c r="H24" s="997">
        <v>0</v>
      </c>
      <c r="I24" s="997">
        <v>0</v>
      </c>
      <c r="X24">
        <v>56078603</v>
      </c>
      <c r="Y24" t="s">
        <v>1173</v>
      </c>
    </row>
    <row r="25" spans="3:25" x14ac:dyDescent="0.2">
      <c r="C25">
        <v>130622</v>
      </c>
      <c r="D25" t="s">
        <v>1188</v>
      </c>
      <c r="E25" t="s">
        <v>1196</v>
      </c>
      <c r="F25">
        <v>713</v>
      </c>
      <c r="G25">
        <v>67</v>
      </c>
      <c r="H25" s="997">
        <v>0</v>
      </c>
      <c r="I25" s="997">
        <v>0</v>
      </c>
      <c r="X25">
        <v>56078603</v>
      </c>
      <c r="Y25" t="s">
        <v>1173</v>
      </c>
    </row>
    <row r="26" spans="3:25" x14ac:dyDescent="0.2">
      <c r="C26">
        <v>130623</v>
      </c>
      <c r="D26" t="s">
        <v>1188</v>
      </c>
      <c r="E26" t="s">
        <v>1196</v>
      </c>
      <c r="F26">
        <v>713</v>
      </c>
      <c r="G26">
        <v>67</v>
      </c>
      <c r="H26" s="997">
        <v>0</v>
      </c>
      <c r="I26" s="997">
        <v>0</v>
      </c>
      <c r="X26">
        <v>56078603</v>
      </c>
      <c r="Y26" t="s">
        <v>1173</v>
      </c>
    </row>
    <row r="27" spans="3:25" x14ac:dyDescent="0.2">
      <c r="C27">
        <v>130624</v>
      </c>
      <c r="D27" t="s">
        <v>1188</v>
      </c>
      <c r="E27" t="s">
        <v>1196</v>
      </c>
      <c r="F27">
        <v>713</v>
      </c>
      <c r="G27">
        <v>67</v>
      </c>
      <c r="H27" s="997">
        <v>0</v>
      </c>
      <c r="I27" s="997">
        <v>0</v>
      </c>
      <c r="X27">
        <v>56078603</v>
      </c>
      <c r="Y27" t="s">
        <v>1173</v>
      </c>
    </row>
    <row r="28" spans="3:25" x14ac:dyDescent="0.2">
      <c r="C28">
        <v>130625</v>
      </c>
      <c r="D28" t="s">
        <v>1188</v>
      </c>
      <c r="E28" t="s">
        <v>1196</v>
      </c>
      <c r="F28">
        <v>713</v>
      </c>
      <c r="G28">
        <v>67</v>
      </c>
      <c r="H28" s="997">
        <v>0</v>
      </c>
      <c r="I28" s="997">
        <v>0</v>
      </c>
      <c r="X28">
        <v>56078603</v>
      </c>
      <c r="Y28" t="s">
        <v>1173</v>
      </c>
    </row>
    <row r="29" spans="3:25" x14ac:dyDescent="0.2">
      <c r="C29">
        <v>130626</v>
      </c>
      <c r="D29" t="s">
        <v>1188</v>
      </c>
      <c r="E29" t="s">
        <v>1196</v>
      </c>
      <c r="F29">
        <v>713</v>
      </c>
      <c r="H29" s="997"/>
      <c r="I29" s="997"/>
      <c r="X29">
        <v>56078603</v>
      </c>
      <c r="Y29" t="s">
        <v>1173</v>
      </c>
    </row>
    <row r="30" spans="3:25" x14ac:dyDescent="0.2">
      <c r="C30">
        <v>130627</v>
      </c>
      <c r="D30" t="s">
        <v>1227</v>
      </c>
      <c r="E30" t="s">
        <v>1196</v>
      </c>
      <c r="F30">
        <v>453</v>
      </c>
      <c r="G30">
        <v>67</v>
      </c>
      <c r="H30" s="997">
        <v>29403.200000000001</v>
      </c>
      <c r="I30" s="997">
        <v>9005.3799999999992</v>
      </c>
      <c r="X30">
        <v>56078603</v>
      </c>
      <c r="Y30" t="s">
        <v>1173</v>
      </c>
    </row>
    <row r="31" spans="3:25" x14ac:dyDescent="0.2">
      <c r="C31">
        <v>130628</v>
      </c>
      <c r="D31" t="s">
        <v>1237</v>
      </c>
      <c r="E31" t="s">
        <v>1246</v>
      </c>
      <c r="F31">
        <v>885</v>
      </c>
      <c r="G31">
        <v>67</v>
      </c>
      <c r="H31" s="997">
        <v>26483.279999999999</v>
      </c>
      <c r="I31" s="997">
        <v>26483.279999999999</v>
      </c>
      <c r="J31">
        <v>0</v>
      </c>
      <c r="X31">
        <v>56078603</v>
      </c>
      <c r="Y31" t="s">
        <v>1173</v>
      </c>
    </row>
    <row r="32" spans="3:25" x14ac:dyDescent="0.2">
      <c r="C32">
        <v>130629</v>
      </c>
      <c r="D32" t="s">
        <v>1247</v>
      </c>
      <c r="E32" t="s">
        <v>1246</v>
      </c>
      <c r="F32">
        <v>188</v>
      </c>
      <c r="G32">
        <v>67</v>
      </c>
      <c r="H32" s="997">
        <v>12894.44</v>
      </c>
      <c r="I32" s="997">
        <v>12894.44</v>
      </c>
      <c r="J32">
        <v>0</v>
      </c>
      <c r="X32">
        <v>56078603</v>
      </c>
      <c r="Y32" t="s">
        <v>1173</v>
      </c>
    </row>
    <row r="33" spans="3:25" x14ac:dyDescent="0.2">
      <c r="C33">
        <v>130631</v>
      </c>
      <c r="D33" t="s">
        <v>1254</v>
      </c>
      <c r="E33" t="s">
        <v>1246</v>
      </c>
      <c r="F33">
        <v>441</v>
      </c>
      <c r="G33">
        <v>67</v>
      </c>
      <c r="H33" s="997"/>
      <c r="I33" s="997">
        <v>37031.629999999997</v>
      </c>
      <c r="X33">
        <v>56078603</v>
      </c>
      <c r="Y33" t="s">
        <v>1173</v>
      </c>
    </row>
    <row r="34" spans="3:25" x14ac:dyDescent="0.2">
      <c r="C34">
        <v>130632</v>
      </c>
      <c r="D34" t="s">
        <v>1197</v>
      </c>
      <c r="E34" t="s">
        <v>1204</v>
      </c>
      <c r="F34">
        <v>416</v>
      </c>
      <c r="G34">
        <v>67</v>
      </c>
      <c r="H34" s="997">
        <v>181520.89</v>
      </c>
      <c r="I34" s="997">
        <v>181520.89</v>
      </c>
      <c r="J34">
        <v>0</v>
      </c>
      <c r="X34">
        <v>56078603</v>
      </c>
      <c r="Y34" t="s">
        <v>1173</v>
      </c>
    </row>
    <row r="35" spans="3:25" x14ac:dyDescent="0.2">
      <c r="C35">
        <v>130633</v>
      </c>
      <c r="D35" t="s">
        <v>1261</v>
      </c>
      <c r="E35" t="s">
        <v>1270</v>
      </c>
      <c r="F35">
        <v>201</v>
      </c>
      <c r="G35">
        <v>67</v>
      </c>
      <c r="H35" s="997">
        <v>0</v>
      </c>
      <c r="I35" s="997">
        <v>0</v>
      </c>
      <c r="X35">
        <v>56078603</v>
      </c>
      <c r="Y35" t="s">
        <v>1173</v>
      </c>
    </row>
    <row r="36" spans="3:25" x14ac:dyDescent="0.2">
      <c r="C36">
        <v>130634</v>
      </c>
      <c r="D36" t="s">
        <v>1271</v>
      </c>
      <c r="E36" t="s">
        <v>1279</v>
      </c>
      <c r="F36">
        <v>204</v>
      </c>
      <c r="G36">
        <v>67</v>
      </c>
      <c r="H36" s="997"/>
      <c r="I36" s="997"/>
      <c r="J36">
        <v>0</v>
      </c>
      <c r="X36">
        <v>56078603</v>
      </c>
      <c r="Y36" t="s">
        <v>1173</v>
      </c>
    </row>
    <row r="37" spans="3:25" x14ac:dyDescent="0.2">
      <c r="C37">
        <v>130635</v>
      </c>
      <c r="D37" t="s">
        <v>1280</v>
      </c>
      <c r="E37" t="s">
        <v>1287</v>
      </c>
      <c r="F37">
        <v>526</v>
      </c>
      <c r="G37">
        <v>67</v>
      </c>
      <c r="H37" s="997">
        <v>68052</v>
      </c>
      <c r="I37" s="997">
        <v>43848</v>
      </c>
      <c r="X37">
        <v>56078603</v>
      </c>
      <c r="Y37" t="s">
        <v>1173</v>
      </c>
    </row>
    <row r="38" spans="3:25" x14ac:dyDescent="0.2">
      <c r="C38">
        <v>130636</v>
      </c>
      <c r="D38" t="s">
        <v>1289</v>
      </c>
      <c r="E38" t="s">
        <v>1287</v>
      </c>
      <c r="F38">
        <v>23</v>
      </c>
      <c r="G38">
        <v>67</v>
      </c>
      <c r="H38" s="997">
        <v>213510</v>
      </c>
      <c r="I38" s="997">
        <v>213510</v>
      </c>
      <c r="X38">
        <v>56078603</v>
      </c>
      <c r="Y38" t="s">
        <v>1173</v>
      </c>
    </row>
    <row r="39" spans="3:25" x14ac:dyDescent="0.2">
      <c r="C39">
        <v>130637</v>
      </c>
      <c r="D39" t="s">
        <v>1293</v>
      </c>
      <c r="E39" t="s">
        <v>1301</v>
      </c>
      <c r="F39">
        <v>443</v>
      </c>
      <c r="G39">
        <v>65</v>
      </c>
      <c r="H39" s="997">
        <v>35686</v>
      </c>
      <c r="I39" s="997">
        <v>23309</v>
      </c>
      <c r="J39">
        <v>0</v>
      </c>
      <c r="K39">
        <v>0</v>
      </c>
      <c r="L39">
        <v>2</v>
      </c>
      <c r="M39">
        <v>2</v>
      </c>
      <c r="O39">
        <v>1</v>
      </c>
      <c r="P39">
        <v>2</v>
      </c>
      <c r="R39">
        <v>2</v>
      </c>
      <c r="S39">
        <v>2</v>
      </c>
      <c r="T39" t="s">
        <v>1375</v>
      </c>
      <c r="U39" t="s">
        <v>1375</v>
      </c>
      <c r="V39" t="s">
        <v>1357</v>
      </c>
      <c r="W39" t="s">
        <v>1375</v>
      </c>
      <c r="X39">
        <v>56078603</v>
      </c>
      <c r="Y39" t="s">
        <v>1173</v>
      </c>
    </row>
    <row r="40" spans="3:25" x14ac:dyDescent="0.2">
      <c r="C40">
        <v>130638</v>
      </c>
      <c r="D40" t="s">
        <v>1303</v>
      </c>
      <c r="E40" t="s">
        <v>1301</v>
      </c>
      <c r="F40">
        <v>807</v>
      </c>
      <c r="G40">
        <v>67</v>
      </c>
      <c r="H40" s="997">
        <v>15440</v>
      </c>
      <c r="I40" s="997">
        <v>15440</v>
      </c>
      <c r="J40">
        <v>0</v>
      </c>
      <c r="K40">
        <v>0</v>
      </c>
      <c r="L40">
        <v>2</v>
      </c>
      <c r="M40">
        <v>2</v>
      </c>
      <c r="O40">
        <v>1</v>
      </c>
      <c r="P40">
        <v>2</v>
      </c>
      <c r="R40">
        <v>2</v>
      </c>
      <c r="S40">
        <v>1</v>
      </c>
      <c r="T40" t="s">
        <v>1375</v>
      </c>
      <c r="U40" t="s">
        <v>1375</v>
      </c>
      <c r="V40" t="s">
        <v>1357</v>
      </c>
      <c r="W40" t="s">
        <v>1375</v>
      </c>
      <c r="X40">
        <v>56078603</v>
      </c>
      <c r="Y40" t="s">
        <v>1173</v>
      </c>
    </row>
    <row r="41" spans="3:25" x14ac:dyDescent="0.2">
      <c r="C41">
        <v>130639</v>
      </c>
      <c r="D41" t="s">
        <v>1309</v>
      </c>
      <c r="E41" t="s">
        <v>1301</v>
      </c>
      <c r="F41">
        <v>177</v>
      </c>
      <c r="G41">
        <v>67</v>
      </c>
      <c r="H41" s="997">
        <v>268588</v>
      </c>
      <c r="I41" s="997">
        <v>245037</v>
      </c>
      <c r="J41">
        <v>0</v>
      </c>
      <c r="K41">
        <v>0</v>
      </c>
      <c r="L41">
        <v>2</v>
      </c>
      <c r="M41">
        <v>2</v>
      </c>
      <c r="O41">
        <v>1</v>
      </c>
      <c r="P41">
        <v>2</v>
      </c>
      <c r="R41">
        <v>2</v>
      </c>
      <c r="S41">
        <v>1</v>
      </c>
      <c r="T41" t="s">
        <v>1375</v>
      </c>
      <c r="U41" t="s">
        <v>1375</v>
      </c>
      <c r="V41" t="s">
        <v>1357</v>
      </c>
      <c r="W41" t="s">
        <v>1375</v>
      </c>
      <c r="X41">
        <v>56078603</v>
      </c>
      <c r="Y41" t="s">
        <v>1173</v>
      </c>
    </row>
    <row r="42" spans="3:25" x14ac:dyDescent="0.2">
      <c r="C42">
        <v>130640</v>
      </c>
      <c r="D42" t="s">
        <v>1315</v>
      </c>
      <c r="E42" t="s">
        <v>1301</v>
      </c>
      <c r="F42">
        <v>56</v>
      </c>
      <c r="G42">
        <v>67</v>
      </c>
      <c r="H42" s="997">
        <v>391204</v>
      </c>
      <c r="I42" s="997">
        <v>391204</v>
      </c>
      <c r="J42">
        <v>0</v>
      </c>
      <c r="K42">
        <v>0</v>
      </c>
      <c r="L42">
        <v>2</v>
      </c>
      <c r="M42">
        <v>2</v>
      </c>
      <c r="O42">
        <v>1</v>
      </c>
      <c r="P42">
        <v>2</v>
      </c>
      <c r="R42">
        <v>2</v>
      </c>
      <c r="S42">
        <v>2</v>
      </c>
      <c r="T42" t="s">
        <v>1375</v>
      </c>
      <c r="U42" t="s">
        <v>1375</v>
      </c>
      <c r="V42" t="s">
        <v>1357</v>
      </c>
      <c r="W42" t="s">
        <v>1375</v>
      </c>
      <c r="X42">
        <v>56078603</v>
      </c>
      <c r="Y42" t="s">
        <v>1173</v>
      </c>
    </row>
    <row r="43" spans="3:25" x14ac:dyDescent="0.2">
      <c r="C43">
        <v>130641</v>
      </c>
      <c r="D43" t="s">
        <v>1321</v>
      </c>
      <c r="E43" t="s">
        <v>1301</v>
      </c>
      <c r="F43">
        <v>439</v>
      </c>
      <c r="G43">
        <v>67</v>
      </c>
      <c r="H43" s="997">
        <v>591958</v>
      </c>
      <c r="I43" s="997">
        <v>398521</v>
      </c>
      <c r="J43">
        <v>0</v>
      </c>
      <c r="K43">
        <v>0</v>
      </c>
      <c r="L43">
        <v>2</v>
      </c>
      <c r="M43">
        <v>2</v>
      </c>
      <c r="O43">
        <v>1</v>
      </c>
      <c r="P43">
        <v>2</v>
      </c>
      <c r="R43">
        <v>2</v>
      </c>
      <c r="S43">
        <v>2</v>
      </c>
      <c r="T43" t="s">
        <v>1375</v>
      </c>
      <c r="U43" t="s">
        <v>1375</v>
      </c>
      <c r="V43" t="s">
        <v>1357</v>
      </c>
      <c r="W43" t="s">
        <v>1375</v>
      </c>
      <c r="X43">
        <v>56078603</v>
      </c>
      <c r="Y43" t="s">
        <v>1173</v>
      </c>
    </row>
    <row r="44" spans="3:25" x14ac:dyDescent="0.2">
      <c r="C44">
        <v>130642</v>
      </c>
      <c r="D44" t="s">
        <v>1325</v>
      </c>
      <c r="E44" t="s">
        <v>1301</v>
      </c>
      <c r="F44">
        <v>384</v>
      </c>
      <c r="G44">
        <v>67</v>
      </c>
      <c r="H44" s="997">
        <v>18404</v>
      </c>
      <c r="I44" s="997">
        <v>18404</v>
      </c>
      <c r="J44">
        <v>0</v>
      </c>
      <c r="K44">
        <v>0</v>
      </c>
      <c r="L44">
        <v>2</v>
      </c>
      <c r="M44">
        <v>2</v>
      </c>
      <c r="O44">
        <v>1</v>
      </c>
      <c r="P44">
        <v>2</v>
      </c>
      <c r="R44">
        <v>2</v>
      </c>
      <c r="S44">
        <v>2</v>
      </c>
      <c r="T44" t="s">
        <v>1375</v>
      </c>
      <c r="U44" t="s">
        <v>1375</v>
      </c>
      <c r="V44" t="s">
        <v>1357</v>
      </c>
      <c r="W44" t="s">
        <v>1375</v>
      </c>
      <c r="X44">
        <v>56078603</v>
      </c>
      <c r="Y44" t="s">
        <v>1173</v>
      </c>
    </row>
    <row r="45" spans="3:25" x14ac:dyDescent="0.2">
      <c r="C45">
        <v>130643</v>
      </c>
      <c r="D45" t="s">
        <v>1330</v>
      </c>
      <c r="E45" t="s">
        <v>1339</v>
      </c>
      <c r="F45">
        <v>993</v>
      </c>
      <c r="G45">
        <v>67</v>
      </c>
      <c r="H45" s="997"/>
      <c r="I45" s="997"/>
      <c r="J45">
        <v>42.18</v>
      </c>
      <c r="X45">
        <v>56078603</v>
      </c>
      <c r="Y45" t="s">
        <v>1332</v>
      </c>
    </row>
    <row r="46" spans="3:25" x14ac:dyDescent="0.2">
      <c r="H46" s="997"/>
      <c r="I46" s="997"/>
    </row>
    <row r="47" spans="3:25" x14ac:dyDescent="0.2">
      <c r="H47" s="997"/>
      <c r="I47" s="997"/>
    </row>
    <row r="48" spans="3:25" x14ac:dyDescent="0.2">
      <c r="H48" s="997"/>
      <c r="I48" s="997"/>
    </row>
    <row r="49" spans="8:9" x14ac:dyDescent="0.2">
      <c r="H49" s="997"/>
      <c r="I49" s="997"/>
    </row>
    <row r="50" spans="8:9" x14ac:dyDescent="0.2">
      <c r="H50" s="997"/>
      <c r="I50" s="997"/>
    </row>
    <row r="51" spans="8:9" x14ac:dyDescent="0.2">
      <c r="H51" s="997"/>
      <c r="I51" s="997"/>
    </row>
    <row r="52" spans="8:9" x14ac:dyDescent="0.2">
      <c r="H52" s="997"/>
      <c r="I52" s="997"/>
    </row>
    <row r="53" spans="8:9" x14ac:dyDescent="0.2">
      <c r="H53" s="997"/>
      <c r="I53" s="997"/>
    </row>
    <row r="54" spans="8:9" x14ac:dyDescent="0.2">
      <c r="H54" s="997"/>
      <c r="I54" s="997"/>
    </row>
    <row r="55" spans="8:9" x14ac:dyDescent="0.2">
      <c r="H55" s="997"/>
      <c r="I55" s="997"/>
    </row>
    <row r="56" spans="8:9" x14ac:dyDescent="0.2">
      <c r="H56" s="997"/>
      <c r="I56" s="997"/>
    </row>
    <row r="57" spans="8:9" x14ac:dyDescent="0.2">
      <c r="H57" s="997"/>
      <c r="I57" s="997"/>
    </row>
    <row r="58" spans="8:9" x14ac:dyDescent="0.2">
      <c r="H58" s="997"/>
      <c r="I58" s="997"/>
    </row>
    <row r="59" spans="8:9" x14ac:dyDescent="0.2">
      <c r="H59" s="997"/>
      <c r="I59" s="997"/>
    </row>
    <row r="60" spans="8:9" x14ac:dyDescent="0.2">
      <c r="H60" s="997"/>
      <c r="I60" s="997"/>
    </row>
    <row r="61" spans="8:9" x14ac:dyDescent="0.2">
      <c r="H61" s="997"/>
      <c r="I61" s="997"/>
    </row>
    <row r="62" spans="8:9" x14ac:dyDescent="0.2">
      <c r="H62" s="997"/>
      <c r="I62" s="997"/>
    </row>
    <row r="63" spans="8:9" x14ac:dyDescent="0.2">
      <c r="H63" s="997"/>
      <c r="I63" s="997"/>
    </row>
    <row r="64" spans="8:9" x14ac:dyDescent="0.2">
      <c r="H64" s="997"/>
      <c r="I64" s="997"/>
    </row>
    <row r="65" spans="8:9" x14ac:dyDescent="0.2">
      <c r="H65" s="997"/>
      <c r="I65" s="997"/>
    </row>
    <row r="66" spans="8:9" x14ac:dyDescent="0.2">
      <c r="H66" s="997"/>
      <c r="I66" s="997"/>
    </row>
    <row r="67" spans="8:9" x14ac:dyDescent="0.2">
      <c r="H67" s="997"/>
      <c r="I67" s="997"/>
    </row>
    <row r="68" spans="8:9" x14ac:dyDescent="0.2">
      <c r="H68" s="997"/>
      <c r="I68" s="997"/>
    </row>
    <row r="69" spans="8:9" x14ac:dyDescent="0.2">
      <c r="H69" s="997"/>
      <c r="I69" s="997"/>
    </row>
    <row r="70" spans="8:9" x14ac:dyDescent="0.2">
      <c r="H70" s="997"/>
      <c r="I70" s="997"/>
    </row>
    <row r="71" spans="8:9" x14ac:dyDescent="0.2">
      <c r="H71" s="997"/>
      <c r="I71" s="997"/>
    </row>
    <row r="72" spans="8:9" x14ac:dyDescent="0.2">
      <c r="H72" s="997"/>
      <c r="I72" s="997"/>
    </row>
    <row r="73" spans="8:9" x14ac:dyDescent="0.2">
      <c r="H73" s="997"/>
      <c r="I73" s="997"/>
    </row>
    <row r="74" spans="8:9" x14ac:dyDescent="0.2">
      <c r="H74" s="997"/>
      <c r="I74" s="997"/>
    </row>
    <row r="75" spans="8:9" x14ac:dyDescent="0.2">
      <c r="H75" s="997"/>
      <c r="I75" s="997"/>
    </row>
    <row r="76" spans="8:9" x14ac:dyDescent="0.2">
      <c r="H76" s="997"/>
      <c r="I76" s="997"/>
    </row>
    <row r="77" spans="8:9" x14ac:dyDescent="0.2">
      <c r="H77" s="997"/>
      <c r="I77" s="997"/>
    </row>
    <row r="78" spans="8:9" x14ac:dyDescent="0.2">
      <c r="H78" s="997"/>
      <c r="I78" s="997"/>
    </row>
    <row r="79" spans="8:9" x14ac:dyDescent="0.2">
      <c r="H79" s="997"/>
      <c r="I79" s="997"/>
    </row>
    <row r="80" spans="8:9" x14ac:dyDescent="0.2">
      <c r="H80" s="997"/>
      <c r="I80" s="997"/>
    </row>
    <row r="81" spans="8:9" x14ac:dyDescent="0.2">
      <c r="H81" s="997"/>
      <c r="I81" s="997"/>
    </row>
    <row r="82" spans="8:9" x14ac:dyDescent="0.2">
      <c r="H82" s="997"/>
      <c r="I82" s="997"/>
    </row>
    <row r="83" spans="8:9" x14ac:dyDescent="0.2">
      <c r="H83" s="997"/>
      <c r="I83" s="997"/>
    </row>
    <row r="84" spans="8:9" x14ac:dyDescent="0.2">
      <c r="H84" s="997"/>
      <c r="I84" s="997"/>
    </row>
    <row r="85" spans="8:9" x14ac:dyDescent="0.2">
      <c r="H85" s="997"/>
      <c r="I85" s="997"/>
    </row>
    <row r="86" spans="8:9" x14ac:dyDescent="0.2">
      <c r="H86" s="997"/>
      <c r="I86" s="997"/>
    </row>
    <row r="87" spans="8:9" x14ac:dyDescent="0.2">
      <c r="H87" s="997"/>
      <c r="I87" s="997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2"/>
  <dimension ref="C2:N36"/>
  <sheetViews>
    <sheetView rightToLeft="1" workbookViewId="0">
      <selection activeCell="AL8" sqref="AL8"/>
    </sheetView>
  </sheetViews>
  <sheetFormatPr defaultRowHeight="12.75" x14ac:dyDescent="0.2"/>
  <cols>
    <col min="3" max="3" width="13.42578125" customWidth="1"/>
    <col min="4" max="4" width="13.140625" customWidth="1"/>
    <col min="5" max="5" width="13.28515625" customWidth="1"/>
    <col min="6" max="6" width="12.7109375" customWidth="1"/>
    <col min="7" max="7" width="12.5703125" customWidth="1"/>
    <col min="9" max="9" width="13.28515625" customWidth="1"/>
    <col min="10" max="10" width="11.42578125" customWidth="1"/>
    <col min="11" max="11" width="12" customWidth="1"/>
    <col min="12" max="12" width="13.140625" customWidth="1"/>
    <col min="13" max="13" width="12.140625" customWidth="1"/>
    <col min="14" max="14" width="12.7109375" customWidth="1"/>
  </cols>
  <sheetData>
    <row r="2" spans="3:14" ht="23.25" x14ac:dyDescent="0.35">
      <c r="H2" s="10" t="s">
        <v>1142</v>
      </c>
    </row>
    <row r="5" spans="3:14" ht="31.5" x14ac:dyDescent="0.25">
      <c r="C5" s="3" t="s">
        <v>1</v>
      </c>
      <c r="D5" s="3" t="s">
        <v>2</v>
      </c>
      <c r="E5" s="3" t="s">
        <v>16</v>
      </c>
      <c r="F5" s="3" t="s">
        <v>22</v>
      </c>
      <c r="G5" s="3" t="s">
        <v>23</v>
      </c>
      <c r="H5" s="3" t="s">
        <v>17</v>
      </c>
      <c r="I5" s="3" t="s">
        <v>34</v>
      </c>
      <c r="J5" s="3" t="s">
        <v>18</v>
      </c>
      <c r="K5" s="3" t="s">
        <v>35</v>
      </c>
      <c r="L5" s="3" t="s">
        <v>20</v>
      </c>
      <c r="M5" s="3" t="s">
        <v>19</v>
      </c>
      <c r="N5" s="3" t="s">
        <v>21</v>
      </c>
    </row>
    <row r="6" spans="3:14" x14ac:dyDescent="0.2">
      <c r="C6">
        <v>56078603</v>
      </c>
      <c r="D6" t="s">
        <v>1330</v>
      </c>
      <c r="E6">
        <v>0</v>
      </c>
    </row>
    <row r="7" spans="3:14" x14ac:dyDescent="0.2">
      <c r="C7">
        <v>56078603</v>
      </c>
      <c r="D7" t="s">
        <v>1330</v>
      </c>
      <c r="F7">
        <v>0</v>
      </c>
    </row>
    <row r="8" spans="3:14" x14ac:dyDescent="0.2">
      <c r="C8">
        <v>56078603</v>
      </c>
      <c r="D8" t="s">
        <v>1330</v>
      </c>
      <c r="G8">
        <v>0</v>
      </c>
    </row>
    <row r="9" spans="3:14" x14ac:dyDescent="0.2">
      <c r="C9">
        <v>56078603</v>
      </c>
      <c r="D9" t="s">
        <v>1214</v>
      </c>
      <c r="H9">
        <v>0</v>
      </c>
    </row>
    <row r="10" spans="3:14" x14ac:dyDescent="0.2">
      <c r="C10">
        <v>56078603</v>
      </c>
      <c r="D10" t="s">
        <v>1225</v>
      </c>
      <c r="F10">
        <v>0</v>
      </c>
    </row>
    <row r="11" spans="3:14" x14ac:dyDescent="0.2">
      <c r="C11">
        <v>56078603</v>
      </c>
      <c r="D11" t="s">
        <v>1205</v>
      </c>
      <c r="E11">
        <v>8.3299999237060547</v>
      </c>
      <c r="F11">
        <v>5</v>
      </c>
      <c r="G11">
        <v>5</v>
      </c>
    </row>
    <row r="12" spans="3:14" x14ac:dyDescent="0.2">
      <c r="C12">
        <v>56078603</v>
      </c>
      <c r="D12" t="s">
        <v>1237</v>
      </c>
      <c r="F12">
        <v>0</v>
      </c>
    </row>
    <row r="13" spans="3:14" x14ac:dyDescent="0.2">
      <c r="C13">
        <v>56078603</v>
      </c>
      <c r="D13" t="s">
        <v>1247</v>
      </c>
      <c r="F13">
        <v>0</v>
      </c>
    </row>
    <row r="14" spans="3:14" x14ac:dyDescent="0.2">
      <c r="C14">
        <v>56078603</v>
      </c>
      <c r="D14" t="s">
        <v>1321</v>
      </c>
      <c r="F14">
        <v>7</v>
      </c>
    </row>
    <row r="15" spans="3:14" x14ac:dyDescent="0.2">
      <c r="C15">
        <v>56078603</v>
      </c>
      <c r="D15" t="s">
        <v>1321</v>
      </c>
      <c r="G15">
        <v>7.5</v>
      </c>
    </row>
    <row r="16" spans="3:14" x14ac:dyDescent="0.2">
      <c r="C16">
        <v>56078603</v>
      </c>
      <c r="D16" t="s">
        <v>1325</v>
      </c>
      <c r="F16">
        <v>5</v>
      </c>
      <c r="G16">
        <v>5</v>
      </c>
    </row>
    <row r="17" spans="3:14" x14ac:dyDescent="0.2">
      <c r="C17">
        <v>56078603</v>
      </c>
      <c r="D17" t="s">
        <v>1309</v>
      </c>
      <c r="H17">
        <v>100</v>
      </c>
    </row>
    <row r="18" spans="3:14" x14ac:dyDescent="0.2">
      <c r="C18">
        <v>56078603</v>
      </c>
      <c r="D18" t="s">
        <v>1293</v>
      </c>
      <c r="N18">
        <v>100</v>
      </c>
    </row>
    <row r="19" spans="3:14" x14ac:dyDescent="0.2">
      <c r="C19">
        <v>56078603</v>
      </c>
      <c r="D19" t="s">
        <v>1303</v>
      </c>
      <c r="N19">
        <v>100</v>
      </c>
    </row>
    <row r="20" spans="3:14" x14ac:dyDescent="0.2">
      <c r="C20">
        <v>56078603</v>
      </c>
      <c r="D20" t="s">
        <v>1261</v>
      </c>
      <c r="F20">
        <v>0</v>
      </c>
    </row>
    <row r="21" spans="3:14" x14ac:dyDescent="0.2">
      <c r="C21">
        <v>56078603</v>
      </c>
      <c r="D21" t="s">
        <v>1254</v>
      </c>
      <c r="E21">
        <v>6</v>
      </c>
      <c r="F21">
        <v>5.5</v>
      </c>
      <c r="G21">
        <v>6</v>
      </c>
    </row>
    <row r="22" spans="3:14" x14ac:dyDescent="0.2">
      <c r="C22">
        <v>56078603</v>
      </c>
      <c r="D22" t="s">
        <v>1171</v>
      </c>
      <c r="L22">
        <v>2.5</v>
      </c>
      <c r="M22">
        <v>7.5</v>
      </c>
    </row>
    <row r="23" spans="3:14" x14ac:dyDescent="0.2">
      <c r="C23">
        <v>56078603</v>
      </c>
      <c r="D23" t="s">
        <v>1184</v>
      </c>
      <c r="L23">
        <v>2.5</v>
      </c>
      <c r="M23">
        <v>11.5</v>
      </c>
    </row>
    <row r="24" spans="3:14" x14ac:dyDescent="0.2">
      <c r="C24">
        <v>56078603</v>
      </c>
      <c r="D24" t="s">
        <v>1197</v>
      </c>
      <c r="N24">
        <v>0</v>
      </c>
    </row>
    <row r="25" spans="3:14" x14ac:dyDescent="0.2">
      <c r="C25">
        <v>56078603</v>
      </c>
      <c r="D25" t="s">
        <v>1188</v>
      </c>
      <c r="L25">
        <v>2.5</v>
      </c>
    </row>
    <row r="26" spans="3:14" x14ac:dyDescent="0.2">
      <c r="C26">
        <v>56078603</v>
      </c>
      <c r="D26" t="s">
        <v>1227</v>
      </c>
      <c r="F26">
        <v>5.75</v>
      </c>
    </row>
    <row r="27" spans="3:14" x14ac:dyDescent="0.2">
      <c r="C27">
        <v>56078603</v>
      </c>
      <c r="D27" t="s">
        <v>1227</v>
      </c>
      <c r="E27">
        <v>6</v>
      </c>
    </row>
    <row r="28" spans="3:14" x14ac:dyDescent="0.2">
      <c r="C28">
        <v>56078603</v>
      </c>
      <c r="D28" t="s">
        <v>1227</v>
      </c>
      <c r="G28">
        <v>6.25</v>
      </c>
    </row>
    <row r="29" spans="3:14" x14ac:dyDescent="0.2">
      <c r="C29">
        <v>56078603</v>
      </c>
      <c r="D29" t="s">
        <v>1271</v>
      </c>
      <c r="E29">
        <v>6</v>
      </c>
      <c r="F29">
        <v>6</v>
      </c>
      <c r="G29">
        <v>5.5</v>
      </c>
    </row>
    <row r="30" spans="3:14" x14ac:dyDescent="0.2">
      <c r="C30">
        <v>56078603</v>
      </c>
      <c r="D30" t="s">
        <v>1315</v>
      </c>
      <c r="N30">
        <v>100</v>
      </c>
    </row>
    <row r="31" spans="3:14" x14ac:dyDescent="0.2">
      <c r="C31">
        <v>56078603</v>
      </c>
      <c r="D31" t="s">
        <v>1351</v>
      </c>
      <c r="E31">
        <v>8.3299999237060547</v>
      </c>
      <c r="F31">
        <v>5.5</v>
      </c>
      <c r="G31">
        <v>6</v>
      </c>
    </row>
    <row r="32" spans="3:14" x14ac:dyDescent="0.2">
      <c r="C32">
        <v>56078603</v>
      </c>
      <c r="D32" t="s">
        <v>1424</v>
      </c>
    </row>
    <row r="33" spans="3:14" x14ac:dyDescent="0.2">
      <c r="C33">
        <v>56078603</v>
      </c>
      <c r="D33" t="s">
        <v>1280</v>
      </c>
      <c r="F33">
        <v>7</v>
      </c>
      <c r="G33">
        <v>7.5</v>
      </c>
    </row>
    <row r="34" spans="3:14" x14ac:dyDescent="0.2">
      <c r="C34">
        <v>56078603</v>
      </c>
      <c r="D34" t="s">
        <v>1386</v>
      </c>
    </row>
    <row r="35" spans="3:14" x14ac:dyDescent="0.2">
      <c r="C35">
        <v>56078603</v>
      </c>
      <c r="D35" t="s">
        <v>1289</v>
      </c>
      <c r="N35">
        <v>0</v>
      </c>
    </row>
    <row r="36" spans="3:14" x14ac:dyDescent="0.2">
      <c r="C36">
        <v>56078603</v>
      </c>
      <c r="D36" t="s">
        <v>1392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28"/>
  <dimension ref="C5:F14"/>
  <sheetViews>
    <sheetView rightToLeft="1" workbookViewId="0">
      <selection activeCell="AL8" sqref="AL8"/>
    </sheetView>
  </sheetViews>
  <sheetFormatPr defaultRowHeight="12.75" x14ac:dyDescent="0.2"/>
  <cols>
    <col min="3" max="3" width="12.85546875" customWidth="1"/>
    <col min="4" max="4" width="12.140625" customWidth="1"/>
    <col min="5" max="5" width="13" customWidth="1"/>
    <col min="6" max="6" width="12.85546875" customWidth="1"/>
  </cols>
  <sheetData>
    <row r="5" spans="3:6" ht="31.5" x14ac:dyDescent="0.2">
      <c r="C5" s="4" t="s">
        <v>2</v>
      </c>
      <c r="D5" s="4" t="s">
        <v>1098</v>
      </c>
      <c r="E5" s="4" t="s">
        <v>1099</v>
      </c>
      <c r="F5" s="4" t="s">
        <v>1100</v>
      </c>
    </row>
    <row r="6" spans="3:6" x14ac:dyDescent="0.2">
      <c r="C6" t="s">
        <v>1330</v>
      </c>
      <c r="D6">
        <v>105173.09</v>
      </c>
      <c r="E6">
        <v>8090.2376923076918</v>
      </c>
      <c r="F6">
        <v>9480.16</v>
      </c>
    </row>
    <row r="7" spans="3:6" x14ac:dyDescent="0.2">
      <c r="C7" t="s">
        <v>1321</v>
      </c>
      <c r="D7">
        <v>12615</v>
      </c>
      <c r="E7">
        <v>1261.5</v>
      </c>
      <c r="F7">
        <v>1261.5</v>
      </c>
    </row>
    <row r="8" spans="3:6" x14ac:dyDescent="0.2">
      <c r="C8" t="s">
        <v>1309</v>
      </c>
      <c r="D8">
        <v>1658.0700000000002</v>
      </c>
      <c r="E8">
        <v>165.80700000000002</v>
      </c>
      <c r="F8">
        <v>166.91</v>
      </c>
    </row>
    <row r="9" spans="3:6" x14ac:dyDescent="0.2">
      <c r="C9" t="s">
        <v>1293</v>
      </c>
      <c r="D9">
        <v>1088.03</v>
      </c>
      <c r="E9">
        <v>108.803</v>
      </c>
      <c r="F9">
        <v>109.53</v>
      </c>
    </row>
    <row r="10" spans="3:6" x14ac:dyDescent="0.2">
      <c r="C10" t="s">
        <v>1184</v>
      </c>
      <c r="D10">
        <v>24795.31</v>
      </c>
      <c r="E10">
        <v>2755.0344444444445</v>
      </c>
      <c r="F10">
        <v>3325.59</v>
      </c>
    </row>
    <row r="11" spans="3:6" x14ac:dyDescent="0.2">
      <c r="C11" t="s">
        <v>1188</v>
      </c>
      <c r="D11">
        <v>12002</v>
      </c>
      <c r="E11">
        <v>6001</v>
      </c>
      <c r="F11">
        <v>6720</v>
      </c>
    </row>
    <row r="12" spans="3:6" x14ac:dyDescent="0.2">
      <c r="C12" t="s">
        <v>1227</v>
      </c>
      <c r="D12">
        <v>1783.7400000000002</v>
      </c>
      <c r="E12">
        <v>178.37400000000002</v>
      </c>
      <c r="F12">
        <v>376.48</v>
      </c>
    </row>
    <row r="13" spans="3:6" x14ac:dyDescent="0.2">
      <c r="C13" t="s">
        <v>1351</v>
      </c>
      <c r="D13">
        <v>27500</v>
      </c>
      <c r="E13">
        <v>3928.5714285714284</v>
      </c>
      <c r="F13">
        <v>4400</v>
      </c>
    </row>
    <row r="14" spans="3:6" x14ac:dyDescent="0.2">
      <c r="C14" t="s">
        <v>1280</v>
      </c>
      <c r="D14">
        <v>1774.0600000000002</v>
      </c>
      <c r="E14">
        <v>177.40600000000001</v>
      </c>
      <c r="F14">
        <v>414.87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5"/>
  <dimension ref="C2:N217"/>
  <sheetViews>
    <sheetView rightToLeft="1" workbookViewId="0">
      <selection activeCell="AL8" sqref="AL8"/>
    </sheetView>
  </sheetViews>
  <sheetFormatPr defaultRowHeight="12.75" x14ac:dyDescent="0.2"/>
  <cols>
    <col min="4" max="4" width="10.42578125" customWidth="1"/>
    <col min="5" max="5" width="11.7109375" customWidth="1"/>
    <col min="6" max="6" width="13.42578125" customWidth="1"/>
    <col min="7" max="7" width="10.7109375" style="1021" customWidth="1"/>
    <col min="8" max="8" width="13.42578125" customWidth="1"/>
    <col min="9" max="9" width="11.28515625" customWidth="1"/>
    <col min="10" max="10" width="11.7109375" customWidth="1"/>
    <col min="12" max="12" width="10.85546875" customWidth="1"/>
    <col min="13" max="13" width="11" customWidth="1"/>
    <col min="14" max="14" width="12.7109375" customWidth="1"/>
  </cols>
  <sheetData>
    <row r="2" spans="3:14" ht="18" x14ac:dyDescent="0.25">
      <c r="G2" s="1026" t="s">
        <v>294</v>
      </c>
    </row>
    <row r="5" spans="3:14" ht="47.25" x14ac:dyDescent="0.25">
      <c r="C5" s="3" t="s">
        <v>36</v>
      </c>
      <c r="D5" s="3" t="s">
        <v>2</v>
      </c>
      <c r="E5" s="3" t="s">
        <v>37</v>
      </c>
      <c r="F5" s="3" t="s">
        <v>38</v>
      </c>
      <c r="G5" s="1023" t="s">
        <v>39</v>
      </c>
      <c r="H5" s="3" t="s">
        <v>40</v>
      </c>
      <c r="I5" s="3" t="s">
        <v>41</v>
      </c>
      <c r="J5" s="3" t="s">
        <v>42</v>
      </c>
      <c r="K5" s="3" t="s">
        <v>43</v>
      </c>
      <c r="L5" s="3" t="s">
        <v>44</v>
      </c>
      <c r="M5" s="3" t="s">
        <v>45</v>
      </c>
      <c r="N5" s="3" t="s">
        <v>1</v>
      </c>
    </row>
    <row r="6" spans="3:14" x14ac:dyDescent="0.2">
      <c r="C6">
        <v>1021544</v>
      </c>
      <c r="D6" t="s">
        <v>1330</v>
      </c>
      <c r="E6" t="s">
        <v>1339</v>
      </c>
      <c r="F6">
        <v>993</v>
      </c>
      <c r="G6" s="1021" t="s">
        <v>1425</v>
      </c>
      <c r="H6" t="s">
        <v>1125</v>
      </c>
      <c r="I6" t="s">
        <v>16</v>
      </c>
      <c r="J6" t="s">
        <v>1426</v>
      </c>
      <c r="K6">
        <v>0</v>
      </c>
      <c r="L6" t="s">
        <v>1427</v>
      </c>
      <c r="M6" t="s">
        <v>1428</v>
      </c>
      <c r="N6">
        <v>56078603</v>
      </c>
    </row>
    <row r="7" spans="3:14" x14ac:dyDescent="0.2">
      <c r="C7">
        <v>1021545</v>
      </c>
      <c r="D7" t="s">
        <v>1330</v>
      </c>
      <c r="E7" t="s">
        <v>1339</v>
      </c>
      <c r="F7">
        <v>993</v>
      </c>
      <c r="G7" s="1021" t="s">
        <v>1425</v>
      </c>
      <c r="H7" t="s">
        <v>1125</v>
      </c>
      <c r="I7" t="s">
        <v>205</v>
      </c>
      <c r="J7" t="s">
        <v>1426</v>
      </c>
      <c r="K7">
        <v>0</v>
      </c>
      <c r="L7" t="s">
        <v>1427</v>
      </c>
      <c r="M7" t="s">
        <v>1428</v>
      </c>
      <c r="N7">
        <v>56078603</v>
      </c>
    </row>
    <row r="8" spans="3:14" x14ac:dyDescent="0.2">
      <c r="C8">
        <v>1021546</v>
      </c>
      <c r="D8" t="s">
        <v>1330</v>
      </c>
      <c r="E8" t="s">
        <v>1339</v>
      </c>
      <c r="F8">
        <v>993</v>
      </c>
      <c r="G8" s="1021" t="s">
        <v>1425</v>
      </c>
      <c r="H8" t="s">
        <v>1125</v>
      </c>
      <c r="I8" t="s">
        <v>204</v>
      </c>
      <c r="J8" t="s">
        <v>1426</v>
      </c>
      <c r="K8">
        <v>179.97</v>
      </c>
      <c r="L8" t="s">
        <v>1427</v>
      </c>
      <c r="M8" t="s">
        <v>1428</v>
      </c>
      <c r="N8">
        <v>56078603</v>
      </c>
    </row>
    <row r="9" spans="3:14" x14ac:dyDescent="0.2">
      <c r="C9">
        <v>1021547</v>
      </c>
      <c r="D9" t="s">
        <v>1330</v>
      </c>
      <c r="E9" t="s">
        <v>1339</v>
      </c>
      <c r="F9">
        <v>993</v>
      </c>
      <c r="G9" s="1021" t="s">
        <v>1429</v>
      </c>
      <c r="H9" t="s">
        <v>1125</v>
      </c>
      <c r="I9" t="s">
        <v>16</v>
      </c>
      <c r="J9" t="s">
        <v>1426</v>
      </c>
      <c r="K9">
        <v>1079.8699999999999</v>
      </c>
      <c r="L9" t="s">
        <v>1427</v>
      </c>
      <c r="M9" t="s">
        <v>1430</v>
      </c>
      <c r="N9">
        <v>56078603</v>
      </c>
    </row>
    <row r="10" spans="3:14" x14ac:dyDescent="0.2">
      <c r="C10">
        <v>1021548</v>
      </c>
      <c r="D10" t="s">
        <v>1330</v>
      </c>
      <c r="E10" t="s">
        <v>1339</v>
      </c>
      <c r="F10">
        <v>993</v>
      </c>
      <c r="G10" s="1021" t="s">
        <v>1429</v>
      </c>
      <c r="H10" t="s">
        <v>1125</v>
      </c>
      <c r="I10" t="s">
        <v>205</v>
      </c>
      <c r="J10" t="s">
        <v>1426</v>
      </c>
      <c r="K10">
        <v>1259.8399999999999</v>
      </c>
      <c r="L10" t="s">
        <v>1427</v>
      </c>
      <c r="M10" t="s">
        <v>1430</v>
      </c>
      <c r="N10">
        <v>56078603</v>
      </c>
    </row>
    <row r="11" spans="3:14" x14ac:dyDescent="0.2">
      <c r="C11">
        <v>1021549</v>
      </c>
      <c r="D11" t="s">
        <v>1330</v>
      </c>
      <c r="E11" t="s">
        <v>1339</v>
      </c>
      <c r="F11">
        <v>993</v>
      </c>
      <c r="G11" s="1021" t="s">
        <v>1429</v>
      </c>
      <c r="H11" t="s">
        <v>1125</v>
      </c>
      <c r="I11" t="s">
        <v>204</v>
      </c>
      <c r="J11" t="s">
        <v>1426</v>
      </c>
      <c r="K11">
        <v>1169.8599999999999</v>
      </c>
      <c r="L11" t="s">
        <v>1427</v>
      </c>
      <c r="M11" t="s">
        <v>1430</v>
      </c>
      <c r="N11">
        <v>56078603</v>
      </c>
    </row>
    <row r="12" spans="3:14" x14ac:dyDescent="0.2">
      <c r="C12">
        <v>1021550</v>
      </c>
      <c r="D12" t="s">
        <v>1330</v>
      </c>
      <c r="E12" t="s">
        <v>1339</v>
      </c>
      <c r="F12">
        <v>993</v>
      </c>
      <c r="G12" s="1021" t="s">
        <v>1429</v>
      </c>
      <c r="H12" t="s">
        <v>1125</v>
      </c>
      <c r="I12" t="s">
        <v>16</v>
      </c>
      <c r="J12" t="s">
        <v>1426</v>
      </c>
      <c r="K12">
        <v>1141.95</v>
      </c>
      <c r="L12" t="s">
        <v>1427</v>
      </c>
      <c r="M12" t="s">
        <v>1430</v>
      </c>
      <c r="N12">
        <v>56078603</v>
      </c>
    </row>
    <row r="13" spans="3:14" x14ac:dyDescent="0.2">
      <c r="C13">
        <v>1021551</v>
      </c>
      <c r="D13" t="s">
        <v>1330</v>
      </c>
      <c r="E13" t="s">
        <v>1339</v>
      </c>
      <c r="F13">
        <v>993</v>
      </c>
      <c r="G13" s="1021" t="s">
        <v>1429</v>
      </c>
      <c r="H13" t="s">
        <v>1125</v>
      </c>
      <c r="I13" t="s">
        <v>205</v>
      </c>
      <c r="J13" t="s">
        <v>1426</v>
      </c>
      <c r="K13">
        <v>1332.28</v>
      </c>
      <c r="L13" t="s">
        <v>1427</v>
      </c>
      <c r="M13" t="s">
        <v>1430</v>
      </c>
      <c r="N13">
        <v>56078603</v>
      </c>
    </row>
    <row r="14" spans="3:14" x14ac:dyDescent="0.2">
      <c r="C14">
        <v>1021552</v>
      </c>
      <c r="D14" t="s">
        <v>1330</v>
      </c>
      <c r="E14" t="s">
        <v>1339</v>
      </c>
      <c r="F14">
        <v>993</v>
      </c>
      <c r="G14" s="1021" t="s">
        <v>1429</v>
      </c>
      <c r="H14" t="s">
        <v>1125</v>
      </c>
      <c r="I14" t="s">
        <v>204</v>
      </c>
      <c r="J14" t="s">
        <v>1426</v>
      </c>
      <c r="K14">
        <v>1427.44</v>
      </c>
      <c r="L14" t="s">
        <v>1427</v>
      </c>
      <c r="M14" t="s">
        <v>1430</v>
      </c>
      <c r="N14">
        <v>56078603</v>
      </c>
    </row>
    <row r="15" spans="3:14" x14ac:dyDescent="0.2">
      <c r="C15">
        <v>1021553</v>
      </c>
      <c r="D15" t="s">
        <v>1330</v>
      </c>
      <c r="E15" t="s">
        <v>1339</v>
      </c>
      <c r="F15">
        <v>993</v>
      </c>
      <c r="G15" s="1021" t="s">
        <v>1425</v>
      </c>
      <c r="H15" t="s">
        <v>1125</v>
      </c>
      <c r="I15" t="s">
        <v>16</v>
      </c>
      <c r="J15" t="s">
        <v>1426</v>
      </c>
      <c r="K15">
        <v>1141.95</v>
      </c>
      <c r="L15" t="s">
        <v>1430</v>
      </c>
      <c r="M15" t="s">
        <v>1428</v>
      </c>
      <c r="N15">
        <v>56078603</v>
      </c>
    </row>
    <row r="16" spans="3:14" x14ac:dyDescent="0.2">
      <c r="C16">
        <v>1021554</v>
      </c>
      <c r="D16" t="s">
        <v>1330</v>
      </c>
      <c r="E16" t="s">
        <v>1339</v>
      </c>
      <c r="F16">
        <v>993</v>
      </c>
      <c r="G16" s="1021" t="s">
        <v>1425</v>
      </c>
      <c r="H16" t="s">
        <v>1125</v>
      </c>
      <c r="I16" t="s">
        <v>205</v>
      </c>
      <c r="J16" t="s">
        <v>1426</v>
      </c>
      <c r="K16">
        <v>1332.28</v>
      </c>
      <c r="L16" t="s">
        <v>1430</v>
      </c>
      <c r="M16" t="s">
        <v>1428</v>
      </c>
      <c r="N16">
        <v>56078603</v>
      </c>
    </row>
    <row r="17" spans="3:14" x14ac:dyDescent="0.2">
      <c r="C17">
        <v>1021555</v>
      </c>
      <c r="D17" t="s">
        <v>1330</v>
      </c>
      <c r="E17" t="s">
        <v>1339</v>
      </c>
      <c r="F17">
        <v>993</v>
      </c>
      <c r="G17" s="1021" t="s">
        <v>1425</v>
      </c>
      <c r="H17" t="s">
        <v>1125</v>
      </c>
      <c r="I17" t="s">
        <v>204</v>
      </c>
      <c r="J17" t="s">
        <v>1426</v>
      </c>
      <c r="K17">
        <v>1427.44</v>
      </c>
      <c r="L17" t="s">
        <v>1430</v>
      </c>
      <c r="M17" t="s">
        <v>1428</v>
      </c>
      <c r="N17">
        <v>56078603</v>
      </c>
    </row>
    <row r="18" spans="3:14" x14ac:dyDescent="0.2">
      <c r="C18">
        <v>1021556</v>
      </c>
      <c r="D18" t="s">
        <v>1330</v>
      </c>
      <c r="E18" t="s">
        <v>1339</v>
      </c>
      <c r="F18">
        <v>993</v>
      </c>
      <c r="G18" s="1021" t="s">
        <v>1425</v>
      </c>
      <c r="H18" t="s">
        <v>1125</v>
      </c>
      <c r="I18" t="s">
        <v>16</v>
      </c>
      <c r="J18" t="s">
        <v>1426</v>
      </c>
      <c r="K18">
        <v>1287.26</v>
      </c>
      <c r="L18" t="s">
        <v>1430</v>
      </c>
      <c r="M18" t="s">
        <v>1428</v>
      </c>
      <c r="N18">
        <v>56078603</v>
      </c>
    </row>
    <row r="19" spans="3:14" x14ac:dyDescent="0.2">
      <c r="C19">
        <v>1021557</v>
      </c>
      <c r="D19" t="s">
        <v>1330</v>
      </c>
      <c r="E19" t="s">
        <v>1339</v>
      </c>
      <c r="F19">
        <v>993</v>
      </c>
      <c r="G19" s="1021" t="s">
        <v>1425</v>
      </c>
      <c r="H19" t="s">
        <v>1125</v>
      </c>
      <c r="I19" t="s">
        <v>205</v>
      </c>
      <c r="J19" t="s">
        <v>1426</v>
      </c>
      <c r="K19">
        <v>1501.8</v>
      </c>
      <c r="L19" t="s">
        <v>1430</v>
      </c>
      <c r="M19" t="s">
        <v>1428</v>
      </c>
      <c r="N19">
        <v>56078603</v>
      </c>
    </row>
    <row r="20" spans="3:14" x14ac:dyDescent="0.2">
      <c r="C20">
        <v>1021558</v>
      </c>
      <c r="D20" t="s">
        <v>1330</v>
      </c>
      <c r="E20" t="s">
        <v>1339</v>
      </c>
      <c r="F20">
        <v>993</v>
      </c>
      <c r="G20" s="1021" t="s">
        <v>1425</v>
      </c>
      <c r="H20" t="s">
        <v>1125</v>
      </c>
      <c r="I20" t="s">
        <v>204</v>
      </c>
      <c r="J20" t="s">
        <v>1426</v>
      </c>
      <c r="K20">
        <v>1609.07</v>
      </c>
      <c r="L20" t="s">
        <v>1430</v>
      </c>
      <c r="M20" t="s">
        <v>1428</v>
      </c>
      <c r="N20">
        <v>56078603</v>
      </c>
    </row>
    <row r="21" spans="3:14" x14ac:dyDescent="0.2">
      <c r="C21">
        <v>1021559</v>
      </c>
      <c r="D21" t="s">
        <v>1330</v>
      </c>
      <c r="E21" t="s">
        <v>1339</v>
      </c>
      <c r="F21">
        <v>993</v>
      </c>
      <c r="G21" s="1021" t="s">
        <v>1431</v>
      </c>
      <c r="H21" t="s">
        <v>1125</v>
      </c>
      <c r="I21" t="s">
        <v>16</v>
      </c>
      <c r="J21" t="s">
        <v>1426</v>
      </c>
      <c r="K21">
        <v>1141.95</v>
      </c>
      <c r="L21" t="s">
        <v>1428</v>
      </c>
      <c r="M21" t="s">
        <v>1432</v>
      </c>
      <c r="N21">
        <v>56078603</v>
      </c>
    </row>
    <row r="22" spans="3:14" x14ac:dyDescent="0.2">
      <c r="C22">
        <v>1021560</v>
      </c>
      <c r="D22" t="s">
        <v>1330</v>
      </c>
      <c r="E22" t="s">
        <v>1339</v>
      </c>
      <c r="F22">
        <v>993</v>
      </c>
      <c r="G22" s="1021" t="s">
        <v>1431</v>
      </c>
      <c r="H22" t="s">
        <v>1125</v>
      </c>
      <c r="I22" t="s">
        <v>205</v>
      </c>
      <c r="J22" t="s">
        <v>1426</v>
      </c>
      <c r="K22">
        <v>1332.28</v>
      </c>
      <c r="L22" t="s">
        <v>1428</v>
      </c>
      <c r="M22" t="s">
        <v>1432</v>
      </c>
      <c r="N22">
        <v>56078603</v>
      </c>
    </row>
    <row r="23" spans="3:14" x14ac:dyDescent="0.2">
      <c r="C23">
        <v>1021561</v>
      </c>
      <c r="D23" t="s">
        <v>1330</v>
      </c>
      <c r="E23" t="s">
        <v>1339</v>
      </c>
      <c r="F23">
        <v>993</v>
      </c>
      <c r="G23" s="1021" t="s">
        <v>1431</v>
      </c>
      <c r="H23" t="s">
        <v>1125</v>
      </c>
      <c r="I23" t="s">
        <v>204</v>
      </c>
      <c r="J23" t="s">
        <v>1426</v>
      </c>
      <c r="K23">
        <v>1427.44</v>
      </c>
      <c r="L23" t="s">
        <v>1428</v>
      </c>
      <c r="M23" t="s">
        <v>1432</v>
      </c>
      <c r="N23">
        <v>56078603</v>
      </c>
    </row>
    <row r="24" spans="3:14" x14ac:dyDescent="0.2">
      <c r="C24">
        <v>1021562</v>
      </c>
      <c r="D24" t="s">
        <v>1330</v>
      </c>
      <c r="E24" t="s">
        <v>1339</v>
      </c>
      <c r="F24">
        <v>993</v>
      </c>
      <c r="G24" s="1021" t="s">
        <v>1431</v>
      </c>
      <c r="H24" t="s">
        <v>1125</v>
      </c>
      <c r="I24" t="s">
        <v>16</v>
      </c>
      <c r="J24" t="s">
        <v>1426</v>
      </c>
      <c r="K24">
        <v>1153.8499999999999</v>
      </c>
      <c r="L24" t="s">
        <v>1428</v>
      </c>
      <c r="M24" t="s">
        <v>1432</v>
      </c>
      <c r="N24">
        <v>56078603</v>
      </c>
    </row>
    <row r="25" spans="3:14" x14ac:dyDescent="0.2">
      <c r="C25">
        <v>1021563</v>
      </c>
      <c r="D25" t="s">
        <v>1330</v>
      </c>
      <c r="E25" t="s">
        <v>1339</v>
      </c>
      <c r="F25">
        <v>993</v>
      </c>
      <c r="G25" s="1021" t="s">
        <v>1431</v>
      </c>
      <c r="H25" t="s">
        <v>1125</v>
      </c>
      <c r="I25" t="s">
        <v>205</v>
      </c>
      <c r="J25" t="s">
        <v>1426</v>
      </c>
      <c r="K25">
        <v>1346.16</v>
      </c>
      <c r="L25" t="s">
        <v>1428</v>
      </c>
      <c r="M25" t="s">
        <v>1432</v>
      </c>
      <c r="N25">
        <v>56078603</v>
      </c>
    </row>
    <row r="26" spans="3:14" x14ac:dyDescent="0.2">
      <c r="C26">
        <v>1021564</v>
      </c>
      <c r="D26" t="s">
        <v>1330</v>
      </c>
      <c r="E26" t="s">
        <v>1339</v>
      </c>
      <c r="F26">
        <v>993</v>
      </c>
      <c r="G26" s="1021" t="s">
        <v>1431</v>
      </c>
      <c r="H26" t="s">
        <v>1125</v>
      </c>
      <c r="I26" t="s">
        <v>204</v>
      </c>
      <c r="J26" t="s">
        <v>1426</v>
      </c>
      <c r="K26">
        <v>1442.31</v>
      </c>
      <c r="L26" t="s">
        <v>1428</v>
      </c>
      <c r="M26" t="s">
        <v>1432</v>
      </c>
      <c r="N26">
        <v>56078603</v>
      </c>
    </row>
    <row r="27" spans="3:14" x14ac:dyDescent="0.2">
      <c r="C27">
        <v>1021565</v>
      </c>
      <c r="D27" t="s">
        <v>1330</v>
      </c>
      <c r="E27" t="s">
        <v>1339</v>
      </c>
      <c r="F27">
        <v>993</v>
      </c>
      <c r="G27" s="1021" t="s">
        <v>1433</v>
      </c>
      <c r="H27" t="s">
        <v>1125</v>
      </c>
      <c r="I27" t="s">
        <v>16</v>
      </c>
      <c r="J27" t="s">
        <v>1426</v>
      </c>
      <c r="K27">
        <v>1149.33</v>
      </c>
      <c r="L27" t="s">
        <v>1432</v>
      </c>
      <c r="M27" t="s">
        <v>1434</v>
      </c>
      <c r="N27">
        <v>56078603</v>
      </c>
    </row>
    <row r="28" spans="3:14" x14ac:dyDescent="0.2">
      <c r="C28">
        <v>1021566</v>
      </c>
      <c r="D28" t="s">
        <v>1330</v>
      </c>
      <c r="E28" t="s">
        <v>1339</v>
      </c>
      <c r="F28">
        <v>993</v>
      </c>
      <c r="G28" s="1021" t="s">
        <v>1433</v>
      </c>
      <c r="H28" t="s">
        <v>1125</v>
      </c>
      <c r="I28" t="s">
        <v>205</v>
      </c>
      <c r="J28" t="s">
        <v>1426</v>
      </c>
      <c r="K28">
        <v>1340.89</v>
      </c>
      <c r="L28" t="s">
        <v>1432</v>
      </c>
      <c r="M28" t="s">
        <v>1434</v>
      </c>
      <c r="N28">
        <v>56078603</v>
      </c>
    </row>
    <row r="29" spans="3:14" x14ac:dyDescent="0.2">
      <c r="C29">
        <v>1021567</v>
      </c>
      <c r="D29" t="s">
        <v>1330</v>
      </c>
      <c r="E29" t="s">
        <v>1339</v>
      </c>
      <c r="F29">
        <v>993</v>
      </c>
      <c r="G29" s="1021" t="s">
        <v>1433</v>
      </c>
      <c r="H29" t="s">
        <v>1125</v>
      </c>
      <c r="I29" t="s">
        <v>204</v>
      </c>
      <c r="J29" t="s">
        <v>1426</v>
      </c>
      <c r="K29">
        <v>1436.66</v>
      </c>
      <c r="L29" t="s">
        <v>1432</v>
      </c>
      <c r="M29" t="s">
        <v>1434</v>
      </c>
      <c r="N29">
        <v>56078603</v>
      </c>
    </row>
    <row r="30" spans="3:14" x14ac:dyDescent="0.2">
      <c r="C30">
        <v>1021568</v>
      </c>
      <c r="D30" t="s">
        <v>1330</v>
      </c>
      <c r="E30" t="s">
        <v>1339</v>
      </c>
      <c r="F30">
        <v>993</v>
      </c>
      <c r="G30" s="1021" t="s">
        <v>1433</v>
      </c>
      <c r="H30" t="s">
        <v>1125</v>
      </c>
      <c r="I30" t="s">
        <v>16</v>
      </c>
      <c r="J30" t="s">
        <v>1426</v>
      </c>
      <c r="K30">
        <v>1172.45</v>
      </c>
      <c r="L30" t="s">
        <v>1432</v>
      </c>
      <c r="M30" t="s">
        <v>1434</v>
      </c>
      <c r="N30">
        <v>56078603</v>
      </c>
    </row>
    <row r="31" spans="3:14" x14ac:dyDescent="0.2">
      <c r="C31">
        <v>1021569</v>
      </c>
      <c r="D31" t="s">
        <v>1330</v>
      </c>
      <c r="E31" t="s">
        <v>1339</v>
      </c>
      <c r="F31">
        <v>993</v>
      </c>
      <c r="G31" s="1021" t="s">
        <v>1433</v>
      </c>
      <c r="H31" t="s">
        <v>1125</v>
      </c>
      <c r="I31" t="s">
        <v>205</v>
      </c>
      <c r="J31" t="s">
        <v>1426</v>
      </c>
      <c r="K31">
        <v>1367.85</v>
      </c>
      <c r="L31" t="s">
        <v>1432</v>
      </c>
      <c r="M31" t="s">
        <v>1434</v>
      </c>
      <c r="N31">
        <v>56078603</v>
      </c>
    </row>
    <row r="32" spans="3:14" x14ac:dyDescent="0.2">
      <c r="C32">
        <v>1021570</v>
      </c>
      <c r="D32" t="s">
        <v>1330</v>
      </c>
      <c r="E32" t="s">
        <v>1339</v>
      </c>
      <c r="F32">
        <v>993</v>
      </c>
      <c r="G32" s="1021" t="s">
        <v>1433</v>
      </c>
      <c r="H32" t="s">
        <v>1125</v>
      </c>
      <c r="I32" t="s">
        <v>204</v>
      </c>
      <c r="J32" t="s">
        <v>1426</v>
      </c>
      <c r="K32">
        <v>1465.56</v>
      </c>
      <c r="L32" t="s">
        <v>1432</v>
      </c>
      <c r="M32" t="s">
        <v>1434</v>
      </c>
      <c r="N32">
        <v>56078603</v>
      </c>
    </row>
    <row r="33" spans="3:14" x14ac:dyDescent="0.2">
      <c r="C33">
        <v>1021571</v>
      </c>
      <c r="D33" t="s">
        <v>1330</v>
      </c>
      <c r="E33" t="s">
        <v>1339</v>
      </c>
      <c r="F33">
        <v>993</v>
      </c>
      <c r="G33" s="1021" t="s">
        <v>1435</v>
      </c>
      <c r="H33" t="s">
        <v>1125</v>
      </c>
      <c r="I33" t="s">
        <v>16</v>
      </c>
      <c r="J33" t="s">
        <v>1426</v>
      </c>
      <c r="K33">
        <v>1149.33</v>
      </c>
      <c r="L33" t="s">
        <v>1434</v>
      </c>
      <c r="M33" t="s">
        <v>1436</v>
      </c>
      <c r="N33">
        <v>56078603</v>
      </c>
    </row>
    <row r="34" spans="3:14" x14ac:dyDescent="0.2">
      <c r="C34">
        <v>1021572</v>
      </c>
      <c r="D34" t="s">
        <v>1330</v>
      </c>
      <c r="E34" t="s">
        <v>1339</v>
      </c>
      <c r="F34">
        <v>993</v>
      </c>
      <c r="G34" s="1021" t="s">
        <v>1435</v>
      </c>
      <c r="H34" t="s">
        <v>1125</v>
      </c>
      <c r="I34" t="s">
        <v>205</v>
      </c>
      <c r="J34" t="s">
        <v>1426</v>
      </c>
      <c r="K34">
        <v>1340.89</v>
      </c>
      <c r="L34" t="s">
        <v>1434</v>
      </c>
      <c r="M34" t="s">
        <v>1436</v>
      </c>
      <c r="N34">
        <v>56078603</v>
      </c>
    </row>
    <row r="35" spans="3:14" x14ac:dyDescent="0.2">
      <c r="C35">
        <v>1021573</v>
      </c>
      <c r="D35" t="s">
        <v>1330</v>
      </c>
      <c r="E35" t="s">
        <v>1339</v>
      </c>
      <c r="F35">
        <v>993</v>
      </c>
      <c r="G35" s="1021" t="s">
        <v>1435</v>
      </c>
      <c r="H35" t="s">
        <v>1125</v>
      </c>
      <c r="I35" t="s">
        <v>204</v>
      </c>
      <c r="J35" t="s">
        <v>1426</v>
      </c>
      <c r="K35">
        <v>1436.66</v>
      </c>
      <c r="L35" t="s">
        <v>1434</v>
      </c>
      <c r="M35" t="s">
        <v>1436</v>
      </c>
      <c r="N35">
        <v>56078603</v>
      </c>
    </row>
    <row r="36" spans="3:14" x14ac:dyDescent="0.2">
      <c r="C36">
        <v>1021574</v>
      </c>
      <c r="D36" t="s">
        <v>1330</v>
      </c>
      <c r="E36" t="s">
        <v>1339</v>
      </c>
      <c r="F36">
        <v>993</v>
      </c>
      <c r="G36" s="1021" t="s">
        <v>1435</v>
      </c>
      <c r="H36" t="s">
        <v>1125</v>
      </c>
      <c r="I36" t="s">
        <v>16</v>
      </c>
      <c r="J36" t="s">
        <v>1426</v>
      </c>
      <c r="K36">
        <v>1189.82</v>
      </c>
      <c r="L36" t="s">
        <v>1434</v>
      </c>
      <c r="M36" t="s">
        <v>1436</v>
      </c>
      <c r="N36">
        <v>56078603</v>
      </c>
    </row>
    <row r="37" spans="3:14" x14ac:dyDescent="0.2">
      <c r="C37">
        <v>1021575</v>
      </c>
      <c r="D37" t="s">
        <v>1330</v>
      </c>
      <c r="E37" t="s">
        <v>1339</v>
      </c>
      <c r="F37">
        <v>993</v>
      </c>
      <c r="G37" s="1021" t="s">
        <v>1435</v>
      </c>
      <c r="H37" t="s">
        <v>1125</v>
      </c>
      <c r="I37" t="s">
        <v>205</v>
      </c>
      <c r="J37" t="s">
        <v>1426</v>
      </c>
      <c r="K37">
        <v>1388.12</v>
      </c>
      <c r="L37" t="s">
        <v>1434</v>
      </c>
      <c r="M37" t="s">
        <v>1436</v>
      </c>
      <c r="N37">
        <v>56078603</v>
      </c>
    </row>
    <row r="38" spans="3:14" x14ac:dyDescent="0.2">
      <c r="C38">
        <v>1021576</v>
      </c>
      <c r="D38" t="s">
        <v>1330</v>
      </c>
      <c r="E38" t="s">
        <v>1339</v>
      </c>
      <c r="F38">
        <v>993</v>
      </c>
      <c r="G38" s="1021" t="s">
        <v>1435</v>
      </c>
      <c r="H38" t="s">
        <v>1125</v>
      </c>
      <c r="I38" t="s">
        <v>204</v>
      </c>
      <c r="J38" t="s">
        <v>1426</v>
      </c>
      <c r="K38">
        <v>1487.27</v>
      </c>
      <c r="L38" t="s">
        <v>1434</v>
      </c>
      <c r="M38" t="s">
        <v>1436</v>
      </c>
      <c r="N38">
        <v>56078603</v>
      </c>
    </row>
    <row r="39" spans="3:14" x14ac:dyDescent="0.2">
      <c r="C39">
        <v>1021577</v>
      </c>
      <c r="D39" t="s">
        <v>1330</v>
      </c>
      <c r="E39" t="s">
        <v>1339</v>
      </c>
      <c r="F39">
        <v>993</v>
      </c>
      <c r="G39" s="1021" t="s">
        <v>1437</v>
      </c>
      <c r="H39" t="s">
        <v>1125</v>
      </c>
      <c r="I39" t="s">
        <v>16</v>
      </c>
      <c r="J39" t="s">
        <v>1426</v>
      </c>
      <c r="K39">
        <v>1149.33</v>
      </c>
      <c r="L39" t="s">
        <v>1436</v>
      </c>
      <c r="M39" t="s">
        <v>1438</v>
      </c>
      <c r="N39">
        <v>56078603</v>
      </c>
    </row>
    <row r="40" spans="3:14" x14ac:dyDescent="0.2">
      <c r="C40">
        <v>1021578</v>
      </c>
      <c r="D40" t="s">
        <v>1330</v>
      </c>
      <c r="E40" t="s">
        <v>1339</v>
      </c>
      <c r="F40">
        <v>993</v>
      </c>
      <c r="G40" s="1021" t="s">
        <v>1437</v>
      </c>
      <c r="H40" t="s">
        <v>1125</v>
      </c>
      <c r="I40" t="s">
        <v>205</v>
      </c>
      <c r="J40" t="s">
        <v>1426</v>
      </c>
      <c r="K40">
        <v>1340.89</v>
      </c>
      <c r="L40" t="s">
        <v>1436</v>
      </c>
      <c r="M40" t="s">
        <v>1438</v>
      </c>
      <c r="N40">
        <v>56078603</v>
      </c>
    </row>
    <row r="41" spans="3:14" x14ac:dyDescent="0.2">
      <c r="C41">
        <v>1021579</v>
      </c>
      <c r="D41" t="s">
        <v>1330</v>
      </c>
      <c r="E41" t="s">
        <v>1339</v>
      </c>
      <c r="F41">
        <v>993</v>
      </c>
      <c r="G41" s="1021" t="s">
        <v>1437</v>
      </c>
      <c r="H41" t="s">
        <v>1125</v>
      </c>
      <c r="I41" t="s">
        <v>204</v>
      </c>
      <c r="J41" t="s">
        <v>1426</v>
      </c>
      <c r="K41">
        <v>1436.66</v>
      </c>
      <c r="L41" t="s">
        <v>1436</v>
      </c>
      <c r="M41" t="s">
        <v>1438</v>
      </c>
      <c r="N41">
        <v>56078603</v>
      </c>
    </row>
    <row r="42" spans="3:14" x14ac:dyDescent="0.2">
      <c r="C42">
        <v>1021580</v>
      </c>
      <c r="D42" t="s">
        <v>1330</v>
      </c>
      <c r="E42" t="s">
        <v>1339</v>
      </c>
      <c r="F42">
        <v>993</v>
      </c>
      <c r="G42" s="1021" t="s">
        <v>1437</v>
      </c>
      <c r="H42" t="s">
        <v>1125</v>
      </c>
      <c r="I42" t="s">
        <v>16</v>
      </c>
      <c r="J42" t="s">
        <v>1426</v>
      </c>
      <c r="K42">
        <v>1233.82</v>
      </c>
      <c r="L42" t="s">
        <v>1436</v>
      </c>
      <c r="M42" t="s">
        <v>1438</v>
      </c>
      <c r="N42">
        <v>56078603</v>
      </c>
    </row>
    <row r="43" spans="3:14" x14ac:dyDescent="0.2">
      <c r="C43">
        <v>1021581</v>
      </c>
      <c r="D43" t="s">
        <v>1330</v>
      </c>
      <c r="E43" t="s">
        <v>1339</v>
      </c>
      <c r="F43">
        <v>993</v>
      </c>
      <c r="G43" s="1021" t="s">
        <v>1437</v>
      </c>
      <c r="H43" t="s">
        <v>1125</v>
      </c>
      <c r="I43" t="s">
        <v>205</v>
      </c>
      <c r="J43" t="s">
        <v>1426</v>
      </c>
      <c r="K43">
        <v>1439.45</v>
      </c>
      <c r="L43" t="s">
        <v>1436</v>
      </c>
      <c r="M43" t="s">
        <v>1438</v>
      </c>
      <c r="N43">
        <v>56078603</v>
      </c>
    </row>
    <row r="44" spans="3:14" x14ac:dyDescent="0.2">
      <c r="C44">
        <v>1021582</v>
      </c>
      <c r="D44" t="s">
        <v>1330</v>
      </c>
      <c r="E44" t="s">
        <v>1339</v>
      </c>
      <c r="F44">
        <v>993</v>
      </c>
      <c r="G44" s="1021" t="s">
        <v>1437</v>
      </c>
      <c r="H44" t="s">
        <v>1125</v>
      </c>
      <c r="I44" t="s">
        <v>204</v>
      </c>
      <c r="J44" t="s">
        <v>1426</v>
      </c>
      <c r="K44">
        <v>1542.27</v>
      </c>
      <c r="L44" t="s">
        <v>1436</v>
      </c>
      <c r="M44" t="s">
        <v>1438</v>
      </c>
      <c r="N44">
        <v>56078603</v>
      </c>
    </row>
    <row r="45" spans="3:14" x14ac:dyDescent="0.2">
      <c r="C45">
        <v>1021583</v>
      </c>
      <c r="D45" t="s">
        <v>1330</v>
      </c>
      <c r="E45" t="s">
        <v>1339</v>
      </c>
      <c r="F45">
        <v>993</v>
      </c>
      <c r="G45" s="1021" t="s">
        <v>1439</v>
      </c>
      <c r="H45" t="s">
        <v>1125</v>
      </c>
      <c r="I45" t="s">
        <v>16</v>
      </c>
      <c r="J45" t="s">
        <v>1426</v>
      </c>
      <c r="K45">
        <v>1147.3900000000001</v>
      </c>
      <c r="L45" t="s">
        <v>1438</v>
      </c>
      <c r="M45" t="s">
        <v>1440</v>
      </c>
      <c r="N45">
        <v>56078603</v>
      </c>
    </row>
    <row r="46" spans="3:14" x14ac:dyDescent="0.2">
      <c r="C46">
        <v>1021584</v>
      </c>
      <c r="D46" t="s">
        <v>1330</v>
      </c>
      <c r="E46" t="s">
        <v>1339</v>
      </c>
      <c r="F46">
        <v>993</v>
      </c>
      <c r="G46" s="1021" t="s">
        <v>1439</v>
      </c>
      <c r="H46" t="s">
        <v>1125</v>
      </c>
      <c r="I46" t="s">
        <v>205</v>
      </c>
      <c r="J46" t="s">
        <v>1426</v>
      </c>
      <c r="K46">
        <v>1338.62</v>
      </c>
      <c r="L46" t="s">
        <v>1438</v>
      </c>
      <c r="M46" t="s">
        <v>1440</v>
      </c>
      <c r="N46">
        <v>56078603</v>
      </c>
    </row>
    <row r="47" spans="3:14" x14ac:dyDescent="0.2">
      <c r="C47">
        <v>1021585</v>
      </c>
      <c r="D47" t="s">
        <v>1330</v>
      </c>
      <c r="E47" t="s">
        <v>1339</v>
      </c>
      <c r="F47">
        <v>993</v>
      </c>
      <c r="G47" s="1021" t="s">
        <v>1439</v>
      </c>
      <c r="H47" t="s">
        <v>1125</v>
      </c>
      <c r="I47" t="s">
        <v>204</v>
      </c>
      <c r="J47" t="s">
        <v>1426</v>
      </c>
      <c r="K47">
        <v>1434.24</v>
      </c>
      <c r="L47" t="s">
        <v>1438</v>
      </c>
      <c r="M47" t="s">
        <v>1440</v>
      </c>
      <c r="N47">
        <v>56078603</v>
      </c>
    </row>
    <row r="48" spans="3:14" x14ac:dyDescent="0.2">
      <c r="C48">
        <v>1021586</v>
      </c>
      <c r="D48" t="s">
        <v>1330</v>
      </c>
      <c r="E48" t="s">
        <v>1339</v>
      </c>
      <c r="F48">
        <v>993</v>
      </c>
      <c r="G48" s="1021" t="s">
        <v>1439</v>
      </c>
      <c r="H48" t="s">
        <v>1125</v>
      </c>
      <c r="I48" t="s">
        <v>16</v>
      </c>
      <c r="J48" t="s">
        <v>1426</v>
      </c>
      <c r="K48">
        <v>1171.5</v>
      </c>
      <c r="L48" t="s">
        <v>1438</v>
      </c>
      <c r="M48" t="s">
        <v>1440</v>
      </c>
      <c r="N48">
        <v>56078603</v>
      </c>
    </row>
    <row r="49" spans="3:14" x14ac:dyDescent="0.2">
      <c r="C49">
        <v>1021587</v>
      </c>
      <c r="D49" t="s">
        <v>1330</v>
      </c>
      <c r="E49" t="s">
        <v>1339</v>
      </c>
      <c r="F49">
        <v>993</v>
      </c>
      <c r="G49" s="1021" t="s">
        <v>1439</v>
      </c>
      <c r="H49" t="s">
        <v>1125</v>
      </c>
      <c r="I49" t="s">
        <v>205</v>
      </c>
      <c r="J49" t="s">
        <v>1426</v>
      </c>
      <c r="K49">
        <v>1366.75</v>
      </c>
      <c r="L49" t="s">
        <v>1438</v>
      </c>
      <c r="M49" t="s">
        <v>1440</v>
      </c>
      <c r="N49">
        <v>56078603</v>
      </c>
    </row>
    <row r="50" spans="3:14" x14ac:dyDescent="0.2">
      <c r="C50">
        <v>1021588</v>
      </c>
      <c r="D50" t="s">
        <v>1330</v>
      </c>
      <c r="E50" t="s">
        <v>1339</v>
      </c>
      <c r="F50">
        <v>993</v>
      </c>
      <c r="G50" s="1021" t="s">
        <v>1439</v>
      </c>
      <c r="H50" t="s">
        <v>1125</v>
      </c>
      <c r="I50" t="s">
        <v>204</v>
      </c>
      <c r="J50" t="s">
        <v>1426</v>
      </c>
      <c r="K50">
        <v>1464.37</v>
      </c>
      <c r="L50" t="s">
        <v>1438</v>
      </c>
      <c r="M50" t="s">
        <v>1440</v>
      </c>
      <c r="N50">
        <v>56078603</v>
      </c>
    </row>
    <row r="51" spans="3:14" x14ac:dyDescent="0.2">
      <c r="C51">
        <v>1021589</v>
      </c>
      <c r="D51" t="s">
        <v>1330</v>
      </c>
      <c r="E51" t="s">
        <v>1339</v>
      </c>
      <c r="F51">
        <v>993</v>
      </c>
      <c r="G51" s="1021" t="s">
        <v>1441</v>
      </c>
      <c r="H51" t="s">
        <v>1125</v>
      </c>
      <c r="I51" t="s">
        <v>16</v>
      </c>
      <c r="J51" t="s">
        <v>1426</v>
      </c>
      <c r="K51">
        <v>1147.3900000000001</v>
      </c>
      <c r="L51" t="s">
        <v>1440</v>
      </c>
      <c r="M51" t="s">
        <v>1442</v>
      </c>
      <c r="N51">
        <v>56078603</v>
      </c>
    </row>
    <row r="52" spans="3:14" x14ac:dyDescent="0.2">
      <c r="C52">
        <v>1021590</v>
      </c>
      <c r="D52" t="s">
        <v>1330</v>
      </c>
      <c r="E52" t="s">
        <v>1339</v>
      </c>
      <c r="F52">
        <v>993</v>
      </c>
      <c r="G52" s="1021" t="s">
        <v>1441</v>
      </c>
      <c r="H52" t="s">
        <v>1125</v>
      </c>
      <c r="I52" t="s">
        <v>205</v>
      </c>
      <c r="J52" t="s">
        <v>1426</v>
      </c>
      <c r="K52">
        <v>1338.62</v>
      </c>
      <c r="L52" t="s">
        <v>1440</v>
      </c>
      <c r="M52" t="s">
        <v>1442</v>
      </c>
      <c r="N52">
        <v>56078603</v>
      </c>
    </row>
    <row r="53" spans="3:14" x14ac:dyDescent="0.2">
      <c r="C53">
        <v>1021591</v>
      </c>
      <c r="D53" t="s">
        <v>1330</v>
      </c>
      <c r="E53" t="s">
        <v>1339</v>
      </c>
      <c r="F53">
        <v>993</v>
      </c>
      <c r="G53" s="1021" t="s">
        <v>1441</v>
      </c>
      <c r="H53" t="s">
        <v>1125</v>
      </c>
      <c r="I53" t="s">
        <v>204</v>
      </c>
      <c r="J53" t="s">
        <v>1426</v>
      </c>
      <c r="K53">
        <v>1434.24</v>
      </c>
      <c r="L53" t="s">
        <v>1440</v>
      </c>
      <c r="M53" t="s">
        <v>1442</v>
      </c>
      <c r="N53">
        <v>56078603</v>
      </c>
    </row>
    <row r="54" spans="3:14" x14ac:dyDescent="0.2">
      <c r="C54">
        <v>1021592</v>
      </c>
      <c r="D54" t="s">
        <v>1330</v>
      </c>
      <c r="E54" t="s">
        <v>1339</v>
      </c>
      <c r="F54">
        <v>993</v>
      </c>
      <c r="G54" s="1021" t="s">
        <v>1441</v>
      </c>
      <c r="H54" t="s">
        <v>1125</v>
      </c>
      <c r="I54" t="s">
        <v>16</v>
      </c>
      <c r="J54" t="s">
        <v>1426</v>
      </c>
      <c r="K54">
        <v>1327.94</v>
      </c>
      <c r="L54" t="s">
        <v>1440</v>
      </c>
      <c r="M54" t="s">
        <v>1442</v>
      </c>
      <c r="N54">
        <v>56078603</v>
      </c>
    </row>
    <row r="55" spans="3:14" x14ac:dyDescent="0.2">
      <c r="C55">
        <v>1021593</v>
      </c>
      <c r="D55" t="s">
        <v>1330</v>
      </c>
      <c r="E55" t="s">
        <v>1339</v>
      </c>
      <c r="F55">
        <v>993</v>
      </c>
      <c r="G55" s="1021" t="s">
        <v>1441</v>
      </c>
      <c r="H55" t="s">
        <v>1125</v>
      </c>
      <c r="I55" t="s">
        <v>205</v>
      </c>
      <c r="J55" t="s">
        <v>1426</v>
      </c>
      <c r="K55">
        <v>1549.26</v>
      </c>
      <c r="L55" t="s">
        <v>1440</v>
      </c>
      <c r="M55" t="s">
        <v>1442</v>
      </c>
      <c r="N55">
        <v>56078603</v>
      </c>
    </row>
    <row r="56" spans="3:14" x14ac:dyDescent="0.2">
      <c r="C56">
        <v>1021594</v>
      </c>
      <c r="D56" t="s">
        <v>1330</v>
      </c>
      <c r="E56" t="s">
        <v>1339</v>
      </c>
      <c r="F56">
        <v>993</v>
      </c>
      <c r="G56" s="1021" t="s">
        <v>1441</v>
      </c>
      <c r="H56" t="s">
        <v>1125</v>
      </c>
      <c r="I56" t="s">
        <v>204</v>
      </c>
      <c r="J56" t="s">
        <v>1426</v>
      </c>
      <c r="K56">
        <v>1659.92</v>
      </c>
      <c r="L56" t="s">
        <v>1440</v>
      </c>
      <c r="M56" t="s">
        <v>1442</v>
      </c>
      <c r="N56">
        <v>56078603</v>
      </c>
    </row>
    <row r="57" spans="3:14" x14ac:dyDescent="0.2">
      <c r="C57">
        <v>1021595</v>
      </c>
      <c r="D57" t="s">
        <v>1330</v>
      </c>
      <c r="E57" t="s">
        <v>1339</v>
      </c>
      <c r="F57">
        <v>993</v>
      </c>
      <c r="G57" s="1021" t="s">
        <v>1443</v>
      </c>
      <c r="H57" t="s">
        <v>1125</v>
      </c>
      <c r="I57" t="s">
        <v>16</v>
      </c>
      <c r="J57" t="s">
        <v>1426</v>
      </c>
      <c r="K57">
        <v>1349.43</v>
      </c>
      <c r="L57" t="s">
        <v>1442</v>
      </c>
      <c r="M57" t="s">
        <v>1444</v>
      </c>
      <c r="N57">
        <v>56078603</v>
      </c>
    </row>
    <row r="58" spans="3:14" x14ac:dyDescent="0.2">
      <c r="C58">
        <v>1021596</v>
      </c>
      <c r="D58" t="s">
        <v>1330</v>
      </c>
      <c r="E58" t="s">
        <v>1339</v>
      </c>
      <c r="F58">
        <v>993</v>
      </c>
      <c r="G58" s="1021" t="s">
        <v>1443</v>
      </c>
      <c r="H58" t="s">
        <v>1125</v>
      </c>
      <c r="I58" t="s">
        <v>205</v>
      </c>
      <c r="J58" t="s">
        <v>1426</v>
      </c>
      <c r="K58">
        <v>1574.33</v>
      </c>
      <c r="L58" t="s">
        <v>1442</v>
      </c>
      <c r="M58" t="s">
        <v>1444</v>
      </c>
      <c r="N58">
        <v>56078603</v>
      </c>
    </row>
    <row r="59" spans="3:14" x14ac:dyDescent="0.2">
      <c r="C59">
        <v>1021597</v>
      </c>
      <c r="D59" t="s">
        <v>1330</v>
      </c>
      <c r="E59" t="s">
        <v>1339</v>
      </c>
      <c r="F59">
        <v>993</v>
      </c>
      <c r="G59" s="1021" t="s">
        <v>1443</v>
      </c>
      <c r="H59" t="s">
        <v>1125</v>
      </c>
      <c r="I59" t="s">
        <v>204</v>
      </c>
      <c r="J59" t="s">
        <v>1426</v>
      </c>
      <c r="K59">
        <v>1686.79</v>
      </c>
      <c r="L59" t="s">
        <v>1442</v>
      </c>
      <c r="M59" t="s">
        <v>1444</v>
      </c>
      <c r="N59">
        <v>56078603</v>
      </c>
    </row>
    <row r="60" spans="3:14" x14ac:dyDescent="0.2">
      <c r="C60">
        <v>1021598</v>
      </c>
      <c r="D60" t="s">
        <v>1330</v>
      </c>
      <c r="E60" t="s">
        <v>1339</v>
      </c>
      <c r="F60">
        <v>993</v>
      </c>
      <c r="G60" s="1021" t="s">
        <v>1443</v>
      </c>
      <c r="H60" t="s">
        <v>1125</v>
      </c>
      <c r="I60" t="s">
        <v>16</v>
      </c>
      <c r="J60" t="s">
        <v>1426</v>
      </c>
      <c r="K60">
        <v>1425.25</v>
      </c>
      <c r="L60" t="s">
        <v>1442</v>
      </c>
      <c r="M60" t="s">
        <v>1444</v>
      </c>
      <c r="N60">
        <v>56078603</v>
      </c>
    </row>
    <row r="61" spans="3:14" x14ac:dyDescent="0.2">
      <c r="C61">
        <v>1021599</v>
      </c>
      <c r="D61" t="s">
        <v>1330</v>
      </c>
      <c r="E61" t="s">
        <v>1339</v>
      </c>
      <c r="F61">
        <v>993</v>
      </c>
      <c r="G61" s="1021" t="s">
        <v>1443</v>
      </c>
      <c r="H61" t="s">
        <v>1125</v>
      </c>
      <c r="I61" t="s">
        <v>205</v>
      </c>
      <c r="J61" t="s">
        <v>1426</v>
      </c>
      <c r="K61">
        <v>1662.79</v>
      </c>
      <c r="L61" t="s">
        <v>1442</v>
      </c>
      <c r="M61" t="s">
        <v>1444</v>
      </c>
      <c r="N61">
        <v>56078603</v>
      </c>
    </row>
    <row r="62" spans="3:14" x14ac:dyDescent="0.2">
      <c r="C62">
        <v>1021600</v>
      </c>
      <c r="D62" t="s">
        <v>1330</v>
      </c>
      <c r="E62" t="s">
        <v>1339</v>
      </c>
      <c r="F62">
        <v>993</v>
      </c>
      <c r="G62" s="1021" t="s">
        <v>1443</v>
      </c>
      <c r="H62" t="s">
        <v>1125</v>
      </c>
      <c r="I62" t="s">
        <v>204</v>
      </c>
      <c r="J62" t="s">
        <v>1426</v>
      </c>
      <c r="K62">
        <v>1781.57</v>
      </c>
      <c r="L62" t="s">
        <v>1442</v>
      </c>
      <c r="M62" t="s">
        <v>1444</v>
      </c>
      <c r="N62">
        <v>56078603</v>
      </c>
    </row>
    <row r="63" spans="3:14" x14ac:dyDescent="0.2">
      <c r="C63">
        <v>1021601</v>
      </c>
      <c r="D63" t="s">
        <v>1330</v>
      </c>
      <c r="E63" t="s">
        <v>1339</v>
      </c>
      <c r="F63">
        <v>993</v>
      </c>
      <c r="G63" s="1021" t="s">
        <v>1445</v>
      </c>
      <c r="H63" t="s">
        <v>1125</v>
      </c>
      <c r="I63" t="s">
        <v>16</v>
      </c>
      <c r="J63" t="s">
        <v>1426</v>
      </c>
      <c r="K63">
        <v>1006.5</v>
      </c>
      <c r="L63" t="s">
        <v>1444</v>
      </c>
      <c r="M63" t="s">
        <v>1302</v>
      </c>
      <c r="N63">
        <v>56078603</v>
      </c>
    </row>
    <row r="64" spans="3:14" x14ac:dyDescent="0.2">
      <c r="C64">
        <v>1021602</v>
      </c>
      <c r="D64" t="s">
        <v>1330</v>
      </c>
      <c r="E64" t="s">
        <v>1339</v>
      </c>
      <c r="F64">
        <v>993</v>
      </c>
      <c r="G64" s="1021" t="s">
        <v>1445</v>
      </c>
      <c r="H64" t="s">
        <v>1125</v>
      </c>
      <c r="I64" t="s">
        <v>205</v>
      </c>
      <c r="J64" t="s">
        <v>1426</v>
      </c>
      <c r="K64">
        <v>1174.25</v>
      </c>
      <c r="L64" t="s">
        <v>1444</v>
      </c>
      <c r="M64" t="s">
        <v>1302</v>
      </c>
      <c r="N64">
        <v>56078603</v>
      </c>
    </row>
    <row r="65" spans="3:14" x14ac:dyDescent="0.2">
      <c r="C65">
        <v>1021603</v>
      </c>
      <c r="D65" t="s">
        <v>1330</v>
      </c>
      <c r="E65" t="s">
        <v>1339</v>
      </c>
      <c r="F65">
        <v>993</v>
      </c>
      <c r="G65" s="1021" t="s">
        <v>1445</v>
      </c>
      <c r="H65" t="s">
        <v>1125</v>
      </c>
      <c r="I65" t="s">
        <v>204</v>
      </c>
      <c r="J65" t="s">
        <v>1426</v>
      </c>
      <c r="K65">
        <v>1258.1300000000001</v>
      </c>
      <c r="L65" t="s">
        <v>1444</v>
      </c>
      <c r="M65" t="s">
        <v>1302</v>
      </c>
      <c r="N65">
        <v>56078603</v>
      </c>
    </row>
    <row r="66" spans="3:14" x14ac:dyDescent="0.2">
      <c r="C66">
        <v>1021604</v>
      </c>
      <c r="D66" t="s">
        <v>1330</v>
      </c>
      <c r="E66" t="s">
        <v>1339</v>
      </c>
      <c r="F66">
        <v>993</v>
      </c>
      <c r="G66" s="1021" t="s">
        <v>1445</v>
      </c>
      <c r="H66" t="s">
        <v>1125</v>
      </c>
      <c r="I66" t="s">
        <v>16</v>
      </c>
      <c r="J66" t="s">
        <v>1426</v>
      </c>
      <c r="K66">
        <v>1149.33</v>
      </c>
      <c r="L66" t="s">
        <v>1444</v>
      </c>
      <c r="M66" t="s">
        <v>1302</v>
      </c>
      <c r="N66">
        <v>56078603</v>
      </c>
    </row>
    <row r="67" spans="3:14" x14ac:dyDescent="0.2">
      <c r="C67">
        <v>1021605</v>
      </c>
      <c r="D67" t="s">
        <v>1330</v>
      </c>
      <c r="E67" t="s">
        <v>1339</v>
      </c>
      <c r="F67">
        <v>993</v>
      </c>
      <c r="G67" s="1021" t="s">
        <v>1445</v>
      </c>
      <c r="H67" t="s">
        <v>1125</v>
      </c>
      <c r="I67" t="s">
        <v>205</v>
      </c>
      <c r="J67" t="s">
        <v>1426</v>
      </c>
      <c r="K67">
        <v>1340.89</v>
      </c>
      <c r="L67" t="s">
        <v>1444</v>
      </c>
      <c r="M67" t="s">
        <v>1302</v>
      </c>
      <c r="N67">
        <v>56078603</v>
      </c>
    </row>
    <row r="68" spans="3:14" x14ac:dyDescent="0.2">
      <c r="C68">
        <v>1021606</v>
      </c>
      <c r="D68" t="s">
        <v>1330</v>
      </c>
      <c r="E68" t="s">
        <v>1339</v>
      </c>
      <c r="F68">
        <v>993</v>
      </c>
      <c r="G68" s="1021" t="s">
        <v>1445</v>
      </c>
      <c r="H68" t="s">
        <v>1125</v>
      </c>
      <c r="I68" t="s">
        <v>204</v>
      </c>
      <c r="J68" t="s">
        <v>1426</v>
      </c>
      <c r="K68">
        <v>1436.66</v>
      </c>
      <c r="L68" t="s">
        <v>1444</v>
      </c>
      <c r="M68" t="s">
        <v>1302</v>
      </c>
      <c r="N68">
        <v>56078603</v>
      </c>
    </row>
    <row r="69" spans="3:14" x14ac:dyDescent="0.2">
      <c r="C69">
        <v>1021607</v>
      </c>
      <c r="D69" t="s">
        <v>1330</v>
      </c>
      <c r="E69" t="s">
        <v>1339</v>
      </c>
      <c r="F69">
        <v>993</v>
      </c>
      <c r="G69" s="1021" t="s">
        <v>1446</v>
      </c>
      <c r="H69" t="s">
        <v>1125</v>
      </c>
      <c r="I69" t="s">
        <v>16</v>
      </c>
      <c r="J69" t="s">
        <v>1426</v>
      </c>
      <c r="K69">
        <v>1170.1400000000001</v>
      </c>
      <c r="L69" t="s">
        <v>1302</v>
      </c>
      <c r="M69" t="s">
        <v>1236</v>
      </c>
      <c r="N69">
        <v>56078603</v>
      </c>
    </row>
    <row r="70" spans="3:14" x14ac:dyDescent="0.2">
      <c r="C70">
        <v>1021608</v>
      </c>
      <c r="D70" t="s">
        <v>1330</v>
      </c>
      <c r="E70" t="s">
        <v>1339</v>
      </c>
      <c r="F70">
        <v>993</v>
      </c>
      <c r="G70" s="1021" t="s">
        <v>1446</v>
      </c>
      <c r="H70" t="s">
        <v>1125</v>
      </c>
      <c r="I70" t="s">
        <v>205</v>
      </c>
      <c r="J70" t="s">
        <v>1426</v>
      </c>
      <c r="K70">
        <v>1365.17</v>
      </c>
      <c r="L70" t="s">
        <v>1302</v>
      </c>
      <c r="M70" t="s">
        <v>1236</v>
      </c>
      <c r="N70">
        <v>56078603</v>
      </c>
    </row>
    <row r="71" spans="3:14" x14ac:dyDescent="0.2">
      <c r="C71">
        <v>1021609</v>
      </c>
      <c r="D71" t="s">
        <v>1330</v>
      </c>
      <c r="E71" t="s">
        <v>1339</v>
      </c>
      <c r="F71">
        <v>993</v>
      </c>
      <c r="G71" s="1021" t="s">
        <v>1446</v>
      </c>
      <c r="H71" t="s">
        <v>1125</v>
      </c>
      <c r="I71" t="s">
        <v>204</v>
      </c>
      <c r="J71" t="s">
        <v>1426</v>
      </c>
      <c r="K71">
        <v>1462.68</v>
      </c>
      <c r="L71" t="s">
        <v>1302</v>
      </c>
      <c r="M71" t="s">
        <v>1236</v>
      </c>
      <c r="N71">
        <v>56078603</v>
      </c>
    </row>
    <row r="72" spans="3:14" x14ac:dyDescent="0.2">
      <c r="C72">
        <v>1021610</v>
      </c>
      <c r="D72" t="s">
        <v>1330</v>
      </c>
      <c r="E72" t="s">
        <v>1339</v>
      </c>
      <c r="F72">
        <v>993</v>
      </c>
      <c r="G72" s="1021" t="s">
        <v>1446</v>
      </c>
      <c r="H72" t="s">
        <v>1125</v>
      </c>
      <c r="I72" t="s">
        <v>16</v>
      </c>
      <c r="J72" t="s">
        <v>1426</v>
      </c>
      <c r="K72">
        <v>1219.3800000000001</v>
      </c>
      <c r="L72" t="s">
        <v>1302</v>
      </c>
      <c r="M72" t="s">
        <v>1236</v>
      </c>
      <c r="N72">
        <v>56078603</v>
      </c>
    </row>
    <row r="73" spans="3:14" x14ac:dyDescent="0.2">
      <c r="C73">
        <v>1021611</v>
      </c>
      <c r="D73" t="s">
        <v>1330</v>
      </c>
      <c r="E73" t="s">
        <v>1339</v>
      </c>
      <c r="F73">
        <v>993</v>
      </c>
      <c r="G73" s="1021" t="s">
        <v>1446</v>
      </c>
      <c r="H73" t="s">
        <v>1125</v>
      </c>
      <c r="I73" t="s">
        <v>205</v>
      </c>
      <c r="J73" t="s">
        <v>1426</v>
      </c>
      <c r="K73">
        <v>1422.61</v>
      </c>
      <c r="L73" t="s">
        <v>1302</v>
      </c>
      <c r="M73" t="s">
        <v>1236</v>
      </c>
      <c r="N73">
        <v>56078603</v>
      </c>
    </row>
    <row r="74" spans="3:14" x14ac:dyDescent="0.2">
      <c r="C74">
        <v>1021612</v>
      </c>
      <c r="D74" t="s">
        <v>1330</v>
      </c>
      <c r="E74" t="s">
        <v>1339</v>
      </c>
      <c r="F74">
        <v>993</v>
      </c>
      <c r="G74" s="1021" t="s">
        <v>1446</v>
      </c>
      <c r="H74" t="s">
        <v>1125</v>
      </c>
      <c r="I74" t="s">
        <v>204</v>
      </c>
      <c r="J74" t="s">
        <v>1426</v>
      </c>
      <c r="K74">
        <v>1524.23</v>
      </c>
      <c r="L74" t="s">
        <v>1302</v>
      </c>
      <c r="M74" t="s">
        <v>1236</v>
      </c>
      <c r="N74">
        <v>56078603</v>
      </c>
    </row>
    <row r="75" spans="3:14" x14ac:dyDescent="0.2">
      <c r="C75">
        <v>1021613</v>
      </c>
      <c r="D75" t="s">
        <v>1330</v>
      </c>
      <c r="E75" t="s">
        <v>1339</v>
      </c>
      <c r="F75">
        <v>993</v>
      </c>
      <c r="G75" s="1021" t="s">
        <v>1447</v>
      </c>
      <c r="H75" t="s">
        <v>1125</v>
      </c>
      <c r="I75" t="s">
        <v>16</v>
      </c>
      <c r="J75" t="s">
        <v>1426</v>
      </c>
      <c r="K75">
        <v>1173.71</v>
      </c>
      <c r="L75" t="s">
        <v>1236</v>
      </c>
      <c r="M75" t="s">
        <v>1187</v>
      </c>
      <c r="N75">
        <v>56078603</v>
      </c>
    </row>
    <row r="76" spans="3:14" x14ac:dyDescent="0.2">
      <c r="C76">
        <v>1021614</v>
      </c>
      <c r="D76" t="s">
        <v>1330</v>
      </c>
      <c r="E76" t="s">
        <v>1339</v>
      </c>
      <c r="F76">
        <v>993</v>
      </c>
      <c r="G76" s="1021" t="s">
        <v>1447</v>
      </c>
      <c r="H76" t="s">
        <v>1125</v>
      </c>
      <c r="I76" t="s">
        <v>205</v>
      </c>
      <c r="J76" t="s">
        <v>1426</v>
      </c>
      <c r="K76">
        <v>1369.33</v>
      </c>
      <c r="L76" t="s">
        <v>1236</v>
      </c>
      <c r="M76" t="s">
        <v>1187</v>
      </c>
      <c r="N76">
        <v>56078603</v>
      </c>
    </row>
    <row r="77" spans="3:14" x14ac:dyDescent="0.2">
      <c r="C77">
        <v>1021615</v>
      </c>
      <c r="D77" t="s">
        <v>1330</v>
      </c>
      <c r="E77" t="s">
        <v>1339</v>
      </c>
      <c r="F77">
        <v>993</v>
      </c>
      <c r="G77" s="1021" t="s">
        <v>1447</v>
      </c>
      <c r="H77" t="s">
        <v>1125</v>
      </c>
      <c r="I77" t="s">
        <v>204</v>
      </c>
      <c r="J77" t="s">
        <v>1426</v>
      </c>
      <c r="K77">
        <v>1467.13</v>
      </c>
      <c r="L77" t="s">
        <v>1236</v>
      </c>
      <c r="M77" t="s">
        <v>1187</v>
      </c>
      <c r="N77">
        <v>56078603</v>
      </c>
    </row>
    <row r="78" spans="3:14" x14ac:dyDescent="0.2">
      <c r="C78">
        <v>1021616</v>
      </c>
      <c r="D78" t="s">
        <v>1330</v>
      </c>
      <c r="E78" t="s">
        <v>1339</v>
      </c>
      <c r="F78">
        <v>993</v>
      </c>
      <c r="G78" s="1021" t="s">
        <v>1447</v>
      </c>
      <c r="H78" t="s">
        <v>1125</v>
      </c>
      <c r="I78" t="s">
        <v>16</v>
      </c>
      <c r="J78" t="s">
        <v>1426</v>
      </c>
      <c r="K78">
        <v>1188.51</v>
      </c>
      <c r="L78" t="s">
        <v>1236</v>
      </c>
      <c r="M78" t="s">
        <v>1187</v>
      </c>
      <c r="N78">
        <v>56078603</v>
      </c>
    </row>
    <row r="79" spans="3:14" x14ac:dyDescent="0.2">
      <c r="C79">
        <v>1021617</v>
      </c>
      <c r="D79" t="s">
        <v>1330</v>
      </c>
      <c r="E79" t="s">
        <v>1339</v>
      </c>
      <c r="F79">
        <v>993</v>
      </c>
      <c r="G79" s="1021" t="s">
        <v>1447</v>
      </c>
      <c r="H79" t="s">
        <v>1125</v>
      </c>
      <c r="I79" t="s">
        <v>205</v>
      </c>
      <c r="J79" t="s">
        <v>1426</v>
      </c>
      <c r="K79">
        <v>1386.59</v>
      </c>
      <c r="L79" t="s">
        <v>1236</v>
      </c>
      <c r="M79" t="s">
        <v>1187</v>
      </c>
      <c r="N79">
        <v>56078603</v>
      </c>
    </row>
    <row r="80" spans="3:14" x14ac:dyDescent="0.2">
      <c r="C80">
        <v>1021618</v>
      </c>
      <c r="D80" t="s">
        <v>1330</v>
      </c>
      <c r="E80" t="s">
        <v>1339</v>
      </c>
      <c r="F80">
        <v>993</v>
      </c>
      <c r="G80" s="1021" t="s">
        <v>1447</v>
      </c>
      <c r="H80" t="s">
        <v>1125</v>
      </c>
      <c r="I80" t="s">
        <v>204</v>
      </c>
      <c r="J80" t="s">
        <v>1426</v>
      </c>
      <c r="K80">
        <v>1485.64</v>
      </c>
      <c r="L80" t="s">
        <v>1236</v>
      </c>
      <c r="M80" t="s">
        <v>1187</v>
      </c>
      <c r="N80">
        <v>56078603</v>
      </c>
    </row>
    <row r="81" spans="3:14" x14ac:dyDescent="0.2">
      <c r="C81">
        <v>1021619</v>
      </c>
      <c r="D81" t="s">
        <v>1330</v>
      </c>
      <c r="E81" t="s">
        <v>1339</v>
      </c>
      <c r="F81">
        <v>993</v>
      </c>
      <c r="G81" s="1021" t="s">
        <v>1448</v>
      </c>
      <c r="H81" t="s">
        <v>1125</v>
      </c>
      <c r="I81" t="s">
        <v>16</v>
      </c>
      <c r="J81" t="s">
        <v>1426</v>
      </c>
      <c r="K81">
        <v>1144.8499999999999</v>
      </c>
      <c r="L81" t="s">
        <v>1187</v>
      </c>
      <c r="M81" t="s">
        <v>1449</v>
      </c>
      <c r="N81">
        <v>56078603</v>
      </c>
    </row>
    <row r="82" spans="3:14" x14ac:dyDescent="0.2">
      <c r="C82">
        <v>1021620</v>
      </c>
      <c r="D82" t="s">
        <v>1330</v>
      </c>
      <c r="E82" t="s">
        <v>1339</v>
      </c>
      <c r="F82">
        <v>993</v>
      </c>
      <c r="G82" s="1021" t="s">
        <v>1448</v>
      </c>
      <c r="H82" t="s">
        <v>1125</v>
      </c>
      <c r="I82" t="s">
        <v>205</v>
      </c>
      <c r="J82" t="s">
        <v>1426</v>
      </c>
      <c r="K82">
        <v>1335.66</v>
      </c>
      <c r="L82" t="s">
        <v>1187</v>
      </c>
      <c r="M82" t="s">
        <v>1449</v>
      </c>
      <c r="N82">
        <v>56078603</v>
      </c>
    </row>
    <row r="83" spans="3:14" x14ac:dyDescent="0.2">
      <c r="C83">
        <v>1021621</v>
      </c>
      <c r="D83" t="s">
        <v>1330</v>
      </c>
      <c r="E83" t="s">
        <v>1339</v>
      </c>
      <c r="F83">
        <v>993</v>
      </c>
      <c r="G83" s="1021" t="s">
        <v>1448</v>
      </c>
      <c r="H83" t="s">
        <v>1125</v>
      </c>
      <c r="I83" t="s">
        <v>204</v>
      </c>
      <c r="J83" t="s">
        <v>1426</v>
      </c>
      <c r="K83">
        <v>1431.06</v>
      </c>
      <c r="L83" t="s">
        <v>1187</v>
      </c>
      <c r="M83" t="s">
        <v>1449</v>
      </c>
      <c r="N83">
        <v>56078603</v>
      </c>
    </row>
    <row r="84" spans="3:14" x14ac:dyDescent="0.2">
      <c r="C84">
        <v>1021622</v>
      </c>
      <c r="D84" t="s">
        <v>1330</v>
      </c>
      <c r="E84" t="s">
        <v>1339</v>
      </c>
      <c r="F84">
        <v>993</v>
      </c>
      <c r="G84" s="1021" t="s">
        <v>1448</v>
      </c>
      <c r="H84" t="s">
        <v>1125</v>
      </c>
      <c r="I84" t="s">
        <v>16</v>
      </c>
      <c r="J84" t="s">
        <v>1426</v>
      </c>
      <c r="K84">
        <v>1170.1400000000001</v>
      </c>
      <c r="L84" t="s">
        <v>1187</v>
      </c>
      <c r="M84" t="s">
        <v>1449</v>
      </c>
      <c r="N84">
        <v>56078603</v>
      </c>
    </row>
    <row r="85" spans="3:14" x14ac:dyDescent="0.2">
      <c r="C85">
        <v>1021623</v>
      </c>
      <c r="D85" t="s">
        <v>1330</v>
      </c>
      <c r="E85" t="s">
        <v>1339</v>
      </c>
      <c r="F85">
        <v>993</v>
      </c>
      <c r="G85" s="1021" t="s">
        <v>1448</v>
      </c>
      <c r="H85" t="s">
        <v>1125</v>
      </c>
      <c r="I85" t="s">
        <v>205</v>
      </c>
      <c r="J85" t="s">
        <v>1426</v>
      </c>
      <c r="K85">
        <v>1365.17</v>
      </c>
      <c r="L85" t="s">
        <v>1187</v>
      </c>
      <c r="M85" t="s">
        <v>1449</v>
      </c>
      <c r="N85">
        <v>56078603</v>
      </c>
    </row>
    <row r="86" spans="3:14" x14ac:dyDescent="0.2">
      <c r="C86">
        <v>1021624</v>
      </c>
      <c r="D86" t="s">
        <v>1330</v>
      </c>
      <c r="E86" t="s">
        <v>1339</v>
      </c>
      <c r="F86">
        <v>993</v>
      </c>
      <c r="G86" s="1021" t="s">
        <v>1448</v>
      </c>
      <c r="H86" t="s">
        <v>1125</v>
      </c>
      <c r="I86" t="s">
        <v>204</v>
      </c>
      <c r="J86" t="s">
        <v>1426</v>
      </c>
      <c r="K86">
        <v>1462.68</v>
      </c>
      <c r="L86" t="s">
        <v>1187</v>
      </c>
      <c r="M86" t="s">
        <v>1449</v>
      </c>
      <c r="N86">
        <v>56078603</v>
      </c>
    </row>
    <row r="87" spans="3:14" x14ac:dyDescent="0.2">
      <c r="C87">
        <v>1021524</v>
      </c>
      <c r="D87" t="s">
        <v>1321</v>
      </c>
      <c r="E87" t="s">
        <v>1301</v>
      </c>
      <c r="F87">
        <v>439</v>
      </c>
      <c r="G87" s="1021" t="s">
        <v>1450</v>
      </c>
      <c r="H87" t="s">
        <v>1125</v>
      </c>
      <c r="I87" t="s">
        <v>205</v>
      </c>
      <c r="J87" t="s">
        <v>626</v>
      </c>
      <c r="K87">
        <v>609</v>
      </c>
      <c r="L87" t="s">
        <v>1302</v>
      </c>
      <c r="M87" t="s">
        <v>1236</v>
      </c>
      <c r="N87">
        <v>56078603</v>
      </c>
    </row>
    <row r="88" spans="3:14" x14ac:dyDescent="0.2">
      <c r="C88">
        <v>1021525</v>
      </c>
      <c r="D88" t="s">
        <v>1321</v>
      </c>
      <c r="E88" t="s">
        <v>1301</v>
      </c>
      <c r="F88">
        <v>439</v>
      </c>
      <c r="G88" s="1021" t="s">
        <v>1450</v>
      </c>
      <c r="H88" t="s">
        <v>1125</v>
      </c>
      <c r="I88" t="s">
        <v>204</v>
      </c>
      <c r="J88" t="s">
        <v>1426</v>
      </c>
      <c r="K88">
        <v>652.5</v>
      </c>
      <c r="L88" t="s">
        <v>1302</v>
      </c>
      <c r="M88" t="s">
        <v>1236</v>
      </c>
      <c r="N88">
        <v>56078603</v>
      </c>
    </row>
    <row r="89" spans="3:14" x14ac:dyDescent="0.2">
      <c r="C89">
        <v>1021526</v>
      </c>
      <c r="D89" t="s">
        <v>1321</v>
      </c>
      <c r="E89" t="s">
        <v>1301</v>
      </c>
      <c r="F89">
        <v>439</v>
      </c>
      <c r="G89" s="1021" t="s">
        <v>1451</v>
      </c>
      <c r="H89" t="s">
        <v>1125</v>
      </c>
      <c r="I89" t="s">
        <v>205</v>
      </c>
      <c r="J89" t="s">
        <v>626</v>
      </c>
      <c r="K89">
        <v>609</v>
      </c>
      <c r="L89" t="s">
        <v>1436</v>
      </c>
      <c r="M89" t="s">
        <v>1438</v>
      </c>
      <c r="N89">
        <v>56078603</v>
      </c>
    </row>
    <row r="90" spans="3:14" x14ac:dyDescent="0.2">
      <c r="C90">
        <v>1021527</v>
      </c>
      <c r="D90" t="s">
        <v>1321</v>
      </c>
      <c r="E90" t="s">
        <v>1301</v>
      </c>
      <c r="F90">
        <v>439</v>
      </c>
      <c r="G90" s="1021" t="s">
        <v>1452</v>
      </c>
      <c r="H90" t="s">
        <v>1125</v>
      </c>
      <c r="I90" t="s">
        <v>205</v>
      </c>
      <c r="J90" t="s">
        <v>626</v>
      </c>
      <c r="K90">
        <v>609</v>
      </c>
      <c r="L90" t="s">
        <v>1434</v>
      </c>
      <c r="M90" t="s">
        <v>1436</v>
      </c>
      <c r="N90">
        <v>56078603</v>
      </c>
    </row>
    <row r="91" spans="3:14" x14ac:dyDescent="0.2">
      <c r="C91">
        <v>1021528</v>
      </c>
      <c r="D91" t="s">
        <v>1321</v>
      </c>
      <c r="E91" t="s">
        <v>1301</v>
      </c>
      <c r="F91">
        <v>439</v>
      </c>
      <c r="G91" s="1021" t="s">
        <v>1453</v>
      </c>
      <c r="H91" t="s">
        <v>1125</v>
      </c>
      <c r="I91" t="s">
        <v>204</v>
      </c>
      <c r="J91" t="s">
        <v>1426</v>
      </c>
      <c r="K91">
        <v>652.5</v>
      </c>
      <c r="L91" t="s">
        <v>1428</v>
      </c>
      <c r="M91" t="s">
        <v>1432</v>
      </c>
      <c r="N91">
        <v>56078603</v>
      </c>
    </row>
    <row r="92" spans="3:14" x14ac:dyDescent="0.2">
      <c r="C92">
        <v>1021529</v>
      </c>
      <c r="D92" t="s">
        <v>1321</v>
      </c>
      <c r="E92" t="s">
        <v>1301</v>
      </c>
      <c r="F92">
        <v>439</v>
      </c>
      <c r="G92" s="1021" t="s">
        <v>1453</v>
      </c>
      <c r="H92" t="s">
        <v>1125</v>
      </c>
      <c r="I92" t="s">
        <v>205</v>
      </c>
      <c r="J92" t="s">
        <v>626</v>
      </c>
      <c r="K92">
        <v>609</v>
      </c>
      <c r="L92" t="s">
        <v>1428</v>
      </c>
      <c r="M92" t="s">
        <v>1432</v>
      </c>
      <c r="N92">
        <v>56078603</v>
      </c>
    </row>
    <row r="93" spans="3:14" x14ac:dyDescent="0.2">
      <c r="C93">
        <v>1021530</v>
      </c>
      <c r="D93" t="s">
        <v>1321</v>
      </c>
      <c r="E93" t="s">
        <v>1301</v>
      </c>
      <c r="F93">
        <v>439</v>
      </c>
      <c r="G93" s="1021" t="s">
        <v>1454</v>
      </c>
      <c r="H93" t="s">
        <v>1125</v>
      </c>
      <c r="I93" t="s">
        <v>205</v>
      </c>
      <c r="J93" t="s">
        <v>626</v>
      </c>
      <c r="K93">
        <v>609</v>
      </c>
      <c r="L93" t="s">
        <v>1432</v>
      </c>
      <c r="M93" t="s">
        <v>1434</v>
      </c>
      <c r="N93">
        <v>56078603</v>
      </c>
    </row>
    <row r="94" spans="3:14" x14ac:dyDescent="0.2">
      <c r="C94">
        <v>1021531</v>
      </c>
      <c r="D94" t="s">
        <v>1321</v>
      </c>
      <c r="E94" t="s">
        <v>1301</v>
      </c>
      <c r="F94">
        <v>439</v>
      </c>
      <c r="G94" s="1021" t="s">
        <v>1455</v>
      </c>
      <c r="H94" t="s">
        <v>1125</v>
      </c>
      <c r="I94" t="s">
        <v>204</v>
      </c>
      <c r="J94" t="s">
        <v>1426</v>
      </c>
      <c r="K94">
        <v>652.5</v>
      </c>
      <c r="L94" t="s">
        <v>1440</v>
      </c>
      <c r="M94" t="s">
        <v>1442</v>
      </c>
      <c r="N94">
        <v>56078603</v>
      </c>
    </row>
    <row r="95" spans="3:14" x14ac:dyDescent="0.2">
      <c r="C95">
        <v>1021532</v>
      </c>
      <c r="D95" t="s">
        <v>1321</v>
      </c>
      <c r="E95" t="s">
        <v>1301</v>
      </c>
      <c r="F95">
        <v>439</v>
      </c>
      <c r="G95" s="1021" t="s">
        <v>1456</v>
      </c>
      <c r="H95" t="s">
        <v>1125</v>
      </c>
      <c r="I95" t="s">
        <v>205</v>
      </c>
      <c r="J95" t="s">
        <v>626</v>
      </c>
      <c r="K95">
        <v>609</v>
      </c>
      <c r="L95" t="s">
        <v>1236</v>
      </c>
      <c r="M95" t="s">
        <v>1187</v>
      </c>
      <c r="N95">
        <v>56078603</v>
      </c>
    </row>
    <row r="96" spans="3:14" x14ac:dyDescent="0.2">
      <c r="C96">
        <v>1021533</v>
      </c>
      <c r="D96" t="s">
        <v>1321</v>
      </c>
      <c r="E96" t="s">
        <v>1301</v>
      </c>
      <c r="F96">
        <v>439</v>
      </c>
      <c r="G96" s="1021" t="s">
        <v>1455</v>
      </c>
      <c r="H96" t="s">
        <v>1125</v>
      </c>
      <c r="I96" t="s">
        <v>205</v>
      </c>
      <c r="J96" t="s">
        <v>626</v>
      </c>
      <c r="K96">
        <v>609</v>
      </c>
      <c r="L96" t="s">
        <v>1440</v>
      </c>
      <c r="M96" t="s">
        <v>1442</v>
      </c>
      <c r="N96">
        <v>56078603</v>
      </c>
    </row>
    <row r="97" spans="3:14" x14ac:dyDescent="0.2">
      <c r="C97">
        <v>1021534</v>
      </c>
      <c r="D97" t="s">
        <v>1321</v>
      </c>
      <c r="E97" t="s">
        <v>1301</v>
      </c>
      <c r="F97">
        <v>439</v>
      </c>
      <c r="G97" s="1021" t="s">
        <v>1457</v>
      </c>
      <c r="H97" t="s">
        <v>1125</v>
      </c>
      <c r="I97" t="s">
        <v>205</v>
      </c>
      <c r="J97" t="s">
        <v>626</v>
      </c>
      <c r="K97">
        <v>609</v>
      </c>
      <c r="L97" t="s">
        <v>1438</v>
      </c>
      <c r="M97" t="s">
        <v>1440</v>
      </c>
      <c r="N97">
        <v>56078603</v>
      </c>
    </row>
    <row r="98" spans="3:14" x14ac:dyDescent="0.2">
      <c r="C98">
        <v>1021535</v>
      </c>
      <c r="D98" t="s">
        <v>1321</v>
      </c>
      <c r="E98" t="s">
        <v>1301</v>
      </c>
      <c r="F98">
        <v>439</v>
      </c>
      <c r="G98" s="1021" t="s">
        <v>1452</v>
      </c>
      <c r="H98" t="s">
        <v>1125</v>
      </c>
      <c r="I98" t="s">
        <v>204</v>
      </c>
      <c r="J98" t="s">
        <v>1458</v>
      </c>
      <c r="K98">
        <v>652.5</v>
      </c>
      <c r="L98" t="s">
        <v>1434</v>
      </c>
      <c r="M98" t="s">
        <v>1436</v>
      </c>
      <c r="N98">
        <v>56078603</v>
      </c>
    </row>
    <row r="99" spans="3:14" x14ac:dyDescent="0.2">
      <c r="C99">
        <v>1021536</v>
      </c>
      <c r="D99" t="s">
        <v>1321</v>
      </c>
      <c r="E99" t="s">
        <v>1301</v>
      </c>
      <c r="F99">
        <v>439</v>
      </c>
      <c r="G99" s="1021" t="s">
        <v>1456</v>
      </c>
      <c r="H99" t="s">
        <v>1125</v>
      </c>
      <c r="I99" t="s">
        <v>204</v>
      </c>
      <c r="J99" t="s">
        <v>1426</v>
      </c>
      <c r="K99">
        <v>652.5</v>
      </c>
      <c r="L99" t="s">
        <v>1236</v>
      </c>
      <c r="M99" t="s">
        <v>1187</v>
      </c>
      <c r="N99">
        <v>56078603</v>
      </c>
    </row>
    <row r="100" spans="3:14" x14ac:dyDescent="0.2">
      <c r="C100">
        <v>1021537</v>
      </c>
      <c r="D100" t="s">
        <v>1321</v>
      </c>
      <c r="E100" t="s">
        <v>1301</v>
      </c>
      <c r="F100">
        <v>439</v>
      </c>
      <c r="G100" s="1021" t="s">
        <v>1459</v>
      </c>
      <c r="H100" t="s">
        <v>1125</v>
      </c>
      <c r="I100" t="s">
        <v>205</v>
      </c>
      <c r="J100" t="s">
        <v>626</v>
      </c>
      <c r="K100">
        <v>609</v>
      </c>
      <c r="L100" t="s">
        <v>1444</v>
      </c>
      <c r="M100" t="s">
        <v>1302</v>
      </c>
      <c r="N100">
        <v>56078603</v>
      </c>
    </row>
    <row r="101" spans="3:14" x14ac:dyDescent="0.2">
      <c r="C101">
        <v>1021538</v>
      </c>
      <c r="D101" t="s">
        <v>1321</v>
      </c>
      <c r="E101" t="s">
        <v>1301</v>
      </c>
      <c r="F101">
        <v>439</v>
      </c>
      <c r="G101" s="1021" t="s">
        <v>1460</v>
      </c>
      <c r="H101" t="s">
        <v>1125</v>
      </c>
      <c r="I101" t="s">
        <v>205</v>
      </c>
      <c r="J101" t="s">
        <v>626</v>
      </c>
      <c r="K101">
        <v>609</v>
      </c>
      <c r="L101" t="s">
        <v>1442</v>
      </c>
      <c r="M101" t="s">
        <v>1444</v>
      </c>
      <c r="N101">
        <v>56078603</v>
      </c>
    </row>
    <row r="102" spans="3:14" x14ac:dyDescent="0.2">
      <c r="C102">
        <v>1021539</v>
      </c>
      <c r="D102" t="s">
        <v>1321</v>
      </c>
      <c r="E102" t="s">
        <v>1301</v>
      </c>
      <c r="F102">
        <v>439</v>
      </c>
      <c r="G102" s="1021" t="s">
        <v>1457</v>
      </c>
      <c r="H102" t="s">
        <v>1125</v>
      </c>
      <c r="I102" t="s">
        <v>204</v>
      </c>
      <c r="J102" t="s">
        <v>1458</v>
      </c>
      <c r="K102">
        <v>652.5</v>
      </c>
      <c r="L102" t="s">
        <v>1438</v>
      </c>
      <c r="M102" t="s">
        <v>1440</v>
      </c>
      <c r="N102">
        <v>56078603</v>
      </c>
    </row>
    <row r="103" spans="3:14" x14ac:dyDescent="0.2">
      <c r="C103">
        <v>1021540</v>
      </c>
      <c r="D103" t="s">
        <v>1321</v>
      </c>
      <c r="E103" t="s">
        <v>1301</v>
      </c>
      <c r="F103">
        <v>439</v>
      </c>
      <c r="G103" s="1021" t="s">
        <v>1459</v>
      </c>
      <c r="H103" t="s">
        <v>1125</v>
      </c>
      <c r="I103" t="s">
        <v>204</v>
      </c>
      <c r="J103" t="s">
        <v>1426</v>
      </c>
      <c r="K103">
        <v>652.5</v>
      </c>
      <c r="L103" t="s">
        <v>1444</v>
      </c>
      <c r="M103" t="s">
        <v>1302</v>
      </c>
      <c r="N103">
        <v>56078603</v>
      </c>
    </row>
    <row r="104" spans="3:14" x14ac:dyDescent="0.2">
      <c r="C104">
        <v>1021541</v>
      </c>
      <c r="D104" t="s">
        <v>1321</v>
      </c>
      <c r="E104" t="s">
        <v>1301</v>
      </c>
      <c r="F104">
        <v>439</v>
      </c>
      <c r="G104" s="1021" t="s">
        <v>1460</v>
      </c>
      <c r="H104" t="s">
        <v>1125</v>
      </c>
      <c r="I104" t="s">
        <v>204</v>
      </c>
      <c r="J104" t="s">
        <v>1426</v>
      </c>
      <c r="K104">
        <v>652.5</v>
      </c>
      <c r="L104" t="s">
        <v>1442</v>
      </c>
      <c r="M104" t="s">
        <v>1444</v>
      </c>
      <c r="N104">
        <v>56078603</v>
      </c>
    </row>
    <row r="105" spans="3:14" x14ac:dyDescent="0.2">
      <c r="C105">
        <v>1021542</v>
      </c>
      <c r="D105" t="s">
        <v>1321</v>
      </c>
      <c r="E105" t="s">
        <v>1301</v>
      </c>
      <c r="F105">
        <v>439</v>
      </c>
      <c r="G105" s="1021" t="s">
        <v>1454</v>
      </c>
      <c r="H105" t="s">
        <v>1125</v>
      </c>
      <c r="I105" t="s">
        <v>204</v>
      </c>
      <c r="J105" t="s">
        <v>1426</v>
      </c>
      <c r="K105">
        <v>652.5</v>
      </c>
      <c r="L105" t="s">
        <v>1432</v>
      </c>
      <c r="M105" t="s">
        <v>1434</v>
      </c>
      <c r="N105">
        <v>56078603</v>
      </c>
    </row>
    <row r="106" spans="3:14" x14ac:dyDescent="0.2">
      <c r="C106">
        <v>1021543</v>
      </c>
      <c r="D106" t="s">
        <v>1321</v>
      </c>
      <c r="E106" t="s">
        <v>1301</v>
      </c>
      <c r="F106">
        <v>439</v>
      </c>
      <c r="G106" s="1021" t="s">
        <v>1451</v>
      </c>
      <c r="H106" t="s">
        <v>1125</v>
      </c>
      <c r="I106" t="s">
        <v>204</v>
      </c>
      <c r="J106" t="s">
        <v>1426</v>
      </c>
      <c r="K106">
        <v>652.5</v>
      </c>
      <c r="L106" t="s">
        <v>1436</v>
      </c>
      <c r="M106" t="s">
        <v>1438</v>
      </c>
      <c r="N106">
        <v>56078603</v>
      </c>
    </row>
    <row r="107" spans="3:14" x14ac:dyDescent="0.2">
      <c r="C107">
        <v>1021514</v>
      </c>
      <c r="D107" t="s">
        <v>1309</v>
      </c>
      <c r="E107" t="s">
        <v>1301</v>
      </c>
      <c r="F107">
        <v>177</v>
      </c>
      <c r="G107" s="1021" t="s">
        <v>1461</v>
      </c>
      <c r="H107" t="s">
        <v>1125</v>
      </c>
      <c r="I107" t="s">
        <v>1462</v>
      </c>
      <c r="J107" t="s">
        <v>626</v>
      </c>
      <c r="K107">
        <v>165.74</v>
      </c>
      <c r="L107" t="s">
        <v>1442</v>
      </c>
      <c r="M107" t="s">
        <v>1444</v>
      </c>
      <c r="N107">
        <v>56078603</v>
      </c>
    </row>
    <row r="108" spans="3:14" x14ac:dyDescent="0.2">
      <c r="C108">
        <v>1021515</v>
      </c>
      <c r="D108" t="s">
        <v>1309</v>
      </c>
      <c r="E108" t="s">
        <v>1301</v>
      </c>
      <c r="F108">
        <v>177</v>
      </c>
      <c r="G108" s="1021" t="s">
        <v>1463</v>
      </c>
      <c r="H108" t="s">
        <v>1125</v>
      </c>
      <c r="I108" t="s">
        <v>1462</v>
      </c>
      <c r="J108" t="s">
        <v>626</v>
      </c>
      <c r="K108">
        <v>164.56</v>
      </c>
      <c r="L108" t="s">
        <v>1438</v>
      </c>
      <c r="M108" t="s">
        <v>1440</v>
      </c>
      <c r="N108">
        <v>56078603</v>
      </c>
    </row>
    <row r="109" spans="3:14" x14ac:dyDescent="0.2">
      <c r="C109">
        <v>1021516</v>
      </c>
      <c r="D109" t="s">
        <v>1309</v>
      </c>
      <c r="E109" t="s">
        <v>1301</v>
      </c>
      <c r="F109">
        <v>177</v>
      </c>
      <c r="G109" s="1021" t="s">
        <v>1464</v>
      </c>
      <c r="H109" t="s">
        <v>1125</v>
      </c>
      <c r="I109" t="s">
        <v>1462</v>
      </c>
      <c r="J109" t="s">
        <v>626</v>
      </c>
      <c r="K109">
        <v>164.9</v>
      </c>
      <c r="L109" t="s">
        <v>1436</v>
      </c>
      <c r="M109" t="s">
        <v>1438</v>
      </c>
      <c r="N109">
        <v>56078603</v>
      </c>
    </row>
    <row r="110" spans="3:14" x14ac:dyDescent="0.2">
      <c r="C110">
        <v>1021517</v>
      </c>
      <c r="D110" t="s">
        <v>1309</v>
      </c>
      <c r="E110" t="s">
        <v>1301</v>
      </c>
      <c r="F110">
        <v>177</v>
      </c>
      <c r="G110" s="1021" t="s">
        <v>1465</v>
      </c>
      <c r="H110" t="s">
        <v>1125</v>
      </c>
      <c r="I110" t="s">
        <v>1462</v>
      </c>
      <c r="J110" t="s">
        <v>626</v>
      </c>
      <c r="K110">
        <v>166.41</v>
      </c>
      <c r="L110" t="s">
        <v>1236</v>
      </c>
      <c r="M110" t="s">
        <v>1187</v>
      </c>
      <c r="N110">
        <v>56078603</v>
      </c>
    </row>
    <row r="111" spans="3:14" x14ac:dyDescent="0.2">
      <c r="C111">
        <v>1021518</v>
      </c>
      <c r="D111" t="s">
        <v>1309</v>
      </c>
      <c r="E111" t="s">
        <v>1301</v>
      </c>
      <c r="F111">
        <v>177</v>
      </c>
      <c r="G111" s="1021" t="s">
        <v>1466</v>
      </c>
      <c r="H111" t="s">
        <v>1125</v>
      </c>
      <c r="I111" t="s">
        <v>1462</v>
      </c>
      <c r="J111" t="s">
        <v>626</v>
      </c>
      <c r="K111">
        <v>166.25</v>
      </c>
      <c r="L111" t="s">
        <v>1444</v>
      </c>
      <c r="M111" t="s">
        <v>1302</v>
      </c>
      <c r="N111">
        <v>56078603</v>
      </c>
    </row>
    <row r="112" spans="3:14" x14ac:dyDescent="0.2">
      <c r="C112">
        <v>1021519</v>
      </c>
      <c r="D112" t="s">
        <v>1309</v>
      </c>
      <c r="E112" t="s">
        <v>1301</v>
      </c>
      <c r="F112">
        <v>177</v>
      </c>
      <c r="G112" s="1021" t="s">
        <v>1467</v>
      </c>
      <c r="H112" t="s">
        <v>1125</v>
      </c>
      <c r="I112" t="s">
        <v>1462</v>
      </c>
      <c r="J112" t="s">
        <v>626</v>
      </c>
      <c r="K112">
        <v>165.24</v>
      </c>
      <c r="L112" t="s">
        <v>1440</v>
      </c>
      <c r="M112" t="s">
        <v>1442</v>
      </c>
      <c r="N112">
        <v>56078603</v>
      </c>
    </row>
    <row r="113" spans="3:14" x14ac:dyDescent="0.2">
      <c r="C113">
        <v>1021520</v>
      </c>
      <c r="D113" t="s">
        <v>1309</v>
      </c>
      <c r="E113" t="s">
        <v>1301</v>
      </c>
      <c r="F113">
        <v>177</v>
      </c>
      <c r="G113" s="1021" t="s">
        <v>1468</v>
      </c>
      <c r="H113" t="s">
        <v>1125</v>
      </c>
      <c r="I113" t="s">
        <v>1462</v>
      </c>
      <c r="J113" t="s">
        <v>626</v>
      </c>
      <c r="K113">
        <v>166.91</v>
      </c>
      <c r="L113" t="s">
        <v>1302</v>
      </c>
      <c r="M113" t="s">
        <v>1236</v>
      </c>
      <c r="N113">
        <v>56078603</v>
      </c>
    </row>
    <row r="114" spans="3:14" x14ac:dyDescent="0.2">
      <c r="C114">
        <v>1021521</v>
      </c>
      <c r="D114" t="s">
        <v>1309</v>
      </c>
      <c r="E114" t="s">
        <v>1301</v>
      </c>
      <c r="F114">
        <v>177</v>
      </c>
      <c r="G114" s="1021" t="s">
        <v>1469</v>
      </c>
      <c r="H114" t="s">
        <v>1125</v>
      </c>
      <c r="I114" t="s">
        <v>1462</v>
      </c>
      <c r="J114" t="s">
        <v>626</v>
      </c>
      <c r="K114">
        <v>166.41</v>
      </c>
      <c r="L114" t="s">
        <v>1428</v>
      </c>
      <c r="M114" t="s">
        <v>1432</v>
      </c>
      <c r="N114">
        <v>56078603</v>
      </c>
    </row>
    <row r="115" spans="3:14" x14ac:dyDescent="0.2">
      <c r="C115">
        <v>1021522</v>
      </c>
      <c r="D115" t="s">
        <v>1309</v>
      </c>
      <c r="E115" t="s">
        <v>1301</v>
      </c>
      <c r="F115">
        <v>177</v>
      </c>
      <c r="G115" s="1021" t="s">
        <v>1470</v>
      </c>
      <c r="H115" t="s">
        <v>1125</v>
      </c>
      <c r="I115" t="s">
        <v>1462</v>
      </c>
      <c r="J115" t="s">
        <v>626</v>
      </c>
      <c r="K115">
        <v>166.25</v>
      </c>
      <c r="L115" t="s">
        <v>1432</v>
      </c>
      <c r="M115" t="s">
        <v>1434</v>
      </c>
      <c r="N115">
        <v>56078603</v>
      </c>
    </row>
    <row r="116" spans="3:14" x14ac:dyDescent="0.2">
      <c r="C116">
        <v>1021523</v>
      </c>
      <c r="D116" t="s">
        <v>1309</v>
      </c>
      <c r="E116" t="s">
        <v>1301</v>
      </c>
      <c r="F116">
        <v>177</v>
      </c>
      <c r="G116" s="1021" t="s">
        <v>1471</v>
      </c>
      <c r="H116" t="s">
        <v>1125</v>
      </c>
      <c r="I116" t="s">
        <v>1462</v>
      </c>
      <c r="J116" t="s">
        <v>626</v>
      </c>
      <c r="K116">
        <v>165.4</v>
      </c>
      <c r="L116" t="s">
        <v>1434</v>
      </c>
      <c r="M116" t="s">
        <v>1436</v>
      </c>
      <c r="N116">
        <v>56078603</v>
      </c>
    </row>
    <row r="117" spans="3:14" x14ac:dyDescent="0.2">
      <c r="C117">
        <v>1021504</v>
      </c>
      <c r="D117" t="s">
        <v>1293</v>
      </c>
      <c r="E117" t="s">
        <v>1301</v>
      </c>
      <c r="F117">
        <v>443</v>
      </c>
      <c r="G117" s="1021" t="s">
        <v>1472</v>
      </c>
      <c r="H117" t="s">
        <v>1125</v>
      </c>
      <c r="I117" t="s">
        <v>1418</v>
      </c>
      <c r="J117" t="s">
        <v>626</v>
      </c>
      <c r="K117">
        <v>108.43</v>
      </c>
      <c r="L117" t="s">
        <v>1440</v>
      </c>
      <c r="M117" t="s">
        <v>1442</v>
      </c>
      <c r="N117">
        <v>56078603</v>
      </c>
    </row>
    <row r="118" spans="3:14" x14ac:dyDescent="0.2">
      <c r="C118">
        <v>1021505</v>
      </c>
      <c r="D118" t="s">
        <v>1293</v>
      </c>
      <c r="E118" t="s">
        <v>1301</v>
      </c>
      <c r="F118">
        <v>443</v>
      </c>
      <c r="G118" s="1021" t="s">
        <v>1473</v>
      </c>
      <c r="H118" t="s">
        <v>1125</v>
      </c>
      <c r="I118" t="s">
        <v>1418</v>
      </c>
      <c r="J118" t="s">
        <v>626</v>
      </c>
      <c r="K118">
        <v>108.54</v>
      </c>
      <c r="L118" t="s">
        <v>1434</v>
      </c>
      <c r="M118" t="s">
        <v>1436</v>
      </c>
      <c r="N118">
        <v>56078603</v>
      </c>
    </row>
    <row r="119" spans="3:14" x14ac:dyDescent="0.2">
      <c r="C119">
        <v>1021506</v>
      </c>
      <c r="D119" t="s">
        <v>1293</v>
      </c>
      <c r="E119" t="s">
        <v>1301</v>
      </c>
      <c r="F119">
        <v>443</v>
      </c>
      <c r="G119" s="1021" t="s">
        <v>1474</v>
      </c>
      <c r="H119" t="s">
        <v>1125</v>
      </c>
      <c r="I119" t="s">
        <v>1418</v>
      </c>
      <c r="J119" t="s">
        <v>626</v>
      </c>
      <c r="K119">
        <v>108.21</v>
      </c>
      <c r="L119" t="s">
        <v>1436</v>
      </c>
      <c r="M119" t="s">
        <v>1438</v>
      </c>
      <c r="N119">
        <v>56078603</v>
      </c>
    </row>
    <row r="120" spans="3:14" x14ac:dyDescent="0.2">
      <c r="C120">
        <v>1021507</v>
      </c>
      <c r="D120" t="s">
        <v>1293</v>
      </c>
      <c r="E120" t="s">
        <v>1301</v>
      </c>
      <c r="F120">
        <v>443</v>
      </c>
      <c r="G120" s="1021" t="s">
        <v>1475</v>
      </c>
      <c r="H120" t="s">
        <v>1125</v>
      </c>
      <c r="I120" t="s">
        <v>1418</v>
      </c>
      <c r="J120" t="s">
        <v>626</v>
      </c>
      <c r="K120">
        <v>109.09</v>
      </c>
      <c r="L120" t="s">
        <v>1432</v>
      </c>
      <c r="M120" t="s">
        <v>1434</v>
      </c>
      <c r="N120">
        <v>56078603</v>
      </c>
    </row>
    <row r="121" spans="3:14" x14ac:dyDescent="0.2">
      <c r="C121">
        <v>1021508</v>
      </c>
      <c r="D121" t="s">
        <v>1293</v>
      </c>
      <c r="E121" t="s">
        <v>1301</v>
      </c>
      <c r="F121">
        <v>443</v>
      </c>
      <c r="G121" s="1021" t="s">
        <v>1476</v>
      </c>
      <c r="H121" t="s">
        <v>1125</v>
      </c>
      <c r="I121" t="s">
        <v>1418</v>
      </c>
      <c r="J121" t="s">
        <v>626</v>
      </c>
      <c r="K121">
        <v>109.09</v>
      </c>
      <c r="L121" t="s">
        <v>1444</v>
      </c>
      <c r="M121" t="s">
        <v>1302</v>
      </c>
      <c r="N121">
        <v>56078603</v>
      </c>
    </row>
    <row r="122" spans="3:14" x14ac:dyDescent="0.2">
      <c r="C122">
        <v>1021509</v>
      </c>
      <c r="D122" t="s">
        <v>1293</v>
      </c>
      <c r="E122" t="s">
        <v>1301</v>
      </c>
      <c r="F122">
        <v>443</v>
      </c>
      <c r="G122" s="1021" t="s">
        <v>1477</v>
      </c>
      <c r="H122" t="s">
        <v>1125</v>
      </c>
      <c r="I122" t="s">
        <v>1418</v>
      </c>
      <c r="J122" t="s">
        <v>626</v>
      </c>
      <c r="K122">
        <v>108.76</v>
      </c>
      <c r="L122" t="s">
        <v>1442</v>
      </c>
      <c r="M122" t="s">
        <v>1444</v>
      </c>
      <c r="N122">
        <v>56078603</v>
      </c>
    </row>
    <row r="123" spans="3:14" x14ac:dyDescent="0.2">
      <c r="C123">
        <v>1021510</v>
      </c>
      <c r="D123" t="s">
        <v>1293</v>
      </c>
      <c r="E123" t="s">
        <v>1301</v>
      </c>
      <c r="F123">
        <v>443</v>
      </c>
      <c r="G123" s="1021" t="s">
        <v>1478</v>
      </c>
      <c r="H123" t="s">
        <v>1125</v>
      </c>
      <c r="I123" t="s">
        <v>1418</v>
      </c>
      <c r="J123" t="s">
        <v>626</v>
      </c>
      <c r="K123">
        <v>109.2</v>
      </c>
      <c r="L123" t="s">
        <v>1428</v>
      </c>
      <c r="M123" t="s">
        <v>1432</v>
      </c>
      <c r="N123">
        <v>56078603</v>
      </c>
    </row>
    <row r="124" spans="3:14" x14ac:dyDescent="0.2">
      <c r="C124">
        <v>1021511</v>
      </c>
      <c r="D124" t="s">
        <v>1293</v>
      </c>
      <c r="E124" t="s">
        <v>1301</v>
      </c>
      <c r="F124">
        <v>443</v>
      </c>
      <c r="G124" s="1021" t="s">
        <v>1479</v>
      </c>
      <c r="H124" t="s">
        <v>1125</v>
      </c>
      <c r="I124" t="s">
        <v>1418</v>
      </c>
      <c r="J124" t="s">
        <v>626</v>
      </c>
      <c r="K124">
        <v>109.53</v>
      </c>
      <c r="L124" t="s">
        <v>1302</v>
      </c>
      <c r="M124" t="s">
        <v>1236</v>
      </c>
      <c r="N124">
        <v>56078603</v>
      </c>
    </row>
    <row r="125" spans="3:14" x14ac:dyDescent="0.2">
      <c r="C125">
        <v>1021512</v>
      </c>
      <c r="D125" t="s">
        <v>1293</v>
      </c>
      <c r="E125" t="s">
        <v>1301</v>
      </c>
      <c r="F125">
        <v>443</v>
      </c>
      <c r="G125" s="1021" t="s">
        <v>1480</v>
      </c>
      <c r="H125" t="s">
        <v>1125</v>
      </c>
      <c r="I125" t="s">
        <v>1418</v>
      </c>
      <c r="J125" t="s">
        <v>626</v>
      </c>
      <c r="K125">
        <v>109.2</v>
      </c>
      <c r="L125" t="s">
        <v>1236</v>
      </c>
      <c r="M125" t="s">
        <v>1187</v>
      </c>
      <c r="N125">
        <v>56078603</v>
      </c>
    </row>
    <row r="126" spans="3:14" x14ac:dyDescent="0.2">
      <c r="C126">
        <v>1021513</v>
      </c>
      <c r="D126" t="s">
        <v>1293</v>
      </c>
      <c r="E126" t="s">
        <v>1301</v>
      </c>
      <c r="F126">
        <v>443</v>
      </c>
      <c r="G126" s="1021" t="s">
        <v>1481</v>
      </c>
      <c r="H126" t="s">
        <v>1125</v>
      </c>
      <c r="I126" t="s">
        <v>1418</v>
      </c>
      <c r="J126" t="s">
        <v>626</v>
      </c>
      <c r="K126">
        <v>107.98</v>
      </c>
      <c r="L126" t="s">
        <v>1438</v>
      </c>
      <c r="M126" t="s">
        <v>1440</v>
      </c>
      <c r="N126">
        <v>56078603</v>
      </c>
    </row>
    <row r="127" spans="3:14" x14ac:dyDescent="0.2">
      <c r="C127">
        <v>1021434</v>
      </c>
      <c r="D127" t="s">
        <v>1184</v>
      </c>
      <c r="E127" t="s">
        <v>1182</v>
      </c>
      <c r="F127">
        <v>92</v>
      </c>
      <c r="G127" s="1021" t="s">
        <v>1454</v>
      </c>
      <c r="H127" t="s">
        <v>870</v>
      </c>
      <c r="I127" t="s">
        <v>1416</v>
      </c>
      <c r="J127" t="s">
        <v>1426</v>
      </c>
      <c r="K127">
        <v>478.89</v>
      </c>
      <c r="L127" t="s">
        <v>1432</v>
      </c>
      <c r="M127" t="s">
        <v>1434</v>
      </c>
      <c r="N127">
        <v>56078603</v>
      </c>
    </row>
    <row r="128" spans="3:14" x14ac:dyDescent="0.2">
      <c r="C128">
        <v>1021435</v>
      </c>
      <c r="D128" t="s">
        <v>1184</v>
      </c>
      <c r="E128" t="s">
        <v>1182</v>
      </c>
      <c r="F128">
        <v>92</v>
      </c>
      <c r="G128" s="1021" t="s">
        <v>1454</v>
      </c>
      <c r="H128" t="s">
        <v>870</v>
      </c>
      <c r="I128" t="s">
        <v>1417</v>
      </c>
      <c r="J128" t="s">
        <v>1426</v>
      </c>
      <c r="K128">
        <v>2202.88</v>
      </c>
      <c r="L128" t="s">
        <v>1432</v>
      </c>
      <c r="M128" t="s">
        <v>1434</v>
      </c>
      <c r="N128">
        <v>56078603</v>
      </c>
    </row>
    <row r="129" spans="3:14" x14ac:dyDescent="0.2">
      <c r="C129">
        <v>1021436</v>
      </c>
      <c r="D129" t="s">
        <v>1184</v>
      </c>
      <c r="E129" t="s">
        <v>1182</v>
      </c>
      <c r="F129">
        <v>92</v>
      </c>
      <c r="G129" s="1021" t="s">
        <v>1452</v>
      </c>
      <c r="H129" t="s">
        <v>870</v>
      </c>
      <c r="I129" t="s">
        <v>1416</v>
      </c>
      <c r="J129" t="s">
        <v>1426</v>
      </c>
      <c r="K129">
        <v>478.89</v>
      </c>
      <c r="L129" t="s">
        <v>1434</v>
      </c>
      <c r="M129" t="s">
        <v>1436</v>
      </c>
      <c r="N129">
        <v>56078603</v>
      </c>
    </row>
    <row r="130" spans="3:14" x14ac:dyDescent="0.2">
      <c r="C130">
        <v>1021437</v>
      </c>
      <c r="D130" t="s">
        <v>1184</v>
      </c>
      <c r="E130" t="s">
        <v>1182</v>
      </c>
      <c r="F130">
        <v>92</v>
      </c>
      <c r="G130" s="1021" t="s">
        <v>1452</v>
      </c>
      <c r="H130" t="s">
        <v>870</v>
      </c>
      <c r="I130" t="s">
        <v>1417</v>
      </c>
      <c r="J130" t="s">
        <v>1426</v>
      </c>
      <c r="K130">
        <v>2202.88</v>
      </c>
      <c r="L130" t="s">
        <v>1434</v>
      </c>
      <c r="M130" t="s">
        <v>1436</v>
      </c>
      <c r="N130">
        <v>56078603</v>
      </c>
    </row>
    <row r="131" spans="3:14" x14ac:dyDescent="0.2">
      <c r="C131">
        <v>1021438</v>
      </c>
      <c r="D131" t="s">
        <v>1184</v>
      </c>
      <c r="E131" t="s">
        <v>1182</v>
      </c>
      <c r="F131">
        <v>92</v>
      </c>
      <c r="G131" s="1021" t="s">
        <v>1451</v>
      </c>
      <c r="H131" t="s">
        <v>870</v>
      </c>
      <c r="I131" t="s">
        <v>1416</v>
      </c>
      <c r="J131" t="s">
        <v>1426</v>
      </c>
      <c r="K131">
        <v>478.89</v>
      </c>
      <c r="L131" t="s">
        <v>1436</v>
      </c>
      <c r="M131" t="s">
        <v>1438</v>
      </c>
      <c r="N131">
        <v>56078603</v>
      </c>
    </row>
    <row r="132" spans="3:14" x14ac:dyDescent="0.2">
      <c r="C132">
        <v>1021439</v>
      </c>
      <c r="D132" t="s">
        <v>1184</v>
      </c>
      <c r="E132" t="s">
        <v>1182</v>
      </c>
      <c r="F132">
        <v>92</v>
      </c>
      <c r="G132" s="1021" t="s">
        <v>1451</v>
      </c>
      <c r="H132" t="s">
        <v>870</v>
      </c>
      <c r="I132" t="s">
        <v>1417</v>
      </c>
      <c r="J132" t="s">
        <v>1426</v>
      </c>
      <c r="K132">
        <v>2202.88</v>
      </c>
      <c r="L132" t="s">
        <v>1436</v>
      </c>
      <c r="M132" t="s">
        <v>1438</v>
      </c>
      <c r="N132">
        <v>56078603</v>
      </c>
    </row>
    <row r="133" spans="3:14" x14ac:dyDescent="0.2">
      <c r="C133">
        <v>1021440</v>
      </c>
      <c r="D133" t="s">
        <v>1184</v>
      </c>
      <c r="E133" t="s">
        <v>1182</v>
      </c>
      <c r="F133">
        <v>92</v>
      </c>
      <c r="G133" s="1021" t="s">
        <v>1457</v>
      </c>
      <c r="H133" t="s">
        <v>870</v>
      </c>
      <c r="I133" t="s">
        <v>1416</v>
      </c>
      <c r="J133" t="s">
        <v>1426</v>
      </c>
      <c r="K133">
        <v>478.08</v>
      </c>
      <c r="L133" t="s">
        <v>1438</v>
      </c>
      <c r="M133" t="s">
        <v>1440</v>
      </c>
      <c r="N133">
        <v>56078603</v>
      </c>
    </row>
    <row r="134" spans="3:14" x14ac:dyDescent="0.2">
      <c r="C134">
        <v>1021441</v>
      </c>
      <c r="D134" t="s">
        <v>1184</v>
      </c>
      <c r="E134" t="s">
        <v>1182</v>
      </c>
      <c r="F134">
        <v>92</v>
      </c>
      <c r="G134" s="1021" t="s">
        <v>1457</v>
      </c>
      <c r="H134" t="s">
        <v>870</v>
      </c>
      <c r="I134" t="s">
        <v>1417</v>
      </c>
      <c r="J134" t="s">
        <v>1426</v>
      </c>
      <c r="K134">
        <v>2199.17</v>
      </c>
      <c r="L134" t="s">
        <v>1438</v>
      </c>
      <c r="M134" t="s">
        <v>1440</v>
      </c>
      <c r="N134">
        <v>56078603</v>
      </c>
    </row>
    <row r="135" spans="3:14" x14ac:dyDescent="0.2">
      <c r="C135">
        <v>1021442</v>
      </c>
      <c r="D135" t="s">
        <v>1184</v>
      </c>
      <c r="E135" t="s">
        <v>1182</v>
      </c>
      <c r="F135">
        <v>92</v>
      </c>
      <c r="G135" s="1021" t="s">
        <v>1455</v>
      </c>
      <c r="H135" t="s">
        <v>870</v>
      </c>
      <c r="I135" t="s">
        <v>1416</v>
      </c>
      <c r="J135" t="s">
        <v>1426</v>
      </c>
      <c r="K135">
        <v>478.08</v>
      </c>
      <c r="L135" t="s">
        <v>1440</v>
      </c>
      <c r="M135" t="s">
        <v>1442</v>
      </c>
      <c r="N135">
        <v>56078603</v>
      </c>
    </row>
    <row r="136" spans="3:14" x14ac:dyDescent="0.2">
      <c r="C136">
        <v>1021443</v>
      </c>
      <c r="D136" t="s">
        <v>1184</v>
      </c>
      <c r="E136" t="s">
        <v>1182</v>
      </c>
      <c r="F136">
        <v>92</v>
      </c>
      <c r="G136" s="1021" t="s">
        <v>1455</v>
      </c>
      <c r="H136" t="s">
        <v>870</v>
      </c>
      <c r="I136" t="s">
        <v>1417</v>
      </c>
      <c r="J136" t="s">
        <v>1426</v>
      </c>
      <c r="K136">
        <v>2199.17</v>
      </c>
      <c r="L136" t="s">
        <v>1440</v>
      </c>
      <c r="M136" t="s">
        <v>1442</v>
      </c>
      <c r="N136">
        <v>56078603</v>
      </c>
    </row>
    <row r="137" spans="3:14" x14ac:dyDescent="0.2">
      <c r="C137">
        <v>1021444</v>
      </c>
      <c r="D137" t="s">
        <v>1184</v>
      </c>
      <c r="E137" t="s">
        <v>1182</v>
      </c>
      <c r="F137">
        <v>92</v>
      </c>
      <c r="G137" s="1021" t="s">
        <v>1460</v>
      </c>
      <c r="H137" t="s">
        <v>870</v>
      </c>
      <c r="I137" t="s">
        <v>1416</v>
      </c>
      <c r="J137" t="s">
        <v>1426</v>
      </c>
      <c r="K137">
        <v>593.86</v>
      </c>
      <c r="L137" t="s">
        <v>1442</v>
      </c>
      <c r="M137" t="s">
        <v>1444</v>
      </c>
      <c r="N137">
        <v>56078603</v>
      </c>
    </row>
    <row r="138" spans="3:14" x14ac:dyDescent="0.2">
      <c r="C138">
        <v>1021445</v>
      </c>
      <c r="D138" t="s">
        <v>1184</v>
      </c>
      <c r="E138" t="s">
        <v>1182</v>
      </c>
      <c r="F138">
        <v>92</v>
      </c>
      <c r="G138" s="1021" t="s">
        <v>1460</v>
      </c>
      <c r="H138" t="s">
        <v>870</v>
      </c>
      <c r="I138" t="s">
        <v>1417</v>
      </c>
      <c r="J138" t="s">
        <v>1426</v>
      </c>
      <c r="K138">
        <v>2731.73</v>
      </c>
      <c r="L138" t="s">
        <v>1442</v>
      </c>
      <c r="M138" t="s">
        <v>1444</v>
      </c>
      <c r="N138">
        <v>56078603</v>
      </c>
    </row>
    <row r="139" spans="3:14" x14ac:dyDescent="0.2">
      <c r="C139">
        <v>1021446</v>
      </c>
      <c r="D139" t="s">
        <v>1184</v>
      </c>
      <c r="E139" t="s">
        <v>1182</v>
      </c>
      <c r="F139">
        <v>92</v>
      </c>
      <c r="G139" s="1021" t="s">
        <v>1459</v>
      </c>
      <c r="H139" t="s">
        <v>870</v>
      </c>
      <c r="I139" t="s">
        <v>1416</v>
      </c>
      <c r="J139" t="s">
        <v>1426</v>
      </c>
      <c r="K139">
        <v>478.89</v>
      </c>
      <c r="L139" t="s">
        <v>1444</v>
      </c>
      <c r="M139" t="s">
        <v>1302</v>
      </c>
      <c r="N139">
        <v>56078603</v>
      </c>
    </row>
    <row r="140" spans="3:14" x14ac:dyDescent="0.2">
      <c r="C140">
        <v>1021447</v>
      </c>
      <c r="D140" t="s">
        <v>1184</v>
      </c>
      <c r="E140" t="s">
        <v>1182</v>
      </c>
      <c r="F140">
        <v>92</v>
      </c>
      <c r="G140" s="1021" t="s">
        <v>1459</v>
      </c>
      <c r="H140" t="s">
        <v>870</v>
      </c>
      <c r="I140" t="s">
        <v>1417</v>
      </c>
      <c r="J140" t="s">
        <v>1426</v>
      </c>
      <c r="K140">
        <v>2202.88</v>
      </c>
      <c r="L140" t="s">
        <v>1444</v>
      </c>
      <c r="M140" t="s">
        <v>1302</v>
      </c>
      <c r="N140">
        <v>56078603</v>
      </c>
    </row>
    <row r="141" spans="3:14" x14ac:dyDescent="0.2">
      <c r="C141">
        <v>1021448</v>
      </c>
      <c r="D141" t="s">
        <v>1184</v>
      </c>
      <c r="E141" t="s">
        <v>1182</v>
      </c>
      <c r="F141">
        <v>92</v>
      </c>
      <c r="G141" s="1021" t="s">
        <v>1450</v>
      </c>
      <c r="H141" t="s">
        <v>870</v>
      </c>
      <c r="I141" t="s">
        <v>1416</v>
      </c>
      <c r="J141" t="s">
        <v>1426</v>
      </c>
      <c r="K141">
        <v>487.56</v>
      </c>
      <c r="L141" t="s">
        <v>1302</v>
      </c>
      <c r="M141" t="s">
        <v>1236</v>
      </c>
      <c r="N141">
        <v>56078603</v>
      </c>
    </row>
    <row r="142" spans="3:14" x14ac:dyDescent="0.2">
      <c r="C142">
        <v>1021449</v>
      </c>
      <c r="D142" t="s">
        <v>1184</v>
      </c>
      <c r="E142" t="s">
        <v>1182</v>
      </c>
      <c r="F142">
        <v>92</v>
      </c>
      <c r="G142" s="1021" t="s">
        <v>1450</v>
      </c>
      <c r="H142" t="s">
        <v>870</v>
      </c>
      <c r="I142" t="s">
        <v>1417</v>
      </c>
      <c r="J142" t="s">
        <v>1426</v>
      </c>
      <c r="K142">
        <v>2242.77</v>
      </c>
      <c r="L142" t="s">
        <v>1302</v>
      </c>
      <c r="M142" t="s">
        <v>1236</v>
      </c>
      <c r="N142">
        <v>56078603</v>
      </c>
    </row>
    <row r="143" spans="3:14" x14ac:dyDescent="0.2">
      <c r="C143">
        <v>1021450</v>
      </c>
      <c r="D143" t="s">
        <v>1184</v>
      </c>
      <c r="E143" t="s">
        <v>1182</v>
      </c>
      <c r="F143">
        <v>92</v>
      </c>
      <c r="G143" s="1021" t="s">
        <v>1456</v>
      </c>
      <c r="H143" t="s">
        <v>870</v>
      </c>
      <c r="I143" t="s">
        <v>1416</v>
      </c>
      <c r="J143" t="s">
        <v>1426</v>
      </c>
      <c r="K143">
        <v>474.61</v>
      </c>
      <c r="L143" t="s">
        <v>1236</v>
      </c>
      <c r="M143" t="s">
        <v>1187</v>
      </c>
      <c r="N143">
        <v>56078603</v>
      </c>
    </row>
    <row r="144" spans="3:14" x14ac:dyDescent="0.2">
      <c r="C144">
        <v>1021451</v>
      </c>
      <c r="D144" t="s">
        <v>1184</v>
      </c>
      <c r="E144" t="s">
        <v>1182</v>
      </c>
      <c r="F144">
        <v>92</v>
      </c>
      <c r="G144" s="1021" t="s">
        <v>1456</v>
      </c>
      <c r="H144" t="s">
        <v>870</v>
      </c>
      <c r="I144" t="s">
        <v>1417</v>
      </c>
      <c r="J144" t="s">
        <v>1426</v>
      </c>
      <c r="K144">
        <v>2183.1999999999998</v>
      </c>
      <c r="L144" t="s">
        <v>1236</v>
      </c>
      <c r="M144" t="s">
        <v>1187</v>
      </c>
      <c r="N144">
        <v>56078603</v>
      </c>
    </row>
    <row r="145" spans="3:14" x14ac:dyDescent="0.2">
      <c r="C145">
        <v>1021452</v>
      </c>
      <c r="D145" t="s">
        <v>1188</v>
      </c>
      <c r="E145" t="s">
        <v>1196</v>
      </c>
      <c r="F145">
        <v>713</v>
      </c>
      <c r="G145" s="1021" t="s">
        <v>1482</v>
      </c>
      <c r="H145" t="s">
        <v>870</v>
      </c>
      <c r="I145" t="s">
        <v>1416</v>
      </c>
      <c r="J145" t="s">
        <v>626</v>
      </c>
      <c r="K145">
        <v>5282</v>
      </c>
      <c r="L145" t="s">
        <v>1483</v>
      </c>
      <c r="M145" t="s">
        <v>1484</v>
      </c>
      <c r="N145">
        <v>56078603</v>
      </c>
    </row>
    <row r="146" spans="3:14" x14ac:dyDescent="0.2">
      <c r="C146">
        <v>1021453</v>
      </c>
      <c r="D146" t="s">
        <v>1188</v>
      </c>
      <c r="E146" t="s">
        <v>1196</v>
      </c>
      <c r="F146">
        <v>713</v>
      </c>
      <c r="G146" s="1021" t="s">
        <v>1485</v>
      </c>
      <c r="H146" t="s">
        <v>870</v>
      </c>
      <c r="I146" t="s">
        <v>1416</v>
      </c>
      <c r="J146" t="s">
        <v>626</v>
      </c>
      <c r="K146">
        <v>6720</v>
      </c>
      <c r="L146" t="s">
        <v>1432</v>
      </c>
      <c r="M146" t="s">
        <v>1484</v>
      </c>
      <c r="N146">
        <v>56078603</v>
      </c>
    </row>
    <row r="147" spans="3:14" x14ac:dyDescent="0.2">
      <c r="C147">
        <v>1021454</v>
      </c>
      <c r="D147" t="s">
        <v>1227</v>
      </c>
      <c r="E147" t="s">
        <v>1196</v>
      </c>
      <c r="F147">
        <v>453</v>
      </c>
      <c r="G147" s="1021" t="s">
        <v>1469</v>
      </c>
      <c r="H147" t="s">
        <v>1125</v>
      </c>
      <c r="I147" t="s">
        <v>16</v>
      </c>
      <c r="J147" t="s">
        <v>1426</v>
      </c>
      <c r="K147">
        <v>37.96</v>
      </c>
      <c r="L147" t="s">
        <v>1432</v>
      </c>
      <c r="M147" t="s">
        <v>1432</v>
      </c>
      <c r="N147">
        <v>56078603</v>
      </c>
    </row>
    <row r="148" spans="3:14" x14ac:dyDescent="0.2">
      <c r="C148">
        <v>1021455</v>
      </c>
      <c r="D148" t="s">
        <v>1227</v>
      </c>
      <c r="E148" t="s">
        <v>1196</v>
      </c>
      <c r="F148">
        <v>453</v>
      </c>
      <c r="G148" s="1021" t="s">
        <v>1486</v>
      </c>
      <c r="H148" t="s">
        <v>1125</v>
      </c>
      <c r="I148" t="s">
        <v>16</v>
      </c>
      <c r="J148" t="s">
        <v>1426</v>
      </c>
      <c r="K148">
        <v>129.08000000000001</v>
      </c>
      <c r="L148" t="s">
        <v>1434</v>
      </c>
      <c r="M148" t="s">
        <v>1434</v>
      </c>
      <c r="N148">
        <v>56078603</v>
      </c>
    </row>
    <row r="149" spans="3:14" x14ac:dyDescent="0.2">
      <c r="C149">
        <v>1021456</v>
      </c>
      <c r="D149" t="s">
        <v>1227</v>
      </c>
      <c r="E149" t="s">
        <v>1196</v>
      </c>
      <c r="F149">
        <v>453</v>
      </c>
      <c r="G149" s="1021" t="s">
        <v>1487</v>
      </c>
      <c r="H149" t="s">
        <v>1125</v>
      </c>
      <c r="I149" t="s">
        <v>16</v>
      </c>
      <c r="J149" t="s">
        <v>1426</v>
      </c>
      <c r="K149">
        <v>60.74</v>
      </c>
      <c r="L149" t="s">
        <v>1436</v>
      </c>
      <c r="M149" t="s">
        <v>1436</v>
      </c>
      <c r="N149">
        <v>56078603</v>
      </c>
    </row>
    <row r="150" spans="3:14" x14ac:dyDescent="0.2">
      <c r="C150">
        <v>1021457</v>
      </c>
      <c r="D150" t="s">
        <v>1227</v>
      </c>
      <c r="E150" t="s">
        <v>1196</v>
      </c>
      <c r="F150">
        <v>453</v>
      </c>
      <c r="G150" s="1021" t="s">
        <v>1464</v>
      </c>
      <c r="H150" t="s">
        <v>1125</v>
      </c>
      <c r="I150" t="s">
        <v>16</v>
      </c>
      <c r="J150" t="s">
        <v>1426</v>
      </c>
      <c r="K150">
        <v>60.74</v>
      </c>
      <c r="L150" t="s">
        <v>1438</v>
      </c>
      <c r="M150" t="s">
        <v>1438</v>
      </c>
      <c r="N150">
        <v>56078603</v>
      </c>
    </row>
    <row r="151" spans="3:14" x14ac:dyDescent="0.2">
      <c r="C151">
        <v>1021458</v>
      </c>
      <c r="D151" t="s">
        <v>1227</v>
      </c>
      <c r="E151" t="s">
        <v>1196</v>
      </c>
      <c r="F151">
        <v>453</v>
      </c>
      <c r="G151" s="1021" t="s">
        <v>1488</v>
      </c>
      <c r="H151" t="s">
        <v>1125</v>
      </c>
      <c r="I151" t="s">
        <v>16</v>
      </c>
      <c r="J151" t="s">
        <v>1426</v>
      </c>
      <c r="K151">
        <v>53.15</v>
      </c>
      <c r="L151" t="s">
        <v>1440</v>
      </c>
      <c r="M151" t="s">
        <v>1440</v>
      </c>
      <c r="N151">
        <v>56078603</v>
      </c>
    </row>
    <row r="152" spans="3:14" x14ac:dyDescent="0.2">
      <c r="C152">
        <v>1021459</v>
      </c>
      <c r="D152" t="s">
        <v>1227</v>
      </c>
      <c r="E152" t="s">
        <v>1196</v>
      </c>
      <c r="F152">
        <v>453</v>
      </c>
      <c r="G152" s="1021" t="s">
        <v>1489</v>
      </c>
      <c r="H152" t="s">
        <v>1125</v>
      </c>
      <c r="I152" t="s">
        <v>16</v>
      </c>
      <c r="J152" t="s">
        <v>1426</v>
      </c>
      <c r="K152">
        <v>53.15</v>
      </c>
      <c r="L152" t="s">
        <v>1442</v>
      </c>
      <c r="M152" t="s">
        <v>1442</v>
      </c>
      <c r="N152">
        <v>56078603</v>
      </c>
    </row>
    <row r="153" spans="3:14" x14ac:dyDescent="0.2">
      <c r="C153">
        <v>1021460</v>
      </c>
      <c r="D153" t="s">
        <v>1227</v>
      </c>
      <c r="E153" t="s">
        <v>1196</v>
      </c>
      <c r="F153">
        <v>453</v>
      </c>
      <c r="G153" s="1021" t="s">
        <v>1490</v>
      </c>
      <c r="H153" t="s">
        <v>1125</v>
      </c>
      <c r="I153" t="s">
        <v>16</v>
      </c>
      <c r="J153" t="s">
        <v>1426</v>
      </c>
      <c r="K153">
        <v>53.05</v>
      </c>
      <c r="L153" t="s">
        <v>1444</v>
      </c>
      <c r="M153" t="s">
        <v>1444</v>
      </c>
      <c r="N153">
        <v>56078603</v>
      </c>
    </row>
    <row r="154" spans="3:14" x14ac:dyDescent="0.2">
      <c r="C154">
        <v>1021461</v>
      </c>
      <c r="D154" t="s">
        <v>1227</v>
      </c>
      <c r="E154" t="s">
        <v>1196</v>
      </c>
      <c r="F154">
        <v>453</v>
      </c>
      <c r="G154" s="1021" t="s">
        <v>1491</v>
      </c>
      <c r="H154" t="s">
        <v>1125</v>
      </c>
      <c r="I154" t="s">
        <v>16</v>
      </c>
      <c r="J154" t="s">
        <v>1426</v>
      </c>
      <c r="K154">
        <v>53.05</v>
      </c>
      <c r="L154" t="s">
        <v>1302</v>
      </c>
      <c r="M154" t="s">
        <v>1302</v>
      </c>
      <c r="N154">
        <v>56078603</v>
      </c>
    </row>
    <row r="155" spans="3:14" x14ac:dyDescent="0.2">
      <c r="C155">
        <v>1021462</v>
      </c>
      <c r="D155" t="s">
        <v>1227</v>
      </c>
      <c r="E155" t="s">
        <v>1196</v>
      </c>
      <c r="F155">
        <v>453</v>
      </c>
      <c r="G155" s="1021" t="s">
        <v>1492</v>
      </c>
      <c r="H155" t="s">
        <v>1125</v>
      </c>
      <c r="I155" t="s">
        <v>16</v>
      </c>
      <c r="J155" t="s">
        <v>1426</v>
      </c>
      <c r="K155">
        <v>53.05</v>
      </c>
      <c r="L155" t="s">
        <v>1236</v>
      </c>
      <c r="M155" t="s">
        <v>1236</v>
      </c>
      <c r="N155">
        <v>56078603</v>
      </c>
    </row>
    <row r="156" spans="3:14" x14ac:dyDescent="0.2">
      <c r="C156">
        <v>1021463</v>
      </c>
      <c r="D156" t="s">
        <v>1227</v>
      </c>
      <c r="E156" t="s">
        <v>1196</v>
      </c>
      <c r="F156">
        <v>453</v>
      </c>
      <c r="G156" s="1021" t="s">
        <v>1493</v>
      </c>
      <c r="H156" t="s">
        <v>1125</v>
      </c>
      <c r="I156" t="s">
        <v>16</v>
      </c>
      <c r="J156" t="s">
        <v>1426</v>
      </c>
      <c r="K156">
        <v>53.05</v>
      </c>
      <c r="L156" t="s">
        <v>1187</v>
      </c>
      <c r="M156" t="s">
        <v>1187</v>
      </c>
      <c r="N156">
        <v>56078603</v>
      </c>
    </row>
    <row r="157" spans="3:14" x14ac:dyDescent="0.2">
      <c r="C157">
        <v>1021464</v>
      </c>
      <c r="D157" t="s">
        <v>1227</v>
      </c>
      <c r="E157" t="s">
        <v>1196</v>
      </c>
      <c r="F157">
        <v>453</v>
      </c>
      <c r="G157" s="1021" t="s">
        <v>1469</v>
      </c>
      <c r="H157" t="s">
        <v>1125</v>
      </c>
      <c r="I157" t="s">
        <v>205</v>
      </c>
      <c r="J157" t="s">
        <v>626</v>
      </c>
      <c r="K157">
        <v>34.799999999999997</v>
      </c>
      <c r="L157" t="s">
        <v>1432</v>
      </c>
      <c r="M157" t="s">
        <v>1432</v>
      </c>
      <c r="N157">
        <v>56078603</v>
      </c>
    </row>
    <row r="158" spans="3:14" x14ac:dyDescent="0.2">
      <c r="C158">
        <v>1021465</v>
      </c>
      <c r="D158" t="s">
        <v>1227</v>
      </c>
      <c r="E158" t="s">
        <v>1196</v>
      </c>
      <c r="F158">
        <v>453</v>
      </c>
      <c r="G158" s="1021" t="s">
        <v>1486</v>
      </c>
      <c r="H158" t="s">
        <v>1125</v>
      </c>
      <c r="I158" t="s">
        <v>205</v>
      </c>
      <c r="J158" t="s">
        <v>626</v>
      </c>
      <c r="K158">
        <v>118.32</v>
      </c>
      <c r="L158" t="s">
        <v>1434</v>
      </c>
      <c r="M158" t="s">
        <v>1434</v>
      </c>
      <c r="N158">
        <v>56078603</v>
      </c>
    </row>
    <row r="159" spans="3:14" x14ac:dyDescent="0.2">
      <c r="C159">
        <v>1021466</v>
      </c>
      <c r="D159" t="s">
        <v>1227</v>
      </c>
      <c r="E159" t="s">
        <v>1196</v>
      </c>
      <c r="F159">
        <v>453</v>
      </c>
      <c r="G159" s="1021" t="s">
        <v>1487</v>
      </c>
      <c r="H159" t="s">
        <v>1125</v>
      </c>
      <c r="I159" t="s">
        <v>205</v>
      </c>
      <c r="J159" t="s">
        <v>626</v>
      </c>
      <c r="K159">
        <v>55.68</v>
      </c>
      <c r="L159" t="s">
        <v>1436</v>
      </c>
      <c r="M159" t="s">
        <v>1436</v>
      </c>
      <c r="N159">
        <v>56078603</v>
      </c>
    </row>
    <row r="160" spans="3:14" x14ac:dyDescent="0.2">
      <c r="C160">
        <v>1021467</v>
      </c>
      <c r="D160" t="s">
        <v>1227</v>
      </c>
      <c r="E160" t="s">
        <v>1196</v>
      </c>
      <c r="F160">
        <v>453</v>
      </c>
      <c r="G160" s="1021" t="s">
        <v>1464</v>
      </c>
      <c r="H160" t="s">
        <v>1125</v>
      </c>
      <c r="I160" t="s">
        <v>205</v>
      </c>
      <c r="J160" t="s">
        <v>626</v>
      </c>
      <c r="K160">
        <v>55.68</v>
      </c>
      <c r="L160" t="s">
        <v>1438</v>
      </c>
      <c r="M160" t="s">
        <v>1438</v>
      </c>
      <c r="N160">
        <v>56078603</v>
      </c>
    </row>
    <row r="161" spans="3:14" x14ac:dyDescent="0.2">
      <c r="C161">
        <v>1021468</v>
      </c>
      <c r="D161" t="s">
        <v>1227</v>
      </c>
      <c r="E161" t="s">
        <v>1196</v>
      </c>
      <c r="F161">
        <v>453</v>
      </c>
      <c r="G161" s="1021" t="s">
        <v>1488</v>
      </c>
      <c r="H161" t="s">
        <v>1125</v>
      </c>
      <c r="I161" t="s">
        <v>205</v>
      </c>
      <c r="J161" t="s">
        <v>626</v>
      </c>
      <c r="K161">
        <v>48.72</v>
      </c>
      <c r="L161" t="s">
        <v>1440</v>
      </c>
      <c r="M161" t="s">
        <v>1440</v>
      </c>
      <c r="N161">
        <v>56078603</v>
      </c>
    </row>
    <row r="162" spans="3:14" x14ac:dyDescent="0.2">
      <c r="C162">
        <v>1021469</v>
      </c>
      <c r="D162" t="s">
        <v>1227</v>
      </c>
      <c r="E162" t="s">
        <v>1196</v>
      </c>
      <c r="F162">
        <v>453</v>
      </c>
      <c r="G162" s="1021" t="s">
        <v>1489</v>
      </c>
      <c r="H162" t="s">
        <v>1125</v>
      </c>
      <c r="I162" t="s">
        <v>205</v>
      </c>
      <c r="J162" t="s">
        <v>626</v>
      </c>
      <c r="K162">
        <v>48.72</v>
      </c>
      <c r="L162" t="s">
        <v>1442</v>
      </c>
      <c r="M162" t="s">
        <v>1442</v>
      </c>
      <c r="N162">
        <v>56078603</v>
      </c>
    </row>
    <row r="163" spans="3:14" x14ac:dyDescent="0.2">
      <c r="C163">
        <v>1021470</v>
      </c>
      <c r="D163" t="s">
        <v>1227</v>
      </c>
      <c r="E163" t="s">
        <v>1196</v>
      </c>
      <c r="F163">
        <v>453</v>
      </c>
      <c r="G163" s="1021" t="s">
        <v>1490</v>
      </c>
      <c r="H163" t="s">
        <v>1125</v>
      </c>
      <c r="I163" t="s">
        <v>205</v>
      </c>
      <c r="J163" t="s">
        <v>626</v>
      </c>
      <c r="K163">
        <v>48.63</v>
      </c>
      <c r="L163" t="s">
        <v>1444</v>
      </c>
      <c r="M163" t="s">
        <v>1444</v>
      </c>
      <c r="N163">
        <v>56078603</v>
      </c>
    </row>
    <row r="164" spans="3:14" x14ac:dyDescent="0.2">
      <c r="C164">
        <v>1021471</v>
      </c>
      <c r="D164" t="s">
        <v>1227</v>
      </c>
      <c r="E164" t="s">
        <v>1196</v>
      </c>
      <c r="F164">
        <v>453</v>
      </c>
      <c r="G164" s="1021" t="s">
        <v>1491</v>
      </c>
      <c r="H164" t="s">
        <v>1125</v>
      </c>
      <c r="I164" t="s">
        <v>205</v>
      </c>
      <c r="J164" t="s">
        <v>626</v>
      </c>
      <c r="K164">
        <v>50.84</v>
      </c>
      <c r="L164" t="s">
        <v>1302</v>
      </c>
      <c r="M164" t="s">
        <v>1302</v>
      </c>
      <c r="N164">
        <v>56078603</v>
      </c>
    </row>
    <row r="165" spans="3:14" x14ac:dyDescent="0.2">
      <c r="C165">
        <v>1021472</v>
      </c>
      <c r="D165" t="s">
        <v>1227</v>
      </c>
      <c r="E165" t="s">
        <v>1196</v>
      </c>
      <c r="F165">
        <v>453</v>
      </c>
      <c r="G165" s="1021" t="s">
        <v>1492</v>
      </c>
      <c r="H165" t="s">
        <v>1125</v>
      </c>
      <c r="I165" t="s">
        <v>205</v>
      </c>
      <c r="J165" t="s">
        <v>626</v>
      </c>
      <c r="K165">
        <v>50.84</v>
      </c>
      <c r="L165" t="s">
        <v>1236</v>
      </c>
      <c r="M165" t="s">
        <v>1236</v>
      </c>
      <c r="N165">
        <v>56078603</v>
      </c>
    </row>
    <row r="166" spans="3:14" x14ac:dyDescent="0.2">
      <c r="C166">
        <v>1021473</v>
      </c>
      <c r="D166" t="s">
        <v>1227</v>
      </c>
      <c r="E166" t="s">
        <v>1196</v>
      </c>
      <c r="F166">
        <v>453</v>
      </c>
      <c r="G166" s="1021" t="s">
        <v>1493</v>
      </c>
      <c r="H166" t="s">
        <v>1125</v>
      </c>
      <c r="I166" t="s">
        <v>205</v>
      </c>
      <c r="J166" t="s">
        <v>626</v>
      </c>
      <c r="K166">
        <v>50.84</v>
      </c>
      <c r="L166" t="s">
        <v>1187</v>
      </c>
      <c r="M166" t="s">
        <v>1187</v>
      </c>
      <c r="N166">
        <v>56078603</v>
      </c>
    </row>
    <row r="167" spans="3:14" x14ac:dyDescent="0.2">
      <c r="C167">
        <v>1021474</v>
      </c>
      <c r="D167" t="s">
        <v>1227</v>
      </c>
      <c r="E167" t="s">
        <v>1196</v>
      </c>
      <c r="F167">
        <v>453</v>
      </c>
      <c r="G167" s="1021" t="s">
        <v>1469</v>
      </c>
      <c r="H167" t="s">
        <v>1125</v>
      </c>
      <c r="I167" t="s">
        <v>204</v>
      </c>
      <c r="J167" t="s">
        <v>1426</v>
      </c>
      <c r="K167">
        <v>37.96</v>
      </c>
      <c r="L167" t="s">
        <v>1432</v>
      </c>
      <c r="M167" t="s">
        <v>1432</v>
      </c>
      <c r="N167">
        <v>56078603</v>
      </c>
    </row>
    <row r="168" spans="3:14" x14ac:dyDescent="0.2">
      <c r="C168">
        <v>1021475</v>
      </c>
      <c r="D168" t="s">
        <v>1227</v>
      </c>
      <c r="E168" t="s">
        <v>1196</v>
      </c>
      <c r="F168">
        <v>453</v>
      </c>
      <c r="G168" s="1021" t="s">
        <v>1486</v>
      </c>
      <c r="H168" t="s">
        <v>1125</v>
      </c>
      <c r="I168" t="s">
        <v>204</v>
      </c>
      <c r="J168" t="s">
        <v>1426</v>
      </c>
      <c r="K168">
        <v>129.08000000000001</v>
      </c>
      <c r="L168" t="s">
        <v>1434</v>
      </c>
      <c r="M168" t="s">
        <v>1434</v>
      </c>
      <c r="N168">
        <v>56078603</v>
      </c>
    </row>
    <row r="169" spans="3:14" x14ac:dyDescent="0.2">
      <c r="C169">
        <v>1021476</v>
      </c>
      <c r="D169" t="s">
        <v>1227</v>
      </c>
      <c r="E169" t="s">
        <v>1196</v>
      </c>
      <c r="F169">
        <v>453</v>
      </c>
      <c r="G169" s="1021" t="s">
        <v>1487</v>
      </c>
      <c r="H169" t="s">
        <v>1125</v>
      </c>
      <c r="I169" t="s">
        <v>204</v>
      </c>
      <c r="J169" t="s">
        <v>1426</v>
      </c>
      <c r="K169">
        <v>60.74</v>
      </c>
      <c r="L169" t="s">
        <v>1436</v>
      </c>
      <c r="M169" t="s">
        <v>1436</v>
      </c>
      <c r="N169">
        <v>56078603</v>
      </c>
    </row>
    <row r="170" spans="3:14" x14ac:dyDescent="0.2">
      <c r="C170">
        <v>1021477</v>
      </c>
      <c r="D170" t="s">
        <v>1227</v>
      </c>
      <c r="E170" t="s">
        <v>1196</v>
      </c>
      <c r="F170">
        <v>453</v>
      </c>
      <c r="G170" s="1021" t="s">
        <v>1464</v>
      </c>
      <c r="H170" t="s">
        <v>1125</v>
      </c>
      <c r="I170" t="s">
        <v>204</v>
      </c>
      <c r="J170" t="s">
        <v>1426</v>
      </c>
      <c r="K170">
        <v>60.74</v>
      </c>
      <c r="L170" t="s">
        <v>1438</v>
      </c>
      <c r="M170" t="s">
        <v>1438</v>
      </c>
      <c r="N170">
        <v>56078603</v>
      </c>
    </row>
    <row r="171" spans="3:14" x14ac:dyDescent="0.2">
      <c r="C171">
        <v>1021478</v>
      </c>
      <c r="D171" t="s">
        <v>1227</v>
      </c>
      <c r="E171" t="s">
        <v>1196</v>
      </c>
      <c r="F171">
        <v>453</v>
      </c>
      <c r="G171" s="1021" t="s">
        <v>1488</v>
      </c>
      <c r="H171" t="s">
        <v>1125</v>
      </c>
      <c r="I171" t="s">
        <v>204</v>
      </c>
      <c r="J171" t="s">
        <v>1426</v>
      </c>
      <c r="K171">
        <v>53.15</v>
      </c>
      <c r="L171" t="s">
        <v>1440</v>
      </c>
      <c r="M171" t="s">
        <v>1440</v>
      </c>
      <c r="N171">
        <v>56078603</v>
      </c>
    </row>
    <row r="172" spans="3:14" x14ac:dyDescent="0.2">
      <c r="C172">
        <v>1021479</v>
      </c>
      <c r="D172" t="s">
        <v>1227</v>
      </c>
      <c r="E172" t="s">
        <v>1196</v>
      </c>
      <c r="F172">
        <v>453</v>
      </c>
      <c r="G172" s="1021" t="s">
        <v>1489</v>
      </c>
      <c r="H172" t="s">
        <v>1125</v>
      </c>
      <c r="I172" t="s">
        <v>204</v>
      </c>
      <c r="J172" t="s">
        <v>1426</v>
      </c>
      <c r="K172">
        <v>53.15</v>
      </c>
      <c r="L172" t="s">
        <v>1442</v>
      </c>
      <c r="M172" t="s">
        <v>1442</v>
      </c>
      <c r="N172">
        <v>56078603</v>
      </c>
    </row>
    <row r="173" spans="3:14" x14ac:dyDescent="0.2">
      <c r="C173">
        <v>1021480</v>
      </c>
      <c r="D173" t="s">
        <v>1227</v>
      </c>
      <c r="E173" t="s">
        <v>1196</v>
      </c>
      <c r="F173">
        <v>453</v>
      </c>
      <c r="G173" s="1021" t="s">
        <v>1490</v>
      </c>
      <c r="H173" t="s">
        <v>1125</v>
      </c>
      <c r="I173" t="s">
        <v>204</v>
      </c>
      <c r="J173" t="s">
        <v>1426</v>
      </c>
      <c r="K173">
        <v>53.05</v>
      </c>
      <c r="L173" t="s">
        <v>1444</v>
      </c>
      <c r="M173" t="s">
        <v>1444</v>
      </c>
      <c r="N173">
        <v>56078603</v>
      </c>
    </row>
    <row r="174" spans="3:14" x14ac:dyDescent="0.2">
      <c r="C174">
        <v>1021481</v>
      </c>
      <c r="D174" t="s">
        <v>1227</v>
      </c>
      <c r="E174" t="s">
        <v>1196</v>
      </c>
      <c r="F174">
        <v>453</v>
      </c>
      <c r="G174" s="1021" t="s">
        <v>1491</v>
      </c>
      <c r="H174" t="s">
        <v>1125</v>
      </c>
      <c r="I174" t="s">
        <v>204</v>
      </c>
      <c r="J174" t="s">
        <v>1426</v>
      </c>
      <c r="K174">
        <v>55.26</v>
      </c>
      <c r="L174" t="s">
        <v>1302</v>
      </c>
      <c r="M174" t="s">
        <v>1302</v>
      </c>
      <c r="N174">
        <v>56078603</v>
      </c>
    </row>
    <row r="175" spans="3:14" x14ac:dyDescent="0.2">
      <c r="C175">
        <v>1021482</v>
      </c>
      <c r="D175" t="s">
        <v>1227</v>
      </c>
      <c r="E175" t="s">
        <v>1196</v>
      </c>
      <c r="F175">
        <v>453</v>
      </c>
      <c r="G175" s="1021" t="s">
        <v>1492</v>
      </c>
      <c r="H175" t="s">
        <v>1125</v>
      </c>
      <c r="I175" t="s">
        <v>204</v>
      </c>
      <c r="J175" t="s">
        <v>1426</v>
      </c>
      <c r="K175">
        <v>55.26</v>
      </c>
      <c r="L175" t="s">
        <v>1236</v>
      </c>
      <c r="M175" t="s">
        <v>1236</v>
      </c>
      <c r="N175">
        <v>56078603</v>
      </c>
    </row>
    <row r="176" spans="3:14" x14ac:dyDescent="0.2">
      <c r="C176">
        <v>1021483</v>
      </c>
      <c r="D176" t="s">
        <v>1227</v>
      </c>
      <c r="E176" t="s">
        <v>1196</v>
      </c>
      <c r="F176">
        <v>453</v>
      </c>
      <c r="G176" s="1021" t="s">
        <v>1493</v>
      </c>
      <c r="H176" t="s">
        <v>1125</v>
      </c>
      <c r="I176" t="s">
        <v>204</v>
      </c>
      <c r="J176" t="s">
        <v>1426</v>
      </c>
      <c r="K176">
        <v>55.26</v>
      </c>
      <c r="L176" t="s">
        <v>1187</v>
      </c>
      <c r="M176" t="s">
        <v>1187</v>
      </c>
      <c r="N176">
        <v>56078603</v>
      </c>
    </row>
    <row r="177" spans="3:14" x14ac:dyDescent="0.2">
      <c r="C177">
        <v>811806</v>
      </c>
      <c r="D177" t="s">
        <v>1351</v>
      </c>
      <c r="E177" t="s">
        <v>1212</v>
      </c>
      <c r="F177">
        <v>1</v>
      </c>
      <c r="G177" s="1021" t="s">
        <v>1494</v>
      </c>
      <c r="H177" t="s">
        <v>1125</v>
      </c>
      <c r="I177" t="s">
        <v>16</v>
      </c>
      <c r="J177" t="s">
        <v>1426</v>
      </c>
      <c r="K177">
        <v>1848</v>
      </c>
      <c r="L177" t="s">
        <v>1495</v>
      </c>
      <c r="M177" t="s">
        <v>1496</v>
      </c>
      <c r="N177">
        <v>56078603</v>
      </c>
    </row>
    <row r="178" spans="3:14" x14ac:dyDescent="0.2">
      <c r="C178">
        <v>811807</v>
      </c>
      <c r="D178" t="s">
        <v>1351</v>
      </c>
      <c r="E178" t="s">
        <v>1212</v>
      </c>
      <c r="F178">
        <v>1</v>
      </c>
      <c r="G178" s="1021" t="s">
        <v>1494</v>
      </c>
      <c r="H178" t="s">
        <v>1125</v>
      </c>
      <c r="I178" t="s">
        <v>205</v>
      </c>
      <c r="J178" t="s">
        <v>1426</v>
      </c>
      <c r="K178">
        <v>1220</v>
      </c>
      <c r="L178" t="s">
        <v>1495</v>
      </c>
      <c r="M178" t="s">
        <v>1496</v>
      </c>
      <c r="N178">
        <v>56078603</v>
      </c>
    </row>
    <row r="179" spans="3:14" x14ac:dyDescent="0.2">
      <c r="C179">
        <v>811808</v>
      </c>
      <c r="D179" t="s">
        <v>1351</v>
      </c>
      <c r="E179" t="s">
        <v>1212</v>
      </c>
      <c r="F179">
        <v>1</v>
      </c>
      <c r="G179" s="1021" t="s">
        <v>1494</v>
      </c>
      <c r="H179" t="s">
        <v>1125</v>
      </c>
      <c r="I179" t="s">
        <v>204</v>
      </c>
      <c r="J179" t="s">
        <v>1426</v>
      </c>
      <c r="K179">
        <v>1332</v>
      </c>
      <c r="L179" t="s">
        <v>1495</v>
      </c>
      <c r="M179" t="s">
        <v>1496</v>
      </c>
      <c r="N179">
        <v>56078603</v>
      </c>
    </row>
    <row r="180" spans="3:14" x14ac:dyDescent="0.2">
      <c r="C180">
        <v>811809</v>
      </c>
      <c r="D180" t="s">
        <v>1351</v>
      </c>
      <c r="E180" t="s">
        <v>1212</v>
      </c>
      <c r="F180">
        <v>1</v>
      </c>
      <c r="G180" s="1021" t="s">
        <v>1497</v>
      </c>
      <c r="H180" t="s">
        <v>1125</v>
      </c>
      <c r="I180" t="s">
        <v>16</v>
      </c>
      <c r="J180" t="s">
        <v>1426</v>
      </c>
      <c r="K180">
        <v>1848</v>
      </c>
      <c r="L180" t="s">
        <v>1496</v>
      </c>
      <c r="M180" t="s">
        <v>1498</v>
      </c>
      <c r="N180">
        <v>56078603</v>
      </c>
    </row>
    <row r="181" spans="3:14" x14ac:dyDescent="0.2">
      <c r="C181">
        <v>811810</v>
      </c>
      <c r="D181" t="s">
        <v>1351</v>
      </c>
      <c r="E181" t="s">
        <v>1212</v>
      </c>
      <c r="F181">
        <v>1</v>
      </c>
      <c r="G181" s="1021" t="s">
        <v>1497</v>
      </c>
      <c r="H181" t="s">
        <v>1125</v>
      </c>
      <c r="I181" t="s">
        <v>205</v>
      </c>
      <c r="J181" t="s">
        <v>1426</v>
      </c>
      <c r="K181">
        <v>1220</v>
      </c>
      <c r="L181" t="s">
        <v>1496</v>
      </c>
      <c r="M181" t="s">
        <v>1498</v>
      </c>
      <c r="N181">
        <v>56078603</v>
      </c>
    </row>
    <row r="182" spans="3:14" x14ac:dyDescent="0.2">
      <c r="C182">
        <v>811811</v>
      </c>
      <c r="D182" t="s">
        <v>1351</v>
      </c>
      <c r="E182" t="s">
        <v>1212</v>
      </c>
      <c r="F182">
        <v>1</v>
      </c>
      <c r="G182" s="1021" t="s">
        <v>1497</v>
      </c>
      <c r="H182" t="s">
        <v>1125</v>
      </c>
      <c r="I182" t="s">
        <v>204</v>
      </c>
      <c r="J182" t="s">
        <v>1426</v>
      </c>
      <c r="K182">
        <v>1332</v>
      </c>
      <c r="L182" t="s">
        <v>1496</v>
      </c>
      <c r="M182" t="s">
        <v>1498</v>
      </c>
      <c r="N182">
        <v>56078603</v>
      </c>
    </row>
    <row r="183" spans="3:14" x14ac:dyDescent="0.2">
      <c r="C183">
        <v>811812</v>
      </c>
      <c r="D183" t="s">
        <v>1351</v>
      </c>
      <c r="E183" t="s">
        <v>1212</v>
      </c>
      <c r="F183">
        <v>1</v>
      </c>
      <c r="G183" s="1021" t="s">
        <v>1499</v>
      </c>
      <c r="H183" t="s">
        <v>1125</v>
      </c>
      <c r="I183" t="s">
        <v>16</v>
      </c>
      <c r="J183" t="s">
        <v>1426</v>
      </c>
      <c r="K183">
        <v>1848</v>
      </c>
      <c r="L183" t="s">
        <v>1498</v>
      </c>
      <c r="M183" t="s">
        <v>1500</v>
      </c>
      <c r="N183">
        <v>56078603</v>
      </c>
    </row>
    <row r="184" spans="3:14" x14ac:dyDescent="0.2">
      <c r="C184">
        <v>811813</v>
      </c>
      <c r="D184" t="s">
        <v>1351</v>
      </c>
      <c r="E184" t="s">
        <v>1212</v>
      </c>
      <c r="F184">
        <v>1</v>
      </c>
      <c r="G184" s="1021" t="s">
        <v>1499</v>
      </c>
      <c r="H184" t="s">
        <v>1125</v>
      </c>
      <c r="I184" t="s">
        <v>205</v>
      </c>
      <c r="J184" t="s">
        <v>1426</v>
      </c>
      <c r="K184">
        <v>1220</v>
      </c>
      <c r="L184" t="s">
        <v>1498</v>
      </c>
      <c r="M184" t="s">
        <v>1500</v>
      </c>
      <c r="N184">
        <v>56078603</v>
      </c>
    </row>
    <row r="185" spans="3:14" x14ac:dyDescent="0.2">
      <c r="C185">
        <v>811814</v>
      </c>
      <c r="D185" t="s">
        <v>1351</v>
      </c>
      <c r="E185" t="s">
        <v>1212</v>
      </c>
      <c r="F185">
        <v>1</v>
      </c>
      <c r="G185" s="1021" t="s">
        <v>1499</v>
      </c>
      <c r="H185" t="s">
        <v>1125</v>
      </c>
      <c r="I185" t="s">
        <v>204</v>
      </c>
      <c r="J185" t="s">
        <v>1426</v>
      </c>
      <c r="K185">
        <v>1332</v>
      </c>
      <c r="L185" t="s">
        <v>1498</v>
      </c>
      <c r="M185" t="s">
        <v>1500</v>
      </c>
      <c r="N185">
        <v>56078603</v>
      </c>
    </row>
    <row r="186" spans="3:14" x14ac:dyDescent="0.2">
      <c r="C186">
        <v>811815</v>
      </c>
      <c r="D186" t="s">
        <v>1351</v>
      </c>
      <c r="E186" t="s">
        <v>1212</v>
      </c>
      <c r="F186">
        <v>1</v>
      </c>
      <c r="G186" s="1021" t="s">
        <v>1501</v>
      </c>
      <c r="H186" t="s">
        <v>1125</v>
      </c>
      <c r="I186" t="s">
        <v>16</v>
      </c>
      <c r="J186" t="s">
        <v>1426</v>
      </c>
      <c r="K186">
        <v>1848</v>
      </c>
      <c r="L186" t="s">
        <v>1500</v>
      </c>
      <c r="M186" t="s">
        <v>1502</v>
      </c>
      <c r="N186">
        <v>56078603</v>
      </c>
    </row>
    <row r="187" spans="3:14" x14ac:dyDescent="0.2">
      <c r="C187">
        <v>811816</v>
      </c>
      <c r="D187" t="s">
        <v>1351</v>
      </c>
      <c r="E187" t="s">
        <v>1212</v>
      </c>
      <c r="F187">
        <v>1</v>
      </c>
      <c r="G187" s="1021" t="s">
        <v>1501</v>
      </c>
      <c r="H187" t="s">
        <v>1125</v>
      </c>
      <c r="I187" t="s">
        <v>205</v>
      </c>
      <c r="J187" t="s">
        <v>1426</v>
      </c>
      <c r="K187">
        <v>1220</v>
      </c>
      <c r="L187" t="s">
        <v>1500</v>
      </c>
      <c r="M187" t="s">
        <v>1502</v>
      </c>
      <c r="N187">
        <v>56078603</v>
      </c>
    </row>
    <row r="188" spans="3:14" x14ac:dyDescent="0.2">
      <c r="C188">
        <v>811817</v>
      </c>
      <c r="D188" t="s">
        <v>1351</v>
      </c>
      <c r="E188" t="s">
        <v>1212</v>
      </c>
      <c r="F188">
        <v>1</v>
      </c>
      <c r="G188" s="1021" t="s">
        <v>1501</v>
      </c>
      <c r="H188" t="s">
        <v>1125</v>
      </c>
      <c r="I188" t="s">
        <v>204</v>
      </c>
      <c r="J188" t="s">
        <v>1426</v>
      </c>
      <c r="K188">
        <v>1332</v>
      </c>
      <c r="L188" t="s">
        <v>1500</v>
      </c>
      <c r="M188" t="s">
        <v>1502</v>
      </c>
      <c r="N188">
        <v>56078603</v>
      </c>
    </row>
    <row r="189" spans="3:14" x14ac:dyDescent="0.2">
      <c r="C189">
        <v>811818</v>
      </c>
      <c r="D189" t="s">
        <v>1351</v>
      </c>
      <c r="E189" t="s">
        <v>1212</v>
      </c>
      <c r="F189">
        <v>1</v>
      </c>
      <c r="G189" s="1021" t="s">
        <v>1503</v>
      </c>
      <c r="H189" t="s">
        <v>1125</v>
      </c>
      <c r="I189" t="s">
        <v>16</v>
      </c>
      <c r="J189" t="s">
        <v>1426</v>
      </c>
      <c r="K189">
        <v>1848</v>
      </c>
      <c r="L189" t="s">
        <v>1502</v>
      </c>
      <c r="M189" t="s">
        <v>1504</v>
      </c>
      <c r="N189">
        <v>56078603</v>
      </c>
    </row>
    <row r="190" spans="3:14" x14ac:dyDescent="0.2">
      <c r="C190">
        <v>811819</v>
      </c>
      <c r="D190" t="s">
        <v>1351</v>
      </c>
      <c r="E190" t="s">
        <v>1212</v>
      </c>
      <c r="F190">
        <v>1</v>
      </c>
      <c r="G190" s="1021" t="s">
        <v>1503</v>
      </c>
      <c r="H190" t="s">
        <v>1125</v>
      </c>
      <c r="I190" t="s">
        <v>205</v>
      </c>
      <c r="J190" t="s">
        <v>1426</v>
      </c>
      <c r="K190">
        <v>1220</v>
      </c>
      <c r="L190" t="s">
        <v>1502</v>
      </c>
      <c r="M190" t="s">
        <v>1504</v>
      </c>
      <c r="N190">
        <v>56078603</v>
      </c>
    </row>
    <row r="191" spans="3:14" x14ac:dyDescent="0.2">
      <c r="C191">
        <v>811820</v>
      </c>
      <c r="D191" t="s">
        <v>1351</v>
      </c>
      <c r="E191" t="s">
        <v>1212</v>
      </c>
      <c r="F191">
        <v>1</v>
      </c>
      <c r="G191" s="1021" t="s">
        <v>1503</v>
      </c>
      <c r="H191" t="s">
        <v>1125</v>
      </c>
      <c r="I191" t="s">
        <v>204</v>
      </c>
      <c r="J191" t="s">
        <v>1426</v>
      </c>
      <c r="K191">
        <v>1332</v>
      </c>
      <c r="L191" t="s">
        <v>1502</v>
      </c>
      <c r="M191" t="s">
        <v>1504</v>
      </c>
      <c r="N191">
        <v>56078603</v>
      </c>
    </row>
    <row r="192" spans="3:14" x14ac:dyDescent="0.2">
      <c r="C192">
        <v>811821</v>
      </c>
      <c r="D192" t="s">
        <v>1351</v>
      </c>
      <c r="E192" t="s">
        <v>1212</v>
      </c>
      <c r="F192">
        <v>1</v>
      </c>
      <c r="G192" s="1021" t="s">
        <v>1505</v>
      </c>
      <c r="H192" t="s">
        <v>1125</v>
      </c>
      <c r="I192" t="s">
        <v>16</v>
      </c>
      <c r="J192" t="s">
        <v>1426</v>
      </c>
      <c r="K192">
        <v>1386</v>
      </c>
      <c r="L192" t="s">
        <v>1504</v>
      </c>
      <c r="M192" t="s">
        <v>1506</v>
      </c>
      <c r="N192">
        <v>56078603</v>
      </c>
    </row>
    <row r="193" spans="3:14" x14ac:dyDescent="0.2">
      <c r="C193">
        <v>811822</v>
      </c>
      <c r="D193" t="s">
        <v>1351</v>
      </c>
      <c r="E193" t="s">
        <v>1212</v>
      </c>
      <c r="F193">
        <v>1</v>
      </c>
      <c r="G193" s="1021" t="s">
        <v>1505</v>
      </c>
      <c r="H193" t="s">
        <v>1125</v>
      </c>
      <c r="I193" t="s">
        <v>205</v>
      </c>
      <c r="J193" t="s">
        <v>1426</v>
      </c>
      <c r="K193">
        <v>915</v>
      </c>
      <c r="L193" t="s">
        <v>1504</v>
      </c>
      <c r="M193" t="s">
        <v>1506</v>
      </c>
      <c r="N193">
        <v>56078603</v>
      </c>
    </row>
    <row r="194" spans="3:14" x14ac:dyDescent="0.2">
      <c r="C194">
        <v>811823</v>
      </c>
      <c r="D194" t="s">
        <v>1351</v>
      </c>
      <c r="E194" t="s">
        <v>1212</v>
      </c>
      <c r="F194">
        <v>1</v>
      </c>
      <c r="G194" s="1021" t="s">
        <v>1505</v>
      </c>
      <c r="H194" t="s">
        <v>1125</v>
      </c>
      <c r="I194" t="s">
        <v>204</v>
      </c>
      <c r="J194" t="s">
        <v>1426</v>
      </c>
      <c r="K194">
        <v>999</v>
      </c>
      <c r="L194" t="s">
        <v>1504</v>
      </c>
      <c r="M194" t="s">
        <v>1506</v>
      </c>
      <c r="N194">
        <v>56078603</v>
      </c>
    </row>
    <row r="195" spans="3:14" x14ac:dyDescent="0.2">
      <c r="C195">
        <v>811824</v>
      </c>
      <c r="D195" t="s">
        <v>1351</v>
      </c>
      <c r="E195" t="s">
        <v>1212</v>
      </c>
      <c r="F195">
        <v>1</v>
      </c>
      <c r="G195" s="1021" t="s">
        <v>1507</v>
      </c>
      <c r="H195" t="s">
        <v>1125</v>
      </c>
      <c r="I195" t="s">
        <v>16</v>
      </c>
      <c r="J195" t="s">
        <v>1426</v>
      </c>
      <c r="K195">
        <v>924</v>
      </c>
      <c r="L195" t="s">
        <v>1506</v>
      </c>
      <c r="M195" t="s">
        <v>1508</v>
      </c>
      <c r="N195">
        <v>56078603</v>
      </c>
    </row>
    <row r="196" spans="3:14" x14ac:dyDescent="0.2">
      <c r="C196">
        <v>811825</v>
      </c>
      <c r="D196" t="s">
        <v>1351</v>
      </c>
      <c r="E196" t="s">
        <v>1212</v>
      </c>
      <c r="F196">
        <v>1</v>
      </c>
      <c r="G196" s="1021" t="s">
        <v>1507</v>
      </c>
      <c r="H196" t="s">
        <v>1125</v>
      </c>
      <c r="I196" t="s">
        <v>205</v>
      </c>
      <c r="J196" t="s">
        <v>1426</v>
      </c>
      <c r="K196">
        <v>610</v>
      </c>
      <c r="L196" t="s">
        <v>1506</v>
      </c>
      <c r="M196" t="s">
        <v>1508</v>
      </c>
      <c r="N196">
        <v>56078603</v>
      </c>
    </row>
    <row r="197" spans="3:14" x14ac:dyDescent="0.2">
      <c r="C197">
        <v>811826</v>
      </c>
      <c r="D197" t="s">
        <v>1351</v>
      </c>
      <c r="E197" t="s">
        <v>1212</v>
      </c>
      <c r="F197">
        <v>1</v>
      </c>
      <c r="G197" s="1021" t="s">
        <v>1507</v>
      </c>
      <c r="H197" t="s">
        <v>1125</v>
      </c>
      <c r="I197" t="s">
        <v>204</v>
      </c>
      <c r="J197" t="s">
        <v>1426</v>
      </c>
      <c r="K197">
        <v>666</v>
      </c>
      <c r="L197" t="s">
        <v>1506</v>
      </c>
      <c r="M197" t="s">
        <v>1508</v>
      </c>
      <c r="N197">
        <v>56078603</v>
      </c>
    </row>
    <row r="198" spans="3:14" x14ac:dyDescent="0.2">
      <c r="C198">
        <v>1021484</v>
      </c>
      <c r="D198" t="s">
        <v>1280</v>
      </c>
      <c r="E198" t="s">
        <v>1287</v>
      </c>
      <c r="F198">
        <v>526</v>
      </c>
      <c r="G198" s="1021" t="s">
        <v>1453</v>
      </c>
      <c r="H198" t="s">
        <v>1126</v>
      </c>
      <c r="I198" t="s">
        <v>205</v>
      </c>
      <c r="J198" t="s">
        <v>626</v>
      </c>
      <c r="K198">
        <v>60.61</v>
      </c>
      <c r="L198" t="s">
        <v>1428</v>
      </c>
      <c r="M198" t="s">
        <v>1432</v>
      </c>
      <c r="N198">
        <v>56078603</v>
      </c>
    </row>
    <row r="199" spans="3:14" x14ac:dyDescent="0.2">
      <c r="C199">
        <v>1021485</v>
      </c>
      <c r="D199" t="s">
        <v>1280</v>
      </c>
      <c r="E199" t="s">
        <v>1287</v>
      </c>
      <c r="F199">
        <v>526</v>
      </c>
      <c r="G199" s="1021" t="s">
        <v>1453</v>
      </c>
      <c r="H199" t="s">
        <v>1126</v>
      </c>
      <c r="I199" t="s">
        <v>204</v>
      </c>
      <c r="J199" t="s">
        <v>1426</v>
      </c>
      <c r="K199">
        <v>64.94</v>
      </c>
      <c r="L199" t="s">
        <v>1428</v>
      </c>
      <c r="M199" t="s">
        <v>1432</v>
      </c>
      <c r="N199">
        <v>56078603</v>
      </c>
    </row>
    <row r="200" spans="3:14" x14ac:dyDescent="0.2">
      <c r="C200">
        <v>1021486</v>
      </c>
      <c r="D200" t="s">
        <v>1280</v>
      </c>
      <c r="E200" t="s">
        <v>1287</v>
      </c>
      <c r="F200">
        <v>526</v>
      </c>
      <c r="G200" s="1021" t="s">
        <v>1454</v>
      </c>
      <c r="H200" t="s">
        <v>1126</v>
      </c>
      <c r="I200" t="s">
        <v>205</v>
      </c>
      <c r="J200" t="s">
        <v>626</v>
      </c>
      <c r="K200">
        <v>68.19</v>
      </c>
      <c r="L200" t="s">
        <v>1432</v>
      </c>
      <c r="M200" t="s">
        <v>1434</v>
      </c>
      <c r="N200">
        <v>56078603</v>
      </c>
    </row>
    <row r="201" spans="3:14" x14ac:dyDescent="0.2">
      <c r="C201">
        <v>1021487</v>
      </c>
      <c r="D201" t="s">
        <v>1280</v>
      </c>
      <c r="E201" t="s">
        <v>1287</v>
      </c>
      <c r="F201">
        <v>526</v>
      </c>
      <c r="G201" s="1021" t="s">
        <v>1454</v>
      </c>
      <c r="H201" t="s">
        <v>1126</v>
      </c>
      <c r="I201" t="s">
        <v>204</v>
      </c>
      <c r="J201" t="s">
        <v>1426</v>
      </c>
      <c r="K201">
        <v>73.06</v>
      </c>
      <c r="L201" t="s">
        <v>1432</v>
      </c>
      <c r="M201" t="s">
        <v>1434</v>
      </c>
      <c r="N201">
        <v>56078603</v>
      </c>
    </row>
    <row r="202" spans="3:14" x14ac:dyDescent="0.2">
      <c r="C202">
        <v>1021488</v>
      </c>
      <c r="D202" t="s">
        <v>1280</v>
      </c>
      <c r="E202" t="s">
        <v>1287</v>
      </c>
      <c r="F202">
        <v>526</v>
      </c>
      <c r="G202" s="1021" t="s">
        <v>1452</v>
      </c>
      <c r="H202" t="s">
        <v>1126</v>
      </c>
      <c r="I202" t="s">
        <v>205</v>
      </c>
      <c r="J202" t="s">
        <v>626</v>
      </c>
      <c r="K202">
        <v>73.25</v>
      </c>
      <c r="L202" t="s">
        <v>1434</v>
      </c>
      <c r="M202" t="s">
        <v>1436</v>
      </c>
      <c r="N202">
        <v>56078603</v>
      </c>
    </row>
    <row r="203" spans="3:14" x14ac:dyDescent="0.2">
      <c r="C203">
        <v>1021489</v>
      </c>
      <c r="D203" t="s">
        <v>1280</v>
      </c>
      <c r="E203" t="s">
        <v>1287</v>
      </c>
      <c r="F203">
        <v>526</v>
      </c>
      <c r="G203" s="1021" t="s">
        <v>1452</v>
      </c>
      <c r="H203" t="s">
        <v>1126</v>
      </c>
      <c r="I203" t="s">
        <v>204</v>
      </c>
      <c r="J203" t="s">
        <v>1426</v>
      </c>
      <c r="K203">
        <v>78.48</v>
      </c>
      <c r="L203" t="s">
        <v>1434</v>
      </c>
      <c r="M203" t="s">
        <v>1436</v>
      </c>
      <c r="N203">
        <v>56078603</v>
      </c>
    </row>
    <row r="204" spans="3:14" x14ac:dyDescent="0.2">
      <c r="C204">
        <v>1021490</v>
      </c>
      <c r="D204" t="s">
        <v>1280</v>
      </c>
      <c r="E204" t="s">
        <v>1287</v>
      </c>
      <c r="F204">
        <v>526</v>
      </c>
      <c r="G204" s="1021" t="s">
        <v>1451</v>
      </c>
      <c r="H204" t="s">
        <v>1126</v>
      </c>
      <c r="I204" t="s">
        <v>205</v>
      </c>
      <c r="J204" t="s">
        <v>626</v>
      </c>
      <c r="K204">
        <v>86.09</v>
      </c>
      <c r="L204" t="s">
        <v>1436</v>
      </c>
      <c r="M204" t="s">
        <v>1438</v>
      </c>
      <c r="N204">
        <v>56078603</v>
      </c>
    </row>
    <row r="205" spans="3:14" x14ac:dyDescent="0.2">
      <c r="C205">
        <v>1021491</v>
      </c>
      <c r="D205" t="s">
        <v>1280</v>
      </c>
      <c r="E205" t="s">
        <v>1287</v>
      </c>
      <c r="F205">
        <v>526</v>
      </c>
      <c r="G205" s="1021" t="s">
        <v>1451</v>
      </c>
      <c r="H205" t="s">
        <v>1126</v>
      </c>
      <c r="I205" t="s">
        <v>204</v>
      </c>
      <c r="J205" t="s">
        <v>1426</v>
      </c>
      <c r="K205">
        <v>92.23</v>
      </c>
      <c r="L205" t="s">
        <v>1436</v>
      </c>
      <c r="M205" t="s">
        <v>1438</v>
      </c>
      <c r="N205">
        <v>56078603</v>
      </c>
    </row>
    <row r="206" spans="3:14" x14ac:dyDescent="0.2">
      <c r="C206">
        <v>1021492</v>
      </c>
      <c r="D206" t="s">
        <v>1280</v>
      </c>
      <c r="E206" t="s">
        <v>1287</v>
      </c>
      <c r="F206">
        <v>526</v>
      </c>
      <c r="G206" s="1021" t="s">
        <v>1457</v>
      </c>
      <c r="H206" t="s">
        <v>1126</v>
      </c>
      <c r="I206" t="s">
        <v>205</v>
      </c>
      <c r="J206" t="s">
        <v>626</v>
      </c>
      <c r="K206">
        <v>67.34</v>
      </c>
      <c r="L206" t="s">
        <v>1438</v>
      </c>
      <c r="M206" t="s">
        <v>1440</v>
      </c>
      <c r="N206">
        <v>56078603</v>
      </c>
    </row>
    <row r="207" spans="3:14" x14ac:dyDescent="0.2">
      <c r="C207">
        <v>1021493</v>
      </c>
      <c r="D207" t="s">
        <v>1280</v>
      </c>
      <c r="E207" t="s">
        <v>1287</v>
      </c>
      <c r="F207">
        <v>526</v>
      </c>
      <c r="G207" s="1021" t="s">
        <v>1457</v>
      </c>
      <c r="H207" t="s">
        <v>1126</v>
      </c>
      <c r="I207" t="s">
        <v>204</v>
      </c>
      <c r="J207" t="s">
        <v>1426</v>
      </c>
      <c r="K207">
        <v>72.150000000000006</v>
      </c>
      <c r="L207" t="s">
        <v>1438</v>
      </c>
      <c r="M207" t="s">
        <v>1440</v>
      </c>
      <c r="N207">
        <v>56078603</v>
      </c>
    </row>
    <row r="208" spans="3:14" x14ac:dyDescent="0.2">
      <c r="C208">
        <v>1021494</v>
      </c>
      <c r="D208" t="s">
        <v>1280</v>
      </c>
      <c r="E208" t="s">
        <v>1287</v>
      </c>
      <c r="F208">
        <v>526</v>
      </c>
      <c r="G208" s="1021" t="s">
        <v>1455</v>
      </c>
      <c r="H208" t="s">
        <v>1126</v>
      </c>
      <c r="I208" t="s">
        <v>205</v>
      </c>
      <c r="J208" t="s">
        <v>626</v>
      </c>
      <c r="K208">
        <v>112.97</v>
      </c>
      <c r="L208" t="s">
        <v>1440</v>
      </c>
      <c r="M208" t="s">
        <v>1442</v>
      </c>
      <c r="N208">
        <v>56078603</v>
      </c>
    </row>
    <row r="209" spans="3:14" x14ac:dyDescent="0.2">
      <c r="C209">
        <v>1021495</v>
      </c>
      <c r="D209" t="s">
        <v>1280</v>
      </c>
      <c r="E209" t="s">
        <v>1287</v>
      </c>
      <c r="F209">
        <v>526</v>
      </c>
      <c r="G209" s="1021" t="s">
        <v>1455</v>
      </c>
      <c r="H209" t="s">
        <v>1126</v>
      </c>
      <c r="I209" t="s">
        <v>204</v>
      </c>
      <c r="J209" t="s">
        <v>1426</v>
      </c>
      <c r="K209">
        <v>121.04</v>
      </c>
      <c r="L209" t="s">
        <v>1440</v>
      </c>
      <c r="M209" t="s">
        <v>1442</v>
      </c>
      <c r="N209">
        <v>56078603</v>
      </c>
    </row>
    <row r="210" spans="3:14" x14ac:dyDescent="0.2">
      <c r="C210">
        <v>1021496</v>
      </c>
      <c r="D210" t="s">
        <v>1280</v>
      </c>
      <c r="E210" t="s">
        <v>1287</v>
      </c>
      <c r="F210">
        <v>526</v>
      </c>
      <c r="G210" s="1021" t="s">
        <v>1460</v>
      </c>
      <c r="H210" t="s">
        <v>1126</v>
      </c>
      <c r="I210" t="s">
        <v>205</v>
      </c>
      <c r="J210" t="s">
        <v>626</v>
      </c>
      <c r="K210">
        <v>200.28</v>
      </c>
      <c r="L210" t="s">
        <v>1442</v>
      </c>
      <c r="M210" t="s">
        <v>1444</v>
      </c>
      <c r="N210">
        <v>56078603</v>
      </c>
    </row>
    <row r="211" spans="3:14" x14ac:dyDescent="0.2">
      <c r="C211">
        <v>1021497</v>
      </c>
      <c r="D211" t="s">
        <v>1280</v>
      </c>
      <c r="E211" t="s">
        <v>1287</v>
      </c>
      <c r="F211">
        <v>526</v>
      </c>
      <c r="G211" s="1021" t="s">
        <v>1460</v>
      </c>
      <c r="H211" t="s">
        <v>1126</v>
      </c>
      <c r="I211" t="s">
        <v>204</v>
      </c>
      <c r="J211" t="s">
        <v>1426</v>
      </c>
      <c r="K211">
        <v>214.59</v>
      </c>
      <c r="L211" t="s">
        <v>1442</v>
      </c>
      <c r="M211" t="s">
        <v>1444</v>
      </c>
      <c r="N211">
        <v>56078603</v>
      </c>
    </row>
    <row r="212" spans="3:14" x14ac:dyDescent="0.2">
      <c r="C212">
        <v>1021498</v>
      </c>
      <c r="D212" t="s">
        <v>1280</v>
      </c>
      <c r="E212" t="s">
        <v>1287</v>
      </c>
      <c r="F212">
        <v>526</v>
      </c>
      <c r="G212" s="1021" t="s">
        <v>1459</v>
      </c>
      <c r="H212" t="s">
        <v>1126</v>
      </c>
      <c r="I212" t="s">
        <v>205</v>
      </c>
      <c r="J212" t="s">
        <v>626</v>
      </c>
      <c r="K212">
        <v>19.79</v>
      </c>
      <c r="L212" t="s">
        <v>1444</v>
      </c>
      <c r="M212" t="s">
        <v>1302</v>
      </c>
      <c r="N212">
        <v>56078603</v>
      </c>
    </row>
    <row r="213" spans="3:14" x14ac:dyDescent="0.2">
      <c r="C213">
        <v>1021499</v>
      </c>
      <c r="D213" t="s">
        <v>1280</v>
      </c>
      <c r="E213" t="s">
        <v>1287</v>
      </c>
      <c r="F213">
        <v>526</v>
      </c>
      <c r="G213" s="1021" t="s">
        <v>1459</v>
      </c>
      <c r="H213" t="s">
        <v>1126</v>
      </c>
      <c r="I213" t="s">
        <v>204</v>
      </c>
      <c r="J213" t="s">
        <v>1426</v>
      </c>
      <c r="K213">
        <v>21.2</v>
      </c>
      <c r="L213" t="s">
        <v>1444</v>
      </c>
      <c r="M213" t="s">
        <v>1302</v>
      </c>
      <c r="N213">
        <v>56078603</v>
      </c>
    </row>
    <row r="214" spans="3:14" x14ac:dyDescent="0.2">
      <c r="C214">
        <v>1021500</v>
      </c>
      <c r="D214" t="s">
        <v>1280</v>
      </c>
      <c r="E214" t="s">
        <v>1287</v>
      </c>
      <c r="F214">
        <v>526</v>
      </c>
      <c r="G214" s="1021" t="s">
        <v>1450</v>
      </c>
      <c r="H214" t="s">
        <v>1126</v>
      </c>
      <c r="I214" t="s">
        <v>205</v>
      </c>
      <c r="J214" t="s">
        <v>626</v>
      </c>
      <c r="K214">
        <v>87.95</v>
      </c>
      <c r="L214" t="s">
        <v>1302</v>
      </c>
      <c r="M214" t="s">
        <v>1236</v>
      </c>
      <c r="N214">
        <v>56078603</v>
      </c>
    </row>
    <row r="215" spans="3:14" x14ac:dyDescent="0.2">
      <c r="C215">
        <v>1021501</v>
      </c>
      <c r="D215" t="s">
        <v>1280</v>
      </c>
      <c r="E215" t="s">
        <v>1287</v>
      </c>
      <c r="F215">
        <v>526</v>
      </c>
      <c r="G215" s="1021" t="s">
        <v>1450</v>
      </c>
      <c r="H215" t="s">
        <v>1126</v>
      </c>
      <c r="I215" t="s">
        <v>204</v>
      </c>
      <c r="J215" t="s">
        <v>1426</v>
      </c>
      <c r="K215">
        <v>94.23</v>
      </c>
      <c r="L215" t="s">
        <v>1302</v>
      </c>
      <c r="M215" t="s">
        <v>1236</v>
      </c>
      <c r="N215">
        <v>56078603</v>
      </c>
    </row>
    <row r="216" spans="3:14" x14ac:dyDescent="0.2">
      <c r="C216">
        <v>1021502</v>
      </c>
      <c r="D216" t="s">
        <v>1280</v>
      </c>
      <c r="E216" t="s">
        <v>1287</v>
      </c>
      <c r="F216">
        <v>526</v>
      </c>
      <c r="G216" s="1021" t="s">
        <v>1456</v>
      </c>
      <c r="H216" t="s">
        <v>1126</v>
      </c>
      <c r="I216" t="s">
        <v>205</v>
      </c>
      <c r="J216" t="s">
        <v>626</v>
      </c>
      <c r="K216">
        <v>79.98</v>
      </c>
      <c r="L216" t="s">
        <v>1236</v>
      </c>
      <c r="M216" t="s">
        <v>1187</v>
      </c>
      <c r="N216">
        <v>56078603</v>
      </c>
    </row>
    <row r="217" spans="3:14" x14ac:dyDescent="0.2">
      <c r="C217">
        <v>1021503</v>
      </c>
      <c r="D217" t="s">
        <v>1280</v>
      </c>
      <c r="E217" t="s">
        <v>1287</v>
      </c>
      <c r="F217">
        <v>526</v>
      </c>
      <c r="G217" s="1021" t="s">
        <v>1456</v>
      </c>
      <c r="H217" t="s">
        <v>1126</v>
      </c>
      <c r="I217" t="s">
        <v>204</v>
      </c>
      <c r="J217" t="s">
        <v>1426</v>
      </c>
      <c r="K217">
        <v>85.69</v>
      </c>
      <c r="L217" t="s">
        <v>1236</v>
      </c>
      <c r="M217" t="s">
        <v>1187</v>
      </c>
      <c r="N217">
        <v>56078603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7"/>
  <dimension ref="C2:T35"/>
  <sheetViews>
    <sheetView rightToLeft="1" workbookViewId="0">
      <selection activeCell="AL8" sqref="AL8"/>
    </sheetView>
  </sheetViews>
  <sheetFormatPr defaultRowHeight="12.75" x14ac:dyDescent="0.2"/>
  <cols>
    <col min="7" max="7" width="12" customWidth="1"/>
    <col min="8" max="8" width="18.5703125" customWidth="1"/>
    <col min="9" max="9" width="12.7109375" customWidth="1"/>
    <col min="10" max="10" width="25.28515625" customWidth="1"/>
    <col min="12" max="13" width="13" customWidth="1"/>
    <col min="14" max="14" width="14.5703125" customWidth="1"/>
    <col min="15" max="15" width="11.42578125" customWidth="1"/>
    <col min="16" max="16" width="11.85546875" customWidth="1"/>
    <col min="17" max="17" width="10.85546875" customWidth="1"/>
    <col min="18" max="18" width="12.5703125" customWidth="1"/>
    <col min="19" max="19" width="11.42578125" customWidth="1"/>
  </cols>
  <sheetData>
    <row r="2" spans="3:20" ht="23.25" x14ac:dyDescent="0.35">
      <c r="J2" s="10" t="s">
        <v>295</v>
      </c>
    </row>
    <row r="4" spans="3:20" ht="13.5" thickBot="1" x14ac:dyDescent="0.25"/>
    <row r="5" spans="3:20" ht="75.75" thickBot="1" x14ac:dyDescent="0.25">
      <c r="C5" s="9" t="s">
        <v>0</v>
      </c>
      <c r="D5" s="9" t="s">
        <v>2</v>
      </c>
      <c r="E5" s="9" t="s">
        <v>37</v>
      </c>
      <c r="F5" s="9" t="s">
        <v>83</v>
      </c>
      <c r="G5" s="9" t="s">
        <v>90</v>
      </c>
      <c r="H5" s="9" t="s">
        <v>91</v>
      </c>
      <c r="I5" s="9" t="s">
        <v>92</v>
      </c>
      <c r="J5" s="9" t="s">
        <v>93</v>
      </c>
      <c r="K5" s="9" t="s">
        <v>94</v>
      </c>
      <c r="L5" s="9" t="s">
        <v>95</v>
      </c>
      <c r="M5" s="9" t="s">
        <v>96</v>
      </c>
      <c r="N5" s="9" t="s">
        <v>97</v>
      </c>
      <c r="O5" s="9" t="s">
        <v>98</v>
      </c>
      <c r="P5" s="9" t="s">
        <v>99</v>
      </c>
      <c r="Q5" s="9" t="s">
        <v>100</v>
      </c>
      <c r="R5" s="9" t="s">
        <v>101</v>
      </c>
      <c r="S5" s="9" t="s">
        <v>102</v>
      </c>
      <c r="T5" s="9" t="s">
        <v>1</v>
      </c>
    </row>
    <row r="6" spans="3:20" x14ac:dyDescent="0.2">
      <c r="C6">
        <v>275450</v>
      </c>
      <c r="D6" t="s">
        <v>1330</v>
      </c>
      <c r="E6" t="s">
        <v>1339</v>
      </c>
      <c r="F6">
        <v>993</v>
      </c>
      <c r="G6" t="s">
        <v>1357</v>
      </c>
      <c r="T6">
        <v>56078603</v>
      </c>
    </row>
    <row r="7" spans="3:20" x14ac:dyDescent="0.2">
      <c r="C7">
        <v>275426</v>
      </c>
      <c r="D7" t="s">
        <v>1214</v>
      </c>
      <c r="E7" t="s">
        <v>1222</v>
      </c>
      <c r="F7">
        <v>662</v>
      </c>
      <c r="G7" t="s">
        <v>1375</v>
      </c>
      <c r="H7" t="s">
        <v>1509</v>
      </c>
      <c r="K7">
        <v>0.26</v>
      </c>
      <c r="M7" t="s">
        <v>1357</v>
      </c>
      <c r="N7" t="s">
        <v>1510</v>
      </c>
      <c r="S7" t="s">
        <v>1375</v>
      </c>
      <c r="T7">
        <v>56078603</v>
      </c>
    </row>
    <row r="8" spans="3:20" x14ac:dyDescent="0.2">
      <c r="C8">
        <v>275427</v>
      </c>
      <c r="D8" t="s">
        <v>1225</v>
      </c>
      <c r="E8" t="s">
        <v>1222</v>
      </c>
      <c r="F8">
        <v>624</v>
      </c>
      <c r="G8" t="s">
        <v>1375</v>
      </c>
      <c r="H8" t="s">
        <v>1509</v>
      </c>
      <c r="K8">
        <v>0.26</v>
      </c>
      <c r="M8" t="s">
        <v>1357</v>
      </c>
      <c r="N8" t="s">
        <v>1510</v>
      </c>
      <c r="S8" t="s">
        <v>1375</v>
      </c>
      <c r="T8">
        <v>56078603</v>
      </c>
    </row>
    <row r="9" spans="3:20" x14ac:dyDescent="0.2">
      <c r="C9">
        <v>228925</v>
      </c>
      <c r="D9" t="s">
        <v>1205</v>
      </c>
      <c r="E9" t="s">
        <v>1212</v>
      </c>
      <c r="F9">
        <v>1</v>
      </c>
      <c r="G9" t="s">
        <v>1375</v>
      </c>
      <c r="I9" t="s">
        <v>1511</v>
      </c>
      <c r="K9">
        <v>0</v>
      </c>
      <c r="L9" t="s">
        <v>1206</v>
      </c>
      <c r="N9" t="s">
        <v>1209</v>
      </c>
      <c r="P9">
        <v>0</v>
      </c>
      <c r="Q9">
        <v>0</v>
      </c>
      <c r="R9">
        <v>0</v>
      </c>
      <c r="T9">
        <v>56078603</v>
      </c>
    </row>
    <row r="10" spans="3:20" x14ac:dyDescent="0.2">
      <c r="C10">
        <v>228926</v>
      </c>
      <c r="D10" t="s">
        <v>1205</v>
      </c>
      <c r="E10" t="s">
        <v>1212</v>
      </c>
      <c r="F10">
        <v>1</v>
      </c>
      <c r="G10" t="s">
        <v>1375</v>
      </c>
      <c r="H10" t="s">
        <v>1509</v>
      </c>
      <c r="I10" t="s">
        <v>1511</v>
      </c>
      <c r="J10" t="s">
        <v>1512</v>
      </c>
      <c r="K10">
        <v>0.60000002384185791</v>
      </c>
      <c r="L10" t="s">
        <v>1206</v>
      </c>
      <c r="N10" t="s">
        <v>1209</v>
      </c>
      <c r="P10">
        <v>0</v>
      </c>
      <c r="Q10">
        <v>0</v>
      </c>
      <c r="R10">
        <v>0</v>
      </c>
      <c r="T10">
        <v>56078603</v>
      </c>
    </row>
    <row r="11" spans="3:20" x14ac:dyDescent="0.2">
      <c r="C11">
        <v>228927</v>
      </c>
      <c r="D11" t="s">
        <v>1205</v>
      </c>
      <c r="E11" t="s">
        <v>1212</v>
      </c>
      <c r="F11">
        <v>1</v>
      </c>
      <c r="G11" t="s">
        <v>1375</v>
      </c>
      <c r="H11" t="s">
        <v>1509</v>
      </c>
      <c r="I11" t="s">
        <v>1511</v>
      </c>
      <c r="J11" t="s">
        <v>1513</v>
      </c>
      <c r="K11">
        <v>15</v>
      </c>
      <c r="L11" t="s">
        <v>1206</v>
      </c>
      <c r="N11" t="s">
        <v>1209</v>
      </c>
      <c r="P11">
        <v>0</v>
      </c>
      <c r="Q11">
        <v>0</v>
      </c>
      <c r="R11">
        <v>0</v>
      </c>
      <c r="T11">
        <v>56078603</v>
      </c>
    </row>
    <row r="12" spans="3:20" x14ac:dyDescent="0.2">
      <c r="C12">
        <v>275432</v>
      </c>
      <c r="D12" t="s">
        <v>1237</v>
      </c>
      <c r="E12" t="s">
        <v>1246</v>
      </c>
      <c r="F12">
        <v>885</v>
      </c>
      <c r="G12" t="s">
        <v>1375</v>
      </c>
      <c r="H12" t="s">
        <v>1509</v>
      </c>
      <c r="I12" t="s">
        <v>1514</v>
      </c>
      <c r="K12">
        <v>1.05</v>
      </c>
      <c r="M12" t="s">
        <v>1357</v>
      </c>
      <c r="R12">
        <v>0</v>
      </c>
      <c r="S12" t="s">
        <v>1375</v>
      </c>
      <c r="T12">
        <v>56078603</v>
      </c>
    </row>
    <row r="13" spans="3:20" x14ac:dyDescent="0.2">
      <c r="C13">
        <v>275433</v>
      </c>
      <c r="D13" t="s">
        <v>1247</v>
      </c>
      <c r="E13" t="s">
        <v>1246</v>
      </c>
      <c r="F13">
        <v>188</v>
      </c>
      <c r="G13" t="s">
        <v>1375</v>
      </c>
      <c r="H13" t="s">
        <v>1509</v>
      </c>
      <c r="I13" t="s">
        <v>1514</v>
      </c>
      <c r="K13">
        <v>1</v>
      </c>
      <c r="M13" t="s">
        <v>1357</v>
      </c>
      <c r="R13">
        <v>0</v>
      </c>
      <c r="S13" t="s">
        <v>1357</v>
      </c>
      <c r="T13">
        <v>56078603</v>
      </c>
    </row>
    <row r="14" spans="3:20" x14ac:dyDescent="0.2">
      <c r="C14">
        <v>275448</v>
      </c>
      <c r="D14" t="s">
        <v>1321</v>
      </c>
      <c r="E14" t="s">
        <v>1301</v>
      </c>
      <c r="F14">
        <v>439</v>
      </c>
      <c r="G14" t="s">
        <v>1375</v>
      </c>
      <c r="I14" t="s">
        <v>1306</v>
      </c>
      <c r="K14">
        <v>0</v>
      </c>
      <c r="P14">
        <v>0</v>
      </c>
      <c r="Q14">
        <v>0</v>
      </c>
      <c r="R14">
        <v>0</v>
      </c>
      <c r="S14" t="s">
        <v>1375</v>
      </c>
      <c r="T14">
        <v>56078603</v>
      </c>
    </row>
    <row r="15" spans="3:20" x14ac:dyDescent="0.2">
      <c r="C15">
        <v>275449</v>
      </c>
      <c r="D15" t="s">
        <v>1325</v>
      </c>
      <c r="E15" t="s">
        <v>1301</v>
      </c>
      <c r="F15">
        <v>384</v>
      </c>
      <c r="G15" t="s">
        <v>1375</v>
      </c>
      <c r="I15" t="s">
        <v>1306</v>
      </c>
      <c r="K15">
        <v>0</v>
      </c>
      <c r="P15">
        <v>0</v>
      </c>
      <c r="Q15">
        <v>0</v>
      </c>
      <c r="R15">
        <v>0</v>
      </c>
      <c r="S15" t="s">
        <v>1375</v>
      </c>
      <c r="T15">
        <v>56078603</v>
      </c>
    </row>
    <row r="16" spans="3:20" x14ac:dyDescent="0.2">
      <c r="C16">
        <v>275446</v>
      </c>
      <c r="D16" t="s">
        <v>1309</v>
      </c>
      <c r="E16" t="s">
        <v>1301</v>
      </c>
      <c r="F16">
        <v>177</v>
      </c>
      <c r="G16" t="s">
        <v>1375</v>
      </c>
      <c r="H16" t="s">
        <v>1509</v>
      </c>
      <c r="I16" t="s">
        <v>1515</v>
      </c>
      <c r="J16" t="s">
        <v>1512</v>
      </c>
      <c r="K16">
        <v>0.6</v>
      </c>
      <c r="M16" t="s">
        <v>1357</v>
      </c>
      <c r="N16" t="s">
        <v>1516</v>
      </c>
      <c r="P16">
        <v>0</v>
      </c>
      <c r="Q16">
        <v>0</v>
      </c>
      <c r="R16">
        <v>0</v>
      </c>
      <c r="S16" t="s">
        <v>1375</v>
      </c>
      <c r="T16">
        <v>56078603</v>
      </c>
    </row>
    <row r="17" spans="3:20" x14ac:dyDescent="0.2">
      <c r="C17">
        <v>275444</v>
      </c>
      <c r="D17" t="s">
        <v>1293</v>
      </c>
      <c r="E17" t="s">
        <v>1301</v>
      </c>
      <c r="F17">
        <v>443</v>
      </c>
      <c r="G17" t="s">
        <v>1375</v>
      </c>
      <c r="I17" t="s">
        <v>1306</v>
      </c>
      <c r="K17">
        <v>0</v>
      </c>
      <c r="P17">
        <v>0</v>
      </c>
      <c r="Q17">
        <v>0</v>
      </c>
      <c r="R17">
        <v>0</v>
      </c>
      <c r="S17" t="s">
        <v>1375</v>
      </c>
      <c r="T17">
        <v>56078603</v>
      </c>
    </row>
    <row r="18" spans="3:20" x14ac:dyDescent="0.2">
      <c r="C18">
        <v>275445</v>
      </c>
      <c r="D18" t="s">
        <v>1303</v>
      </c>
      <c r="E18" t="s">
        <v>1301</v>
      </c>
      <c r="F18">
        <v>807</v>
      </c>
      <c r="G18" t="s">
        <v>1375</v>
      </c>
      <c r="H18" t="s">
        <v>1509</v>
      </c>
      <c r="I18" t="s">
        <v>1306</v>
      </c>
      <c r="J18" t="s">
        <v>1512</v>
      </c>
      <c r="K18">
        <v>0.6</v>
      </c>
      <c r="M18" t="s">
        <v>1357</v>
      </c>
      <c r="N18" t="s">
        <v>1516</v>
      </c>
      <c r="P18">
        <v>0</v>
      </c>
      <c r="Q18">
        <v>0</v>
      </c>
      <c r="R18">
        <v>0</v>
      </c>
      <c r="S18" t="s">
        <v>1375</v>
      </c>
      <c r="T18">
        <v>56078603</v>
      </c>
    </row>
    <row r="19" spans="3:20" x14ac:dyDescent="0.2">
      <c r="C19">
        <v>275437</v>
      </c>
      <c r="D19" t="s">
        <v>1261</v>
      </c>
      <c r="E19" t="s">
        <v>1270</v>
      </c>
      <c r="F19">
        <v>201</v>
      </c>
      <c r="G19" t="s">
        <v>1375</v>
      </c>
      <c r="H19" t="s">
        <v>1517</v>
      </c>
      <c r="K19">
        <v>4</v>
      </c>
      <c r="M19" t="s">
        <v>1375</v>
      </c>
      <c r="S19" t="s">
        <v>1375</v>
      </c>
      <c r="T19">
        <v>56078603</v>
      </c>
    </row>
    <row r="20" spans="3:20" x14ac:dyDescent="0.2">
      <c r="C20">
        <v>275435</v>
      </c>
      <c r="D20" t="s">
        <v>1254</v>
      </c>
      <c r="E20" t="s">
        <v>1246</v>
      </c>
      <c r="F20">
        <v>441</v>
      </c>
      <c r="G20" t="s">
        <v>1375</v>
      </c>
      <c r="H20" t="s">
        <v>1509</v>
      </c>
      <c r="I20" t="s">
        <v>1514</v>
      </c>
      <c r="K20">
        <v>1.05</v>
      </c>
      <c r="M20" t="s">
        <v>1357</v>
      </c>
      <c r="R20">
        <v>0</v>
      </c>
      <c r="S20" t="s">
        <v>1375</v>
      </c>
      <c r="T20">
        <v>56078603</v>
      </c>
    </row>
    <row r="21" spans="3:20" x14ac:dyDescent="0.2">
      <c r="C21">
        <v>275428</v>
      </c>
      <c r="D21" t="s">
        <v>1171</v>
      </c>
      <c r="E21" t="s">
        <v>1182</v>
      </c>
      <c r="F21">
        <v>449</v>
      </c>
      <c r="G21" t="s">
        <v>1357</v>
      </c>
      <c r="H21" t="s">
        <v>1509</v>
      </c>
      <c r="K21">
        <v>0.21</v>
      </c>
      <c r="N21" t="s">
        <v>1514</v>
      </c>
      <c r="P21">
        <v>0</v>
      </c>
      <c r="Q21">
        <v>0</v>
      </c>
      <c r="R21">
        <v>0</v>
      </c>
      <c r="S21" t="s">
        <v>1375</v>
      </c>
      <c r="T21">
        <v>56078603</v>
      </c>
    </row>
    <row r="22" spans="3:20" x14ac:dyDescent="0.2">
      <c r="C22">
        <v>275429</v>
      </c>
      <c r="D22" t="s">
        <v>1184</v>
      </c>
      <c r="E22" t="s">
        <v>1182</v>
      </c>
      <c r="F22">
        <v>92</v>
      </c>
      <c r="G22" t="s">
        <v>1357</v>
      </c>
      <c r="H22" t="s">
        <v>1509</v>
      </c>
      <c r="K22">
        <v>0.21</v>
      </c>
      <c r="N22" t="s">
        <v>1514</v>
      </c>
      <c r="P22">
        <v>0</v>
      </c>
      <c r="Q22">
        <v>0</v>
      </c>
      <c r="R22">
        <v>0</v>
      </c>
      <c r="S22" t="s">
        <v>1375</v>
      </c>
      <c r="T22">
        <v>56078603</v>
      </c>
    </row>
    <row r="23" spans="3:20" x14ac:dyDescent="0.2">
      <c r="C23">
        <v>275436</v>
      </c>
      <c r="D23" t="s">
        <v>1197</v>
      </c>
      <c r="E23" t="s">
        <v>1204</v>
      </c>
      <c r="F23">
        <v>416</v>
      </c>
      <c r="G23" t="s">
        <v>1375</v>
      </c>
      <c r="H23" t="s">
        <v>1509</v>
      </c>
      <c r="K23">
        <v>0.7</v>
      </c>
      <c r="M23" t="s">
        <v>1357</v>
      </c>
      <c r="N23" t="s">
        <v>1518</v>
      </c>
      <c r="P23">
        <v>0</v>
      </c>
      <c r="S23" t="s">
        <v>1357</v>
      </c>
      <c r="T23">
        <v>56078603</v>
      </c>
    </row>
    <row r="24" spans="3:20" x14ac:dyDescent="0.2">
      <c r="C24">
        <v>275430</v>
      </c>
      <c r="D24" t="s">
        <v>1188</v>
      </c>
      <c r="E24" t="s">
        <v>1196</v>
      </c>
      <c r="F24">
        <v>713</v>
      </c>
      <c r="G24" t="s">
        <v>1375</v>
      </c>
      <c r="H24" t="s">
        <v>1509</v>
      </c>
      <c r="K24">
        <v>0.9</v>
      </c>
      <c r="M24" t="s">
        <v>1375</v>
      </c>
      <c r="N24" t="s">
        <v>1195</v>
      </c>
      <c r="S24" t="s">
        <v>1375</v>
      </c>
      <c r="T24">
        <v>56078603</v>
      </c>
    </row>
    <row r="25" spans="3:20" x14ac:dyDescent="0.2">
      <c r="C25">
        <v>275431</v>
      </c>
      <c r="D25" t="s">
        <v>1227</v>
      </c>
      <c r="E25" t="s">
        <v>1196</v>
      </c>
      <c r="F25">
        <v>453</v>
      </c>
      <c r="G25" t="s">
        <v>1375</v>
      </c>
      <c r="H25" t="s">
        <v>1517</v>
      </c>
      <c r="K25">
        <v>0.9</v>
      </c>
      <c r="M25" t="s">
        <v>1357</v>
      </c>
      <c r="N25" t="s">
        <v>1519</v>
      </c>
      <c r="P25">
        <v>1.43</v>
      </c>
      <c r="R25">
        <v>0</v>
      </c>
      <c r="S25" t="s">
        <v>1357</v>
      </c>
      <c r="T25">
        <v>56078603</v>
      </c>
    </row>
    <row r="26" spans="3:20" x14ac:dyDescent="0.2">
      <c r="C26">
        <v>275438</v>
      </c>
      <c r="D26" t="s">
        <v>1271</v>
      </c>
      <c r="E26" t="s">
        <v>1279</v>
      </c>
      <c r="F26">
        <v>204</v>
      </c>
      <c r="G26" t="s">
        <v>1375</v>
      </c>
      <c r="T26">
        <v>56078603</v>
      </c>
    </row>
    <row r="27" spans="3:20" x14ac:dyDescent="0.2">
      <c r="C27">
        <v>275447</v>
      </c>
      <c r="D27" t="s">
        <v>1315</v>
      </c>
      <c r="E27" t="s">
        <v>1301</v>
      </c>
      <c r="F27">
        <v>56</v>
      </c>
      <c r="G27" t="s">
        <v>1375</v>
      </c>
      <c r="I27" t="s">
        <v>1306</v>
      </c>
      <c r="K27">
        <v>0</v>
      </c>
      <c r="P27">
        <v>0</v>
      </c>
      <c r="Q27">
        <v>0</v>
      </c>
      <c r="R27">
        <v>0</v>
      </c>
      <c r="S27" t="s">
        <v>1375</v>
      </c>
      <c r="T27">
        <v>56078603</v>
      </c>
    </row>
    <row r="28" spans="3:20" x14ac:dyDescent="0.2">
      <c r="C28">
        <v>228631</v>
      </c>
      <c r="D28" t="s">
        <v>1351</v>
      </c>
      <c r="E28" t="s">
        <v>1212</v>
      </c>
      <c r="F28">
        <v>1</v>
      </c>
      <c r="G28" t="s">
        <v>1375</v>
      </c>
      <c r="I28" t="s">
        <v>1511</v>
      </c>
      <c r="K28">
        <v>0</v>
      </c>
      <c r="L28" t="s">
        <v>1206</v>
      </c>
      <c r="N28" t="s">
        <v>1209</v>
      </c>
      <c r="P28">
        <v>0</v>
      </c>
      <c r="Q28">
        <v>0</v>
      </c>
      <c r="R28">
        <v>0</v>
      </c>
      <c r="T28">
        <v>56078603</v>
      </c>
    </row>
    <row r="29" spans="3:20" x14ac:dyDescent="0.2">
      <c r="C29">
        <v>228632</v>
      </c>
      <c r="D29" t="s">
        <v>1351</v>
      </c>
      <c r="E29" t="s">
        <v>1212</v>
      </c>
      <c r="F29">
        <v>1</v>
      </c>
      <c r="G29" t="s">
        <v>1375</v>
      </c>
      <c r="H29" t="s">
        <v>1509</v>
      </c>
      <c r="I29" t="s">
        <v>1511</v>
      </c>
      <c r="J29" t="s">
        <v>1512</v>
      </c>
      <c r="K29">
        <v>0.60000002384185791</v>
      </c>
      <c r="L29" t="s">
        <v>1206</v>
      </c>
      <c r="N29" t="s">
        <v>1209</v>
      </c>
      <c r="P29">
        <v>0</v>
      </c>
      <c r="Q29">
        <v>0</v>
      </c>
      <c r="R29">
        <v>0</v>
      </c>
      <c r="T29">
        <v>56078603</v>
      </c>
    </row>
    <row r="30" spans="3:20" x14ac:dyDescent="0.2">
      <c r="C30">
        <v>228633</v>
      </c>
      <c r="D30" t="s">
        <v>1351</v>
      </c>
      <c r="E30" t="s">
        <v>1212</v>
      </c>
      <c r="F30">
        <v>1</v>
      </c>
      <c r="G30" t="s">
        <v>1375</v>
      </c>
      <c r="H30" t="s">
        <v>1509</v>
      </c>
      <c r="I30" t="s">
        <v>1511</v>
      </c>
      <c r="J30" t="s">
        <v>1513</v>
      </c>
      <c r="K30">
        <v>15</v>
      </c>
      <c r="L30" t="s">
        <v>1206</v>
      </c>
      <c r="N30" t="s">
        <v>1209</v>
      </c>
      <c r="P30">
        <v>0</v>
      </c>
      <c r="Q30">
        <v>0</v>
      </c>
      <c r="R30">
        <v>0</v>
      </c>
      <c r="T30">
        <v>56078603</v>
      </c>
    </row>
    <row r="31" spans="3:20" x14ac:dyDescent="0.2">
      <c r="C31">
        <v>275441</v>
      </c>
      <c r="D31" t="s">
        <v>1424</v>
      </c>
      <c r="E31" t="s">
        <v>1287</v>
      </c>
      <c r="F31">
        <v>682</v>
      </c>
      <c r="G31" t="s">
        <v>1375</v>
      </c>
      <c r="I31" t="s">
        <v>1387</v>
      </c>
      <c r="K31">
        <v>0</v>
      </c>
      <c r="N31" t="s">
        <v>1387</v>
      </c>
      <c r="T31">
        <v>56078603</v>
      </c>
    </row>
    <row r="32" spans="3:20" x14ac:dyDescent="0.2">
      <c r="C32">
        <v>275439</v>
      </c>
      <c r="D32" t="s">
        <v>1280</v>
      </c>
      <c r="E32" t="s">
        <v>1287</v>
      </c>
      <c r="F32">
        <v>526</v>
      </c>
      <c r="G32" t="s">
        <v>1375</v>
      </c>
      <c r="H32" t="s">
        <v>1509</v>
      </c>
      <c r="I32" t="s">
        <v>1520</v>
      </c>
      <c r="J32" t="s">
        <v>1512</v>
      </c>
      <c r="K32">
        <v>0.3</v>
      </c>
      <c r="M32" t="s">
        <v>1357</v>
      </c>
      <c r="N32" t="s">
        <v>1521</v>
      </c>
      <c r="P32">
        <v>0</v>
      </c>
      <c r="R32">
        <v>0</v>
      </c>
      <c r="S32" t="s">
        <v>1375</v>
      </c>
      <c r="T32">
        <v>56078603</v>
      </c>
    </row>
    <row r="33" spans="3:20" x14ac:dyDescent="0.2">
      <c r="C33">
        <v>275442</v>
      </c>
      <c r="D33" t="s">
        <v>1386</v>
      </c>
      <c r="E33" t="s">
        <v>1287</v>
      </c>
      <c r="F33">
        <v>672</v>
      </c>
      <c r="G33" t="s">
        <v>1375</v>
      </c>
      <c r="I33" t="s">
        <v>1387</v>
      </c>
      <c r="K33">
        <v>0</v>
      </c>
      <c r="N33" t="s">
        <v>1387</v>
      </c>
      <c r="T33">
        <v>56078603</v>
      </c>
    </row>
    <row r="34" spans="3:20" x14ac:dyDescent="0.2">
      <c r="C34">
        <v>275440</v>
      </c>
      <c r="D34" t="s">
        <v>1289</v>
      </c>
      <c r="E34" t="s">
        <v>1287</v>
      </c>
      <c r="F34">
        <v>23</v>
      </c>
      <c r="G34" t="s">
        <v>1375</v>
      </c>
      <c r="H34" t="s">
        <v>1509</v>
      </c>
      <c r="I34" t="s">
        <v>1522</v>
      </c>
      <c r="J34" t="s">
        <v>1512</v>
      </c>
      <c r="K34">
        <v>0.9</v>
      </c>
      <c r="M34" t="s">
        <v>1357</v>
      </c>
      <c r="N34" t="s">
        <v>1521</v>
      </c>
      <c r="P34">
        <v>0</v>
      </c>
      <c r="R34">
        <v>0</v>
      </c>
      <c r="S34" t="s">
        <v>1357</v>
      </c>
      <c r="T34">
        <v>56078603</v>
      </c>
    </row>
    <row r="35" spans="3:20" x14ac:dyDescent="0.2">
      <c r="C35">
        <v>275443</v>
      </c>
      <c r="D35" t="s">
        <v>1392</v>
      </c>
      <c r="E35" t="s">
        <v>1287</v>
      </c>
      <c r="F35">
        <v>51</v>
      </c>
      <c r="G35" t="s">
        <v>1375</v>
      </c>
      <c r="I35" t="s">
        <v>1387</v>
      </c>
      <c r="K35">
        <v>0</v>
      </c>
      <c r="N35" t="s">
        <v>1387</v>
      </c>
      <c r="T35">
        <v>56078603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71"/>
  <dimension ref="C2:R25"/>
  <sheetViews>
    <sheetView rightToLeft="1" workbookViewId="0">
      <selection activeCell="AL8" sqref="AL8"/>
    </sheetView>
  </sheetViews>
  <sheetFormatPr defaultRowHeight="12.75" x14ac:dyDescent="0.2"/>
  <cols>
    <col min="7" max="7" width="9.140625" style="1021"/>
    <col min="9" max="9" width="11.7109375" customWidth="1"/>
    <col min="10" max="10" width="10.85546875" customWidth="1"/>
    <col min="17" max="17" width="9.140625" style="1021"/>
  </cols>
  <sheetData>
    <row r="2" spans="3:18" ht="23.25" x14ac:dyDescent="0.35">
      <c r="J2" s="10" t="s">
        <v>184</v>
      </c>
    </row>
    <row r="5" spans="3:18" ht="37.5" customHeight="1" x14ac:dyDescent="0.2">
      <c r="C5" s="4" t="s">
        <v>0</v>
      </c>
      <c r="D5" s="4" t="s">
        <v>2</v>
      </c>
      <c r="E5" s="4" t="s">
        <v>37</v>
      </c>
      <c r="F5" s="4"/>
      <c r="G5" s="1022" t="s">
        <v>145</v>
      </c>
      <c r="H5" s="4" t="s">
        <v>146</v>
      </c>
      <c r="I5" s="4" t="s">
        <v>140</v>
      </c>
      <c r="J5" s="4" t="s">
        <v>147</v>
      </c>
      <c r="K5" s="4" t="s">
        <v>146</v>
      </c>
      <c r="L5" s="4" t="s">
        <v>1</v>
      </c>
      <c r="M5" s="4" t="s">
        <v>83</v>
      </c>
      <c r="N5" s="4" t="s">
        <v>151</v>
      </c>
      <c r="O5" s="4" t="s">
        <v>152</v>
      </c>
      <c r="P5" s="4" t="s">
        <v>83</v>
      </c>
      <c r="Q5" s="1022" t="s">
        <v>3</v>
      </c>
      <c r="R5" s="4" t="s">
        <v>83</v>
      </c>
    </row>
    <row r="6" spans="3:18" x14ac:dyDescent="0.2">
      <c r="C6">
        <v>90647</v>
      </c>
      <c r="D6" t="s">
        <v>1214</v>
      </c>
      <c r="E6" t="s">
        <v>1222</v>
      </c>
      <c r="F6">
        <v>662</v>
      </c>
      <c r="L6">
        <v>56078603</v>
      </c>
      <c r="P6" t="s">
        <v>1523</v>
      </c>
      <c r="Q6" s="1021" t="s">
        <v>1173</v>
      </c>
    </row>
    <row r="7" spans="3:18" x14ac:dyDescent="0.2">
      <c r="C7">
        <v>90648</v>
      </c>
      <c r="D7" t="s">
        <v>1225</v>
      </c>
      <c r="E7" t="s">
        <v>1222</v>
      </c>
      <c r="F7">
        <v>624</v>
      </c>
      <c r="L7">
        <v>56078603</v>
      </c>
      <c r="P7" t="s">
        <v>1524</v>
      </c>
      <c r="Q7" s="1021" t="s">
        <v>1173</v>
      </c>
    </row>
    <row r="8" spans="3:18" x14ac:dyDescent="0.2">
      <c r="C8">
        <v>90649</v>
      </c>
      <c r="D8" t="s">
        <v>1171</v>
      </c>
      <c r="E8" t="s">
        <v>1182</v>
      </c>
      <c r="F8">
        <v>449</v>
      </c>
      <c r="L8">
        <v>56078603</v>
      </c>
      <c r="P8" t="s">
        <v>1525</v>
      </c>
      <c r="Q8" s="1021" t="s">
        <v>1173</v>
      </c>
    </row>
    <row r="9" spans="3:18" x14ac:dyDescent="0.2">
      <c r="C9">
        <v>90650</v>
      </c>
      <c r="D9" t="s">
        <v>1184</v>
      </c>
      <c r="E9" t="s">
        <v>1182</v>
      </c>
      <c r="F9">
        <v>92</v>
      </c>
      <c r="G9" s="1021" t="s">
        <v>1187</v>
      </c>
      <c r="H9">
        <v>2657.81</v>
      </c>
      <c r="J9" t="s">
        <v>1526</v>
      </c>
      <c r="K9">
        <v>2657.81</v>
      </c>
      <c r="L9">
        <v>56078603</v>
      </c>
      <c r="M9">
        <v>1</v>
      </c>
      <c r="P9" t="s">
        <v>1527</v>
      </c>
      <c r="Q9" s="1021" t="s">
        <v>1173</v>
      </c>
    </row>
    <row r="10" spans="3:18" x14ac:dyDescent="0.2">
      <c r="C10">
        <v>90651</v>
      </c>
      <c r="D10" t="s">
        <v>1188</v>
      </c>
      <c r="E10" t="s">
        <v>1196</v>
      </c>
      <c r="F10">
        <v>713</v>
      </c>
      <c r="G10" s="1021" t="s">
        <v>1528</v>
      </c>
      <c r="H10">
        <v>0</v>
      </c>
      <c r="J10" t="s">
        <v>1529</v>
      </c>
      <c r="K10">
        <v>0</v>
      </c>
      <c r="L10">
        <v>56078603</v>
      </c>
      <c r="M10">
        <v>2</v>
      </c>
      <c r="P10" t="s">
        <v>1530</v>
      </c>
      <c r="Q10" s="1021" t="s">
        <v>1173</v>
      </c>
    </row>
    <row r="11" spans="3:18" x14ac:dyDescent="0.2">
      <c r="C11">
        <v>90652</v>
      </c>
      <c r="D11" t="s">
        <v>1227</v>
      </c>
      <c r="E11" t="s">
        <v>1196</v>
      </c>
      <c r="F11">
        <v>453</v>
      </c>
      <c r="G11" s="1021" t="s">
        <v>1236</v>
      </c>
      <c r="H11">
        <v>129.94999999999999</v>
      </c>
      <c r="J11" t="s">
        <v>1526</v>
      </c>
      <c r="K11">
        <v>129.94999999999999</v>
      </c>
      <c r="L11">
        <v>56078603</v>
      </c>
      <c r="M11">
        <v>1</v>
      </c>
      <c r="P11" t="s">
        <v>1531</v>
      </c>
      <c r="Q11" s="1021" t="s">
        <v>1173</v>
      </c>
    </row>
    <row r="12" spans="3:18" x14ac:dyDescent="0.2">
      <c r="C12">
        <v>90653</v>
      </c>
      <c r="D12" t="s">
        <v>1197</v>
      </c>
      <c r="E12" t="s">
        <v>1204</v>
      </c>
      <c r="F12">
        <v>416</v>
      </c>
      <c r="L12">
        <v>56078603</v>
      </c>
      <c r="P12" t="s">
        <v>1532</v>
      </c>
      <c r="Q12" s="1021" t="s">
        <v>1173</v>
      </c>
    </row>
    <row r="13" spans="3:18" x14ac:dyDescent="0.2">
      <c r="C13">
        <v>90654</v>
      </c>
      <c r="D13" t="s">
        <v>1261</v>
      </c>
      <c r="E13" t="s">
        <v>1270</v>
      </c>
      <c r="F13">
        <v>201</v>
      </c>
      <c r="G13" s="1021" t="s">
        <v>1528</v>
      </c>
      <c r="H13">
        <v>0</v>
      </c>
      <c r="J13" t="s">
        <v>1529</v>
      </c>
      <c r="K13">
        <v>0</v>
      </c>
      <c r="L13">
        <v>56078603</v>
      </c>
      <c r="M13">
        <v>2</v>
      </c>
      <c r="P13" t="s">
        <v>1533</v>
      </c>
      <c r="Q13" s="1021" t="s">
        <v>1173</v>
      </c>
    </row>
    <row r="14" spans="3:18" x14ac:dyDescent="0.2">
      <c r="C14">
        <v>90655</v>
      </c>
      <c r="D14" t="s">
        <v>1280</v>
      </c>
      <c r="E14" t="s">
        <v>1287</v>
      </c>
      <c r="F14">
        <v>526</v>
      </c>
      <c r="G14" s="1021" t="s">
        <v>1236</v>
      </c>
      <c r="H14">
        <v>180.72</v>
      </c>
      <c r="J14" t="s">
        <v>1526</v>
      </c>
      <c r="K14">
        <v>180.72</v>
      </c>
      <c r="L14">
        <v>56078603</v>
      </c>
      <c r="M14">
        <v>1</v>
      </c>
      <c r="P14" t="s">
        <v>1534</v>
      </c>
      <c r="Q14" s="1021" t="s">
        <v>1173</v>
      </c>
    </row>
    <row r="15" spans="3:18" x14ac:dyDescent="0.2">
      <c r="C15">
        <v>90656</v>
      </c>
      <c r="D15" t="s">
        <v>1289</v>
      </c>
      <c r="E15" t="s">
        <v>1287</v>
      </c>
      <c r="F15">
        <v>23</v>
      </c>
      <c r="G15" s="1021" t="s">
        <v>1236</v>
      </c>
      <c r="H15">
        <v>0</v>
      </c>
      <c r="J15" t="s">
        <v>1526</v>
      </c>
      <c r="K15">
        <v>0</v>
      </c>
      <c r="L15">
        <v>56078603</v>
      </c>
      <c r="M15">
        <v>1</v>
      </c>
      <c r="P15" t="s">
        <v>1535</v>
      </c>
      <c r="Q15" s="1021" t="s">
        <v>1173</v>
      </c>
    </row>
    <row r="16" spans="3:18" x14ac:dyDescent="0.2">
      <c r="C16">
        <v>90657</v>
      </c>
      <c r="D16" t="s">
        <v>1424</v>
      </c>
      <c r="E16" t="s">
        <v>1287</v>
      </c>
      <c r="F16">
        <v>682</v>
      </c>
      <c r="G16" s="1021" t="s">
        <v>1236</v>
      </c>
      <c r="H16">
        <v>0</v>
      </c>
      <c r="J16" t="s">
        <v>1526</v>
      </c>
      <c r="K16">
        <v>0</v>
      </c>
      <c r="L16">
        <v>56078603</v>
      </c>
      <c r="M16">
        <v>1</v>
      </c>
      <c r="P16" t="s">
        <v>1536</v>
      </c>
      <c r="Q16" s="1021" t="s">
        <v>1173</v>
      </c>
    </row>
    <row r="17" spans="3:17" x14ac:dyDescent="0.2">
      <c r="C17">
        <v>90658</v>
      </c>
      <c r="D17" t="s">
        <v>1386</v>
      </c>
      <c r="E17" t="s">
        <v>1287</v>
      </c>
      <c r="F17">
        <v>672</v>
      </c>
      <c r="G17" s="1021" t="s">
        <v>1236</v>
      </c>
      <c r="H17">
        <v>0</v>
      </c>
      <c r="J17" t="s">
        <v>1526</v>
      </c>
      <c r="K17">
        <v>0</v>
      </c>
      <c r="L17">
        <v>56078603</v>
      </c>
      <c r="M17">
        <v>1</v>
      </c>
      <c r="P17" t="s">
        <v>1537</v>
      </c>
      <c r="Q17" s="1021" t="s">
        <v>1173</v>
      </c>
    </row>
    <row r="18" spans="3:17" x14ac:dyDescent="0.2">
      <c r="C18">
        <v>90659</v>
      </c>
      <c r="D18" t="s">
        <v>1392</v>
      </c>
      <c r="E18" t="s">
        <v>1287</v>
      </c>
      <c r="F18">
        <v>51</v>
      </c>
      <c r="G18" s="1021" t="s">
        <v>1236</v>
      </c>
      <c r="H18">
        <v>0</v>
      </c>
      <c r="J18" t="s">
        <v>1526</v>
      </c>
      <c r="K18">
        <v>0</v>
      </c>
      <c r="L18">
        <v>56078603</v>
      </c>
      <c r="M18">
        <v>1</v>
      </c>
      <c r="P18" t="s">
        <v>1538</v>
      </c>
      <c r="Q18" s="1021" t="s">
        <v>1173</v>
      </c>
    </row>
    <row r="19" spans="3:17" x14ac:dyDescent="0.2">
      <c r="C19">
        <v>90660</v>
      </c>
      <c r="D19" t="s">
        <v>1293</v>
      </c>
      <c r="E19" t="s">
        <v>1301</v>
      </c>
      <c r="F19">
        <v>443</v>
      </c>
      <c r="G19" s="1021" t="s">
        <v>1302</v>
      </c>
      <c r="H19">
        <v>105</v>
      </c>
      <c r="I19" t="s">
        <v>1539</v>
      </c>
      <c r="J19" t="s">
        <v>1526</v>
      </c>
      <c r="K19">
        <v>105</v>
      </c>
      <c r="L19">
        <v>56078603</v>
      </c>
      <c r="M19">
        <v>1</v>
      </c>
      <c r="N19">
        <v>1.94</v>
      </c>
      <c r="O19">
        <v>104.05</v>
      </c>
      <c r="P19" t="s">
        <v>1540</v>
      </c>
      <c r="Q19" s="1021" t="s">
        <v>1173</v>
      </c>
    </row>
    <row r="20" spans="3:17" x14ac:dyDescent="0.2">
      <c r="C20">
        <v>90661</v>
      </c>
      <c r="D20" t="s">
        <v>1303</v>
      </c>
      <c r="E20" t="s">
        <v>1301</v>
      </c>
      <c r="F20">
        <v>807</v>
      </c>
      <c r="L20">
        <v>56078603</v>
      </c>
      <c r="P20" t="s">
        <v>1541</v>
      </c>
      <c r="Q20" s="1021" t="s">
        <v>1173</v>
      </c>
    </row>
    <row r="21" spans="3:17" x14ac:dyDescent="0.2">
      <c r="C21">
        <v>90662</v>
      </c>
      <c r="D21" t="s">
        <v>1309</v>
      </c>
      <c r="E21" t="s">
        <v>1301</v>
      </c>
      <c r="F21">
        <v>177</v>
      </c>
      <c r="G21" s="1021" t="s">
        <v>1302</v>
      </c>
      <c r="H21">
        <v>166</v>
      </c>
      <c r="I21" t="s">
        <v>1217</v>
      </c>
      <c r="J21" t="s">
        <v>1526</v>
      </c>
      <c r="K21">
        <v>166</v>
      </c>
      <c r="L21">
        <v>56078603</v>
      </c>
      <c r="M21">
        <v>1</v>
      </c>
      <c r="N21">
        <v>0</v>
      </c>
      <c r="O21">
        <v>166.91</v>
      </c>
      <c r="P21" t="s">
        <v>1542</v>
      </c>
      <c r="Q21" s="1021" t="s">
        <v>1173</v>
      </c>
    </row>
    <row r="22" spans="3:17" x14ac:dyDescent="0.2">
      <c r="C22">
        <v>90663</v>
      </c>
      <c r="D22" t="s">
        <v>1315</v>
      </c>
      <c r="E22" t="s">
        <v>1301</v>
      </c>
      <c r="F22">
        <v>56</v>
      </c>
      <c r="L22">
        <v>56078603</v>
      </c>
      <c r="P22" t="s">
        <v>1543</v>
      </c>
      <c r="Q22" s="1021" t="s">
        <v>1173</v>
      </c>
    </row>
    <row r="23" spans="3:17" x14ac:dyDescent="0.2">
      <c r="C23">
        <v>90664</v>
      </c>
      <c r="D23" t="s">
        <v>1321</v>
      </c>
      <c r="E23" t="s">
        <v>1301</v>
      </c>
      <c r="F23">
        <v>439</v>
      </c>
      <c r="L23">
        <v>56078603</v>
      </c>
      <c r="P23" t="s">
        <v>1544</v>
      </c>
      <c r="Q23" s="1021" t="s">
        <v>1173</v>
      </c>
    </row>
    <row r="24" spans="3:17" x14ac:dyDescent="0.2">
      <c r="C24">
        <v>90665</v>
      </c>
      <c r="D24" t="s">
        <v>1325</v>
      </c>
      <c r="E24" t="s">
        <v>1301</v>
      </c>
      <c r="F24">
        <v>384</v>
      </c>
      <c r="L24">
        <v>56078603</v>
      </c>
      <c r="P24" t="s">
        <v>1545</v>
      </c>
      <c r="Q24" s="1021" t="s">
        <v>1173</v>
      </c>
    </row>
    <row r="25" spans="3:17" x14ac:dyDescent="0.2">
      <c r="C25">
        <v>90666</v>
      </c>
      <c r="D25" t="s">
        <v>1330</v>
      </c>
      <c r="E25" t="s">
        <v>1339</v>
      </c>
      <c r="F25">
        <v>993</v>
      </c>
      <c r="G25" s="1021" t="s">
        <v>1236</v>
      </c>
      <c r="H25">
        <v>4010.17</v>
      </c>
      <c r="J25" t="s">
        <v>1526</v>
      </c>
      <c r="K25">
        <v>4010.17</v>
      </c>
      <c r="L25">
        <v>56078603</v>
      </c>
      <c r="M25">
        <v>1</v>
      </c>
      <c r="P25" t="s">
        <v>1546</v>
      </c>
      <c r="Q25" s="1021" t="s">
        <v>1332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81"/>
  <dimension ref="C2:T20"/>
  <sheetViews>
    <sheetView rightToLeft="1" workbookViewId="0">
      <selection activeCell="AL8" sqref="AL8"/>
    </sheetView>
  </sheetViews>
  <sheetFormatPr defaultRowHeight="12.75" x14ac:dyDescent="0.2"/>
  <cols>
    <col min="18" max="18" width="9.140625" style="1021"/>
  </cols>
  <sheetData>
    <row r="2" spans="3:20" ht="23.25" x14ac:dyDescent="0.35">
      <c r="J2" s="10" t="s">
        <v>185</v>
      </c>
    </row>
    <row r="5" spans="3:20" ht="31.5" x14ac:dyDescent="0.2">
      <c r="C5" s="4" t="s">
        <v>0</v>
      </c>
      <c r="D5" s="4" t="s">
        <v>2</v>
      </c>
      <c r="E5" s="4" t="s">
        <v>37</v>
      </c>
      <c r="F5" s="4" t="s">
        <v>83</v>
      </c>
      <c r="G5" s="4" t="s">
        <v>40</v>
      </c>
      <c r="H5" s="4" t="s">
        <v>148</v>
      </c>
      <c r="I5" s="4" t="s">
        <v>149</v>
      </c>
      <c r="J5" s="4" t="s">
        <v>150</v>
      </c>
      <c r="K5" s="4" t="s">
        <v>83</v>
      </c>
      <c r="L5" s="4" t="s">
        <v>83</v>
      </c>
      <c r="M5" s="4" t="s">
        <v>83</v>
      </c>
      <c r="N5" s="4" t="s">
        <v>83</v>
      </c>
      <c r="O5" s="4" t="s">
        <v>83</v>
      </c>
      <c r="P5" s="4" t="s">
        <v>83</v>
      </c>
      <c r="Q5" s="4" t="s">
        <v>1</v>
      </c>
      <c r="R5" s="1022" t="s">
        <v>3</v>
      </c>
      <c r="S5" s="4"/>
      <c r="T5" s="4"/>
    </row>
    <row r="6" spans="3:20" x14ac:dyDescent="0.2">
      <c r="C6">
        <v>142612</v>
      </c>
      <c r="D6" t="s">
        <v>1184</v>
      </c>
      <c r="E6" t="s">
        <v>1182</v>
      </c>
      <c r="F6">
        <v>92</v>
      </c>
      <c r="G6" t="s">
        <v>870</v>
      </c>
      <c r="H6" t="s">
        <v>1416</v>
      </c>
      <c r="I6" t="s">
        <v>1426</v>
      </c>
      <c r="J6">
        <v>474.61</v>
      </c>
      <c r="K6" t="s">
        <v>1547</v>
      </c>
      <c r="L6">
        <v>2</v>
      </c>
      <c r="M6">
        <v>8</v>
      </c>
      <c r="N6">
        <v>1</v>
      </c>
      <c r="O6">
        <v>2</v>
      </c>
      <c r="P6" t="s">
        <v>1527</v>
      </c>
      <c r="Q6">
        <v>56078603</v>
      </c>
      <c r="R6" s="1021" t="s">
        <v>1173</v>
      </c>
    </row>
    <row r="7" spans="3:20" x14ac:dyDescent="0.2">
      <c r="C7">
        <v>142613</v>
      </c>
      <c r="D7" t="s">
        <v>1184</v>
      </c>
      <c r="E7" t="s">
        <v>1182</v>
      </c>
      <c r="F7">
        <v>92</v>
      </c>
      <c r="G7" t="s">
        <v>870</v>
      </c>
      <c r="H7" t="s">
        <v>1417</v>
      </c>
      <c r="I7" t="s">
        <v>1426</v>
      </c>
      <c r="J7">
        <v>2183.1999999999998</v>
      </c>
      <c r="K7" t="s">
        <v>1547</v>
      </c>
      <c r="L7">
        <v>2</v>
      </c>
      <c r="M7">
        <v>9</v>
      </c>
      <c r="N7">
        <v>1</v>
      </c>
      <c r="O7">
        <v>2</v>
      </c>
      <c r="P7" t="s">
        <v>1527</v>
      </c>
      <c r="Q7">
        <v>56078603</v>
      </c>
      <c r="R7" s="1021" t="s">
        <v>1173</v>
      </c>
    </row>
    <row r="8" spans="3:20" x14ac:dyDescent="0.2">
      <c r="C8">
        <v>142614</v>
      </c>
      <c r="D8" t="s">
        <v>1188</v>
      </c>
      <c r="E8" t="s">
        <v>1196</v>
      </c>
      <c r="F8">
        <v>713</v>
      </c>
      <c r="G8" t="s">
        <v>870</v>
      </c>
      <c r="H8" t="s">
        <v>1416</v>
      </c>
      <c r="I8" t="s">
        <v>626</v>
      </c>
      <c r="J8">
        <v>6720</v>
      </c>
      <c r="L8">
        <v>1</v>
      </c>
      <c r="M8">
        <v>8</v>
      </c>
      <c r="N8">
        <v>1</v>
      </c>
      <c r="O8">
        <v>1</v>
      </c>
      <c r="P8" t="s">
        <v>1530</v>
      </c>
      <c r="Q8">
        <v>56078603</v>
      </c>
      <c r="R8" s="1021" t="s">
        <v>1173</v>
      </c>
    </row>
    <row r="9" spans="3:20" x14ac:dyDescent="0.2">
      <c r="C9">
        <v>142615</v>
      </c>
      <c r="D9" t="s">
        <v>1227</v>
      </c>
      <c r="E9" t="s">
        <v>1196</v>
      </c>
      <c r="F9">
        <v>453</v>
      </c>
      <c r="G9" t="s">
        <v>1125</v>
      </c>
      <c r="H9" t="s">
        <v>16</v>
      </c>
      <c r="I9" t="s">
        <v>1426</v>
      </c>
      <c r="J9">
        <v>53.05</v>
      </c>
      <c r="K9" t="s">
        <v>1547</v>
      </c>
      <c r="L9">
        <v>2</v>
      </c>
      <c r="M9">
        <v>1</v>
      </c>
      <c r="N9">
        <v>2</v>
      </c>
      <c r="O9">
        <v>2</v>
      </c>
      <c r="P9" t="s">
        <v>1531</v>
      </c>
      <c r="Q9">
        <v>56078603</v>
      </c>
      <c r="R9" s="1021" t="s">
        <v>1173</v>
      </c>
    </row>
    <row r="10" spans="3:20" x14ac:dyDescent="0.2">
      <c r="C10">
        <v>142616</v>
      </c>
      <c r="D10" t="s">
        <v>1227</v>
      </c>
      <c r="E10" t="s">
        <v>1196</v>
      </c>
      <c r="F10">
        <v>453</v>
      </c>
      <c r="G10" t="s">
        <v>1125</v>
      </c>
      <c r="H10" t="s">
        <v>205</v>
      </c>
      <c r="I10" t="s">
        <v>626</v>
      </c>
      <c r="J10">
        <v>50.84</v>
      </c>
      <c r="K10" t="s">
        <v>1547</v>
      </c>
      <c r="L10">
        <v>1</v>
      </c>
      <c r="M10">
        <v>2</v>
      </c>
      <c r="N10">
        <v>2</v>
      </c>
      <c r="O10">
        <v>1</v>
      </c>
      <c r="P10" t="s">
        <v>1531</v>
      </c>
      <c r="Q10">
        <v>56078603</v>
      </c>
      <c r="R10" s="1021" t="s">
        <v>1173</v>
      </c>
    </row>
    <row r="11" spans="3:20" x14ac:dyDescent="0.2">
      <c r="C11">
        <v>142617</v>
      </c>
      <c r="D11" t="s">
        <v>1227</v>
      </c>
      <c r="E11" t="s">
        <v>1196</v>
      </c>
      <c r="F11">
        <v>453</v>
      </c>
      <c r="G11" t="s">
        <v>1125</v>
      </c>
      <c r="H11" t="s">
        <v>204</v>
      </c>
      <c r="I11" t="s">
        <v>1426</v>
      </c>
      <c r="J11">
        <v>55.26</v>
      </c>
      <c r="K11" t="s">
        <v>1547</v>
      </c>
      <c r="L11">
        <v>2</v>
      </c>
      <c r="M11">
        <v>3</v>
      </c>
      <c r="N11">
        <v>2</v>
      </c>
      <c r="O11">
        <v>2</v>
      </c>
      <c r="P11" t="s">
        <v>1531</v>
      </c>
      <c r="Q11">
        <v>56078603</v>
      </c>
      <c r="R11" s="1021" t="s">
        <v>1173</v>
      </c>
    </row>
    <row r="12" spans="3:20" x14ac:dyDescent="0.2">
      <c r="C12">
        <v>142618</v>
      </c>
      <c r="D12" t="s">
        <v>1261</v>
      </c>
      <c r="E12" t="s">
        <v>1270</v>
      </c>
      <c r="F12">
        <v>201</v>
      </c>
      <c r="G12" t="s">
        <v>1125</v>
      </c>
      <c r="H12" t="s">
        <v>205</v>
      </c>
      <c r="I12" t="s">
        <v>626</v>
      </c>
      <c r="J12">
        <v>0</v>
      </c>
      <c r="K12" t="s">
        <v>1548</v>
      </c>
      <c r="L12">
        <v>1</v>
      </c>
      <c r="M12">
        <v>2</v>
      </c>
      <c r="N12">
        <v>2</v>
      </c>
      <c r="O12">
        <v>1</v>
      </c>
      <c r="P12" t="s">
        <v>1533</v>
      </c>
      <c r="Q12">
        <v>56078603</v>
      </c>
      <c r="R12" s="1021" t="s">
        <v>1173</v>
      </c>
    </row>
    <row r="13" spans="3:20" x14ac:dyDescent="0.2">
      <c r="C13">
        <v>142619</v>
      </c>
      <c r="D13" t="s">
        <v>1280</v>
      </c>
      <c r="E13" t="s">
        <v>1287</v>
      </c>
      <c r="F13">
        <v>526</v>
      </c>
      <c r="G13" t="s">
        <v>1126</v>
      </c>
      <c r="H13" t="s">
        <v>205</v>
      </c>
      <c r="I13" t="s">
        <v>626</v>
      </c>
      <c r="J13">
        <v>87.95</v>
      </c>
      <c r="K13" t="s">
        <v>1549</v>
      </c>
      <c r="L13">
        <v>1</v>
      </c>
      <c r="M13">
        <v>2</v>
      </c>
      <c r="N13">
        <v>3</v>
      </c>
      <c r="O13">
        <v>1</v>
      </c>
      <c r="P13" t="s">
        <v>1534</v>
      </c>
      <c r="Q13">
        <v>56078603</v>
      </c>
      <c r="R13" s="1021" t="s">
        <v>1173</v>
      </c>
    </row>
    <row r="14" spans="3:20" x14ac:dyDescent="0.2">
      <c r="C14">
        <v>142620</v>
      </c>
      <c r="D14" t="s">
        <v>1280</v>
      </c>
      <c r="E14" t="s">
        <v>1287</v>
      </c>
      <c r="F14">
        <v>526</v>
      </c>
      <c r="G14" t="s">
        <v>1126</v>
      </c>
      <c r="H14" t="s">
        <v>204</v>
      </c>
      <c r="I14" t="s">
        <v>1426</v>
      </c>
      <c r="J14">
        <v>94.23</v>
      </c>
      <c r="K14" t="s">
        <v>1549</v>
      </c>
      <c r="L14">
        <v>2</v>
      </c>
      <c r="M14">
        <v>3</v>
      </c>
      <c r="N14">
        <v>3</v>
      </c>
      <c r="O14">
        <v>2</v>
      </c>
      <c r="P14" t="s">
        <v>1534</v>
      </c>
      <c r="Q14">
        <v>56078603</v>
      </c>
      <c r="R14" s="1021" t="s">
        <v>1173</v>
      </c>
    </row>
    <row r="15" spans="3:20" x14ac:dyDescent="0.2">
      <c r="C15">
        <v>142621</v>
      </c>
      <c r="D15" t="s">
        <v>1289</v>
      </c>
      <c r="E15" t="s">
        <v>1287</v>
      </c>
      <c r="F15">
        <v>23</v>
      </c>
      <c r="G15" t="s">
        <v>1126</v>
      </c>
      <c r="H15" t="s">
        <v>1462</v>
      </c>
      <c r="I15" t="s">
        <v>626</v>
      </c>
      <c r="J15">
        <v>0</v>
      </c>
      <c r="K15" t="s">
        <v>1547</v>
      </c>
      <c r="L15">
        <v>1</v>
      </c>
      <c r="M15">
        <v>4</v>
      </c>
      <c r="N15">
        <v>3</v>
      </c>
      <c r="O15">
        <v>1</v>
      </c>
      <c r="P15" t="s">
        <v>1535</v>
      </c>
      <c r="Q15">
        <v>56078603</v>
      </c>
      <c r="R15" s="1021" t="s">
        <v>1173</v>
      </c>
    </row>
    <row r="16" spans="3:20" x14ac:dyDescent="0.2">
      <c r="C16">
        <v>142622</v>
      </c>
      <c r="D16" t="s">
        <v>1293</v>
      </c>
      <c r="E16" t="s">
        <v>1301</v>
      </c>
      <c r="F16">
        <v>443</v>
      </c>
      <c r="G16" t="s">
        <v>1125</v>
      </c>
      <c r="H16" t="s">
        <v>1418</v>
      </c>
      <c r="I16" t="s">
        <v>626</v>
      </c>
      <c r="J16">
        <v>109.53</v>
      </c>
      <c r="K16" t="s">
        <v>1549</v>
      </c>
      <c r="L16">
        <v>1</v>
      </c>
      <c r="M16">
        <v>10</v>
      </c>
      <c r="N16">
        <v>2</v>
      </c>
      <c r="O16">
        <v>1</v>
      </c>
      <c r="P16" t="s">
        <v>1540</v>
      </c>
      <c r="Q16">
        <v>56078603</v>
      </c>
      <c r="R16" s="1021" t="s">
        <v>1173</v>
      </c>
    </row>
    <row r="17" spans="3:18" x14ac:dyDescent="0.2">
      <c r="C17">
        <v>142623</v>
      </c>
      <c r="D17" t="s">
        <v>1309</v>
      </c>
      <c r="E17" t="s">
        <v>1301</v>
      </c>
      <c r="F17">
        <v>177</v>
      </c>
      <c r="G17" t="s">
        <v>1125</v>
      </c>
      <c r="H17" t="s">
        <v>1462</v>
      </c>
      <c r="I17" t="s">
        <v>626</v>
      </c>
      <c r="J17">
        <v>166.91</v>
      </c>
      <c r="K17" t="s">
        <v>1549</v>
      </c>
      <c r="L17">
        <v>1</v>
      </c>
      <c r="M17">
        <v>4</v>
      </c>
      <c r="N17">
        <v>2</v>
      </c>
      <c r="O17">
        <v>1</v>
      </c>
      <c r="P17" t="s">
        <v>1542</v>
      </c>
      <c r="Q17">
        <v>56078603</v>
      </c>
      <c r="R17" s="1021" t="s">
        <v>1173</v>
      </c>
    </row>
    <row r="18" spans="3:18" x14ac:dyDescent="0.2">
      <c r="C18">
        <v>142624</v>
      </c>
      <c r="D18" t="s">
        <v>1330</v>
      </c>
      <c r="E18" t="s">
        <v>1339</v>
      </c>
      <c r="F18">
        <v>993</v>
      </c>
      <c r="G18" t="s">
        <v>1125</v>
      </c>
      <c r="H18" t="s">
        <v>16</v>
      </c>
      <c r="I18" t="s">
        <v>1426</v>
      </c>
      <c r="J18">
        <v>1173.71</v>
      </c>
      <c r="K18" t="s">
        <v>1547</v>
      </c>
      <c r="L18">
        <v>2</v>
      </c>
      <c r="M18">
        <v>1</v>
      </c>
      <c r="N18">
        <v>2</v>
      </c>
      <c r="O18">
        <v>2</v>
      </c>
      <c r="P18" t="s">
        <v>1546</v>
      </c>
      <c r="Q18">
        <v>56078603</v>
      </c>
      <c r="R18" s="1021" t="s">
        <v>1332</v>
      </c>
    </row>
    <row r="19" spans="3:18" x14ac:dyDescent="0.2">
      <c r="C19">
        <v>142625</v>
      </c>
      <c r="D19" t="s">
        <v>1330</v>
      </c>
      <c r="E19" t="s">
        <v>1339</v>
      </c>
      <c r="F19">
        <v>993</v>
      </c>
      <c r="G19" t="s">
        <v>1125</v>
      </c>
      <c r="H19" t="s">
        <v>205</v>
      </c>
      <c r="I19" t="s">
        <v>1426</v>
      </c>
      <c r="J19">
        <v>1369.33</v>
      </c>
      <c r="K19" t="s">
        <v>1547</v>
      </c>
      <c r="L19">
        <v>2</v>
      </c>
      <c r="M19">
        <v>2</v>
      </c>
      <c r="N19">
        <v>2</v>
      </c>
      <c r="O19">
        <v>2</v>
      </c>
      <c r="P19" t="s">
        <v>1546</v>
      </c>
      <c r="Q19">
        <v>56078603</v>
      </c>
      <c r="R19" s="1021" t="s">
        <v>1332</v>
      </c>
    </row>
    <row r="20" spans="3:18" x14ac:dyDescent="0.2">
      <c r="C20">
        <v>142626</v>
      </c>
      <c r="D20" t="s">
        <v>1330</v>
      </c>
      <c r="E20" t="s">
        <v>1339</v>
      </c>
      <c r="F20">
        <v>993</v>
      </c>
      <c r="G20" t="s">
        <v>1125</v>
      </c>
      <c r="H20" t="s">
        <v>204</v>
      </c>
      <c r="I20" t="s">
        <v>1426</v>
      </c>
      <c r="J20">
        <v>1467.13</v>
      </c>
      <c r="K20" t="s">
        <v>1547</v>
      </c>
      <c r="L20">
        <v>2</v>
      </c>
      <c r="M20">
        <v>3</v>
      </c>
      <c r="N20">
        <v>2</v>
      </c>
      <c r="O20">
        <v>2</v>
      </c>
      <c r="P20" t="s">
        <v>1546</v>
      </c>
      <c r="Q20">
        <v>56078603</v>
      </c>
      <c r="R20" s="1021" t="s">
        <v>1332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91"/>
  <dimension ref="C2:E5"/>
  <sheetViews>
    <sheetView rightToLeft="1" workbookViewId="0">
      <selection activeCell="AL8" sqref="AL8"/>
    </sheetView>
  </sheetViews>
  <sheetFormatPr defaultRowHeight="12.75" x14ac:dyDescent="0.2"/>
  <cols>
    <col min="4" max="4" width="11.42578125" customWidth="1"/>
    <col min="5" max="5" width="12.7109375" customWidth="1"/>
  </cols>
  <sheetData>
    <row r="2" spans="3:5" ht="23.25" x14ac:dyDescent="0.35">
      <c r="D2" s="10" t="s">
        <v>186</v>
      </c>
    </row>
    <row r="5" spans="3:5" ht="31.5" x14ac:dyDescent="0.25">
      <c r="C5" s="3" t="s">
        <v>0</v>
      </c>
      <c r="D5" s="3" t="s">
        <v>2</v>
      </c>
      <c r="E5" s="3" t="s">
        <v>173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8"/>
  <dimension ref="C2:M31"/>
  <sheetViews>
    <sheetView rightToLeft="1" topLeftCell="C1" workbookViewId="0">
      <selection activeCell="AL8" sqref="AL8"/>
    </sheetView>
  </sheetViews>
  <sheetFormatPr defaultRowHeight="12.75" x14ac:dyDescent="0.2"/>
  <cols>
    <col min="3" max="3" width="12.7109375" customWidth="1"/>
    <col min="4" max="4" width="13.42578125" customWidth="1"/>
    <col min="5" max="5" width="15.28515625" customWidth="1"/>
    <col min="6" max="6" width="13.42578125" customWidth="1"/>
    <col min="7" max="7" width="16.140625" customWidth="1"/>
    <col min="8" max="8" width="18.42578125" customWidth="1"/>
    <col min="9" max="9" width="20.5703125" customWidth="1"/>
  </cols>
  <sheetData>
    <row r="2" spans="3:13" ht="23.25" x14ac:dyDescent="0.35">
      <c r="F2" s="10" t="s">
        <v>187</v>
      </c>
    </row>
    <row r="4" spans="3:13" ht="13.5" thickBot="1" x14ac:dyDescent="0.25"/>
    <row r="5" spans="3:13" ht="30.75" thickBot="1" x14ac:dyDescent="0.25">
      <c r="C5" s="1" t="s">
        <v>2</v>
      </c>
      <c r="D5" s="1" t="s">
        <v>8</v>
      </c>
      <c r="E5" s="1" t="s">
        <v>29</v>
      </c>
      <c r="F5" s="1" t="s">
        <v>30</v>
      </c>
      <c r="G5" s="1" t="s">
        <v>31</v>
      </c>
      <c r="H5" s="1" t="s">
        <v>32</v>
      </c>
      <c r="I5" s="1" t="s">
        <v>33</v>
      </c>
    </row>
    <row r="6" spans="3:13" x14ac:dyDescent="0.2">
      <c r="C6">
        <v>141605</v>
      </c>
      <c r="D6" t="s">
        <v>1330</v>
      </c>
      <c r="E6" t="s">
        <v>1339</v>
      </c>
      <c r="F6">
        <v>993</v>
      </c>
      <c r="G6" t="s">
        <v>508</v>
      </c>
      <c r="H6" t="s">
        <v>1550</v>
      </c>
      <c r="I6" t="s">
        <v>1426</v>
      </c>
      <c r="M6">
        <v>56078603</v>
      </c>
    </row>
    <row r="7" spans="3:13" x14ac:dyDescent="0.2">
      <c r="C7">
        <v>141581</v>
      </c>
      <c r="D7" t="s">
        <v>1214</v>
      </c>
      <c r="E7" t="s">
        <v>1222</v>
      </c>
      <c r="F7">
        <v>662</v>
      </c>
      <c r="G7" t="s">
        <v>509</v>
      </c>
      <c r="H7" t="s">
        <v>1330</v>
      </c>
      <c r="M7">
        <v>56078603</v>
      </c>
    </row>
    <row r="8" spans="3:13" x14ac:dyDescent="0.2">
      <c r="C8">
        <v>141582</v>
      </c>
      <c r="D8" t="s">
        <v>1225</v>
      </c>
      <c r="E8" t="s">
        <v>1222</v>
      </c>
      <c r="F8">
        <v>624</v>
      </c>
      <c r="G8" t="s">
        <v>508</v>
      </c>
      <c r="H8" t="s">
        <v>1551</v>
      </c>
      <c r="M8">
        <v>56078603</v>
      </c>
    </row>
    <row r="9" spans="3:13" x14ac:dyDescent="0.2">
      <c r="C9">
        <v>118574</v>
      </c>
      <c r="D9" t="s">
        <v>1205</v>
      </c>
      <c r="E9" t="s">
        <v>1212</v>
      </c>
      <c r="F9">
        <v>1</v>
      </c>
      <c r="G9" t="s">
        <v>508</v>
      </c>
      <c r="H9" t="s">
        <v>1254</v>
      </c>
      <c r="I9" t="s">
        <v>1458</v>
      </c>
      <c r="K9" t="s">
        <v>1209</v>
      </c>
      <c r="L9" t="s">
        <v>1209</v>
      </c>
      <c r="M9">
        <v>56078603</v>
      </c>
    </row>
    <row r="10" spans="3:13" x14ac:dyDescent="0.2">
      <c r="C10">
        <v>141587</v>
      </c>
      <c r="D10" t="s">
        <v>1237</v>
      </c>
      <c r="E10" t="s">
        <v>1246</v>
      </c>
      <c r="F10">
        <v>885</v>
      </c>
      <c r="G10" t="s">
        <v>508</v>
      </c>
      <c r="H10" t="s">
        <v>1552</v>
      </c>
      <c r="I10" t="s">
        <v>1426</v>
      </c>
      <c r="M10">
        <v>56078603</v>
      </c>
    </row>
    <row r="11" spans="3:13" x14ac:dyDescent="0.2">
      <c r="C11">
        <v>141588</v>
      </c>
      <c r="D11" t="s">
        <v>1247</v>
      </c>
      <c r="E11" t="s">
        <v>1246</v>
      </c>
      <c r="F11">
        <v>188</v>
      </c>
      <c r="G11" t="s">
        <v>508</v>
      </c>
      <c r="H11" t="s">
        <v>1553</v>
      </c>
      <c r="I11" t="s">
        <v>1426</v>
      </c>
      <c r="M11">
        <v>56078603</v>
      </c>
    </row>
    <row r="12" spans="3:13" x14ac:dyDescent="0.2">
      <c r="C12">
        <v>141603</v>
      </c>
      <c r="D12" t="s">
        <v>1321</v>
      </c>
      <c r="E12" t="s">
        <v>1301</v>
      </c>
      <c r="F12">
        <v>439</v>
      </c>
      <c r="G12" t="s">
        <v>508</v>
      </c>
      <c r="H12" t="s">
        <v>1554</v>
      </c>
      <c r="I12" t="s">
        <v>1426</v>
      </c>
      <c r="J12" t="s">
        <v>1555</v>
      </c>
      <c r="K12" t="s">
        <v>1556</v>
      </c>
      <c r="L12" t="s">
        <v>1557</v>
      </c>
      <c r="M12">
        <v>56078603</v>
      </c>
    </row>
    <row r="13" spans="3:13" x14ac:dyDescent="0.2">
      <c r="C13">
        <v>141604</v>
      </c>
      <c r="D13" t="s">
        <v>1325</v>
      </c>
      <c r="E13" t="s">
        <v>1301</v>
      </c>
      <c r="F13">
        <v>384</v>
      </c>
      <c r="G13" t="s">
        <v>508</v>
      </c>
      <c r="H13" t="s">
        <v>1558</v>
      </c>
      <c r="I13" t="s">
        <v>1426</v>
      </c>
      <c r="J13" t="s">
        <v>1559</v>
      </c>
      <c r="K13" t="s">
        <v>1254</v>
      </c>
      <c r="L13" t="s">
        <v>1560</v>
      </c>
      <c r="M13">
        <v>56078603</v>
      </c>
    </row>
    <row r="14" spans="3:13" x14ac:dyDescent="0.2">
      <c r="C14">
        <v>141601</v>
      </c>
      <c r="D14" t="s">
        <v>1309</v>
      </c>
      <c r="E14" t="s">
        <v>1301</v>
      </c>
      <c r="F14">
        <v>177</v>
      </c>
      <c r="G14" t="s">
        <v>509</v>
      </c>
      <c r="H14" t="s">
        <v>1254</v>
      </c>
      <c r="M14">
        <v>56078603</v>
      </c>
    </row>
    <row r="15" spans="3:13" x14ac:dyDescent="0.2">
      <c r="C15">
        <v>141599</v>
      </c>
      <c r="D15" t="s">
        <v>1293</v>
      </c>
      <c r="E15" t="s">
        <v>1301</v>
      </c>
      <c r="F15">
        <v>443</v>
      </c>
      <c r="G15" t="s">
        <v>21</v>
      </c>
      <c r="H15" t="s">
        <v>1254</v>
      </c>
      <c r="M15">
        <v>56078603</v>
      </c>
    </row>
    <row r="16" spans="3:13" x14ac:dyDescent="0.2">
      <c r="C16">
        <v>141600</v>
      </c>
      <c r="D16" t="s">
        <v>1303</v>
      </c>
      <c r="E16" t="s">
        <v>1301</v>
      </c>
      <c r="F16">
        <v>807</v>
      </c>
      <c r="G16" t="s">
        <v>21</v>
      </c>
      <c r="H16" t="s">
        <v>1254</v>
      </c>
      <c r="M16">
        <v>56078603</v>
      </c>
    </row>
    <row r="17" spans="3:13" x14ac:dyDescent="0.2">
      <c r="C17">
        <v>141592</v>
      </c>
      <c r="D17" t="s">
        <v>1261</v>
      </c>
      <c r="E17" t="s">
        <v>1270</v>
      </c>
      <c r="F17">
        <v>201</v>
      </c>
      <c r="G17" t="s">
        <v>508</v>
      </c>
      <c r="H17" t="s">
        <v>1561</v>
      </c>
      <c r="I17" t="s">
        <v>1426</v>
      </c>
      <c r="M17">
        <v>56078603</v>
      </c>
    </row>
    <row r="18" spans="3:13" x14ac:dyDescent="0.2">
      <c r="C18">
        <v>141590</v>
      </c>
      <c r="D18" t="s">
        <v>1254</v>
      </c>
      <c r="E18" t="s">
        <v>1246</v>
      </c>
      <c r="F18">
        <v>441</v>
      </c>
      <c r="G18" t="s">
        <v>508</v>
      </c>
      <c r="H18" t="s">
        <v>1562</v>
      </c>
      <c r="I18" t="s">
        <v>1458</v>
      </c>
      <c r="M18">
        <v>56078603</v>
      </c>
    </row>
    <row r="19" spans="3:13" x14ac:dyDescent="0.2">
      <c r="C19">
        <v>141583</v>
      </c>
      <c r="D19" t="s">
        <v>1171</v>
      </c>
      <c r="E19" t="s">
        <v>1182</v>
      </c>
      <c r="F19">
        <v>449</v>
      </c>
      <c r="G19" t="s">
        <v>508</v>
      </c>
      <c r="H19" t="s">
        <v>1563</v>
      </c>
      <c r="I19" t="s">
        <v>1458</v>
      </c>
      <c r="M19">
        <v>56078603</v>
      </c>
    </row>
    <row r="20" spans="3:13" x14ac:dyDescent="0.2">
      <c r="C20">
        <v>141584</v>
      </c>
      <c r="D20" t="s">
        <v>1184</v>
      </c>
      <c r="E20" t="s">
        <v>1182</v>
      </c>
      <c r="F20">
        <v>92</v>
      </c>
      <c r="G20" t="s">
        <v>508</v>
      </c>
      <c r="H20" t="s">
        <v>1564</v>
      </c>
      <c r="I20" t="s">
        <v>1426</v>
      </c>
      <c r="M20">
        <v>56078603</v>
      </c>
    </row>
    <row r="21" spans="3:13" x14ac:dyDescent="0.2">
      <c r="C21">
        <v>141591</v>
      </c>
      <c r="D21" t="s">
        <v>1197</v>
      </c>
      <c r="E21" t="s">
        <v>1204</v>
      </c>
      <c r="F21">
        <v>416</v>
      </c>
      <c r="G21" t="s">
        <v>508</v>
      </c>
      <c r="H21" t="s">
        <v>1565</v>
      </c>
      <c r="I21" t="s">
        <v>1426</v>
      </c>
      <c r="M21">
        <v>56078603</v>
      </c>
    </row>
    <row r="22" spans="3:13" x14ac:dyDescent="0.2">
      <c r="C22">
        <v>141585</v>
      </c>
      <c r="D22" t="s">
        <v>1188</v>
      </c>
      <c r="E22" t="s">
        <v>1196</v>
      </c>
      <c r="F22">
        <v>713</v>
      </c>
      <c r="G22" t="s">
        <v>509</v>
      </c>
      <c r="H22" t="s">
        <v>1561</v>
      </c>
      <c r="I22" t="s">
        <v>1426</v>
      </c>
      <c r="M22">
        <v>56078603</v>
      </c>
    </row>
    <row r="23" spans="3:13" x14ac:dyDescent="0.2">
      <c r="C23">
        <v>141586</v>
      </c>
      <c r="D23" t="s">
        <v>1227</v>
      </c>
      <c r="E23" t="s">
        <v>1196</v>
      </c>
      <c r="F23">
        <v>453</v>
      </c>
      <c r="G23" t="s">
        <v>508</v>
      </c>
      <c r="H23" t="s">
        <v>1566</v>
      </c>
      <c r="I23" t="s">
        <v>1426</v>
      </c>
      <c r="M23">
        <v>56078603</v>
      </c>
    </row>
    <row r="24" spans="3:13" x14ac:dyDescent="0.2">
      <c r="C24">
        <v>141593</v>
      </c>
      <c r="D24" t="s">
        <v>1271</v>
      </c>
      <c r="E24" t="s">
        <v>1279</v>
      </c>
      <c r="F24">
        <v>204</v>
      </c>
      <c r="G24" t="s">
        <v>508</v>
      </c>
      <c r="H24" t="s">
        <v>1567</v>
      </c>
      <c r="I24" t="s">
        <v>1426</v>
      </c>
      <c r="M24">
        <v>56078603</v>
      </c>
    </row>
    <row r="25" spans="3:13" x14ac:dyDescent="0.2">
      <c r="C25">
        <v>141602</v>
      </c>
      <c r="D25" t="s">
        <v>1315</v>
      </c>
      <c r="E25" t="s">
        <v>1301</v>
      </c>
      <c r="F25">
        <v>56</v>
      </c>
      <c r="G25" t="s">
        <v>21</v>
      </c>
      <c r="H25" t="s">
        <v>1254</v>
      </c>
      <c r="M25">
        <v>56078603</v>
      </c>
    </row>
    <row r="26" spans="3:13" x14ac:dyDescent="0.2">
      <c r="C26">
        <v>118494</v>
      </c>
      <c r="D26" t="s">
        <v>1351</v>
      </c>
      <c r="E26" t="s">
        <v>1212</v>
      </c>
      <c r="F26">
        <v>1</v>
      </c>
      <c r="G26" t="s">
        <v>508</v>
      </c>
      <c r="H26" t="s">
        <v>1568</v>
      </c>
      <c r="I26" t="s">
        <v>1426</v>
      </c>
      <c r="J26" t="s">
        <v>1569</v>
      </c>
      <c r="K26" t="s">
        <v>1568</v>
      </c>
      <c r="L26" t="s">
        <v>1570</v>
      </c>
      <c r="M26">
        <v>56078603</v>
      </c>
    </row>
    <row r="27" spans="3:13" x14ac:dyDescent="0.2">
      <c r="C27">
        <v>141596</v>
      </c>
      <c r="D27" t="s">
        <v>1424</v>
      </c>
      <c r="E27" t="s">
        <v>1287</v>
      </c>
      <c r="F27">
        <v>682</v>
      </c>
      <c r="G27" t="s">
        <v>21</v>
      </c>
      <c r="H27" t="s">
        <v>1254</v>
      </c>
      <c r="M27">
        <v>56078603</v>
      </c>
    </row>
    <row r="28" spans="3:13" x14ac:dyDescent="0.2">
      <c r="C28">
        <v>141594</v>
      </c>
      <c r="D28" t="s">
        <v>1280</v>
      </c>
      <c r="E28" t="s">
        <v>1287</v>
      </c>
      <c r="F28">
        <v>526</v>
      </c>
      <c r="G28" t="s">
        <v>508</v>
      </c>
      <c r="H28" t="s">
        <v>1571</v>
      </c>
      <c r="I28" t="s">
        <v>1426</v>
      </c>
      <c r="M28">
        <v>56078603</v>
      </c>
    </row>
    <row r="29" spans="3:13" x14ac:dyDescent="0.2">
      <c r="C29">
        <v>141597</v>
      </c>
      <c r="D29" t="s">
        <v>1386</v>
      </c>
      <c r="E29" t="s">
        <v>1287</v>
      </c>
      <c r="F29">
        <v>672</v>
      </c>
      <c r="G29" t="s">
        <v>21</v>
      </c>
      <c r="H29" t="s">
        <v>1254</v>
      </c>
      <c r="M29">
        <v>56078603</v>
      </c>
    </row>
    <row r="30" spans="3:13" x14ac:dyDescent="0.2">
      <c r="C30">
        <v>141595</v>
      </c>
      <c r="D30" t="s">
        <v>1289</v>
      </c>
      <c r="E30" t="s">
        <v>1287</v>
      </c>
      <c r="F30">
        <v>23</v>
      </c>
      <c r="G30" t="s">
        <v>509</v>
      </c>
      <c r="H30" t="s">
        <v>1254</v>
      </c>
      <c r="M30">
        <v>56078603</v>
      </c>
    </row>
    <row r="31" spans="3:13" x14ac:dyDescent="0.2">
      <c r="C31">
        <v>141598</v>
      </c>
      <c r="D31" t="s">
        <v>1392</v>
      </c>
      <c r="E31" t="s">
        <v>1287</v>
      </c>
      <c r="F31">
        <v>51</v>
      </c>
      <c r="G31" t="s">
        <v>21</v>
      </c>
      <c r="H31" t="s">
        <v>1254</v>
      </c>
      <c r="M31">
        <v>56078603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9"/>
  <dimension ref="C5:AJ24"/>
  <sheetViews>
    <sheetView rightToLeft="1" workbookViewId="0">
      <selection activeCell="AL8" sqref="AL8"/>
    </sheetView>
  </sheetViews>
  <sheetFormatPr defaultRowHeight="12.75" x14ac:dyDescent="0.2"/>
  <cols>
    <col min="5" max="5" width="13.42578125" customWidth="1"/>
    <col min="6" max="6" width="12.5703125" customWidth="1"/>
  </cols>
  <sheetData>
    <row r="5" spans="3:36" ht="15.75" x14ac:dyDescent="0.25">
      <c r="C5" s="2" t="s">
        <v>0</v>
      </c>
      <c r="D5" s="2" t="s">
        <v>1</v>
      </c>
      <c r="E5" s="2" t="s">
        <v>46</v>
      </c>
      <c r="F5" s="2" t="s">
        <v>47</v>
      </c>
      <c r="G5" s="2"/>
      <c r="H5" s="2" t="s">
        <v>48</v>
      </c>
      <c r="I5" s="2" t="s">
        <v>49</v>
      </c>
      <c r="J5" s="2"/>
      <c r="K5" s="2"/>
      <c r="L5" s="2" t="s">
        <v>50</v>
      </c>
      <c r="M5" s="2"/>
      <c r="N5" s="2" t="s">
        <v>51</v>
      </c>
      <c r="O5" s="2"/>
      <c r="P5" s="2" t="s">
        <v>52</v>
      </c>
      <c r="Q5" s="2"/>
      <c r="R5" s="2" t="s">
        <v>53</v>
      </c>
    </row>
    <row r="6" spans="3:36" x14ac:dyDescent="0.2">
      <c r="C6">
        <v>2936</v>
      </c>
      <c r="D6">
        <v>56078603</v>
      </c>
      <c r="E6" t="s">
        <v>1572</v>
      </c>
      <c r="F6" t="s">
        <v>1573</v>
      </c>
      <c r="H6" s="1021">
        <v>21920.083333333332</v>
      </c>
      <c r="I6" t="s">
        <v>842</v>
      </c>
      <c r="L6" t="s">
        <v>1574</v>
      </c>
      <c r="N6" t="s">
        <v>1575</v>
      </c>
      <c r="T6" t="s">
        <v>1209</v>
      </c>
      <c r="V6" t="s">
        <v>1209</v>
      </c>
      <c r="W6" t="s">
        <v>1209</v>
      </c>
      <c r="X6" t="s">
        <v>1209</v>
      </c>
      <c r="AE6">
        <v>116</v>
      </c>
      <c r="AG6">
        <v>41764.734632372689</v>
      </c>
      <c r="AI6" t="b">
        <v>0</v>
      </c>
      <c r="AJ6" t="b">
        <v>0</v>
      </c>
    </row>
    <row r="7" spans="3:36" x14ac:dyDescent="0.2">
      <c r="H7" s="1021"/>
    </row>
    <row r="8" spans="3:36" x14ac:dyDescent="0.2">
      <c r="H8" s="1021"/>
    </row>
    <row r="9" spans="3:36" x14ac:dyDescent="0.2">
      <c r="H9" s="1021"/>
    </row>
    <row r="10" spans="3:36" x14ac:dyDescent="0.2">
      <c r="H10" s="1021"/>
    </row>
    <row r="11" spans="3:36" x14ac:dyDescent="0.2">
      <c r="H11" s="1021"/>
    </row>
    <row r="12" spans="3:36" x14ac:dyDescent="0.2">
      <c r="H12" s="1021"/>
    </row>
    <row r="13" spans="3:36" x14ac:dyDescent="0.2">
      <c r="H13" s="1021"/>
    </row>
    <row r="14" spans="3:36" x14ac:dyDescent="0.2">
      <c r="H14" s="1021"/>
    </row>
    <row r="15" spans="3:36" x14ac:dyDescent="0.2">
      <c r="H15" s="1021"/>
    </row>
    <row r="16" spans="3:36" x14ac:dyDescent="0.2">
      <c r="H16" s="1021"/>
    </row>
    <row r="17" spans="8:8" x14ac:dyDescent="0.2">
      <c r="H17" s="1021"/>
    </row>
    <row r="18" spans="8:8" x14ac:dyDescent="0.2">
      <c r="H18" s="1021"/>
    </row>
    <row r="19" spans="8:8" x14ac:dyDescent="0.2">
      <c r="H19" s="1021"/>
    </row>
    <row r="20" spans="8:8" x14ac:dyDescent="0.2">
      <c r="H20" s="1021"/>
    </row>
    <row r="21" spans="8:8" x14ac:dyDescent="0.2">
      <c r="H21" s="1021"/>
    </row>
    <row r="22" spans="8:8" x14ac:dyDescent="0.2">
      <c r="H22" s="1021"/>
    </row>
    <row r="23" spans="8:8" x14ac:dyDescent="0.2">
      <c r="H23" s="1021"/>
    </row>
    <row r="24" spans="8:8" x14ac:dyDescent="0.2">
      <c r="H24" s="102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113"/>
  <dimension ref="A1:M51"/>
  <sheetViews>
    <sheetView rightToLeft="1" workbookViewId="0">
      <selection activeCell="AL8" sqref="AL8"/>
    </sheetView>
  </sheetViews>
  <sheetFormatPr defaultRowHeight="12.75" x14ac:dyDescent="0.2"/>
  <cols>
    <col min="1" max="1" width="9.140625" style="931"/>
    <col min="2" max="2" width="14" style="931" customWidth="1"/>
    <col min="3" max="3" width="10.28515625" style="931" customWidth="1"/>
    <col min="4" max="4" width="11.28515625" style="931" customWidth="1"/>
    <col min="5" max="6" width="9.5703125" style="931" customWidth="1"/>
    <col min="7" max="7" width="13.140625" style="931" customWidth="1"/>
    <col min="8" max="11" width="9.140625" style="931"/>
    <col min="13" max="13" width="9.140625" style="991"/>
    <col min="14" max="16384" width="9.140625" style="931"/>
  </cols>
  <sheetData>
    <row r="1" spans="1:13" ht="35.25" x14ac:dyDescent="0.5">
      <c r="B1" s="928"/>
      <c r="C1" s="928"/>
      <c r="D1" s="928"/>
      <c r="E1" s="929"/>
      <c r="F1" s="929"/>
      <c r="G1" s="929"/>
      <c r="H1" s="930" t="s">
        <v>489</v>
      </c>
      <c r="I1" s="929"/>
      <c r="K1" s="929"/>
    </row>
    <row r="2" spans="1:13" ht="18.75" x14ac:dyDescent="0.3">
      <c r="B2" s="932"/>
      <c r="C2" s="932"/>
      <c r="D2" s="932"/>
      <c r="E2" s="933"/>
      <c r="F2" s="933"/>
      <c r="G2" s="933"/>
      <c r="H2" s="937"/>
      <c r="I2" s="937"/>
      <c r="J2" s="937"/>
      <c r="K2" s="937"/>
    </row>
    <row r="3" spans="1:13" ht="18.75" x14ac:dyDescent="0.3">
      <c r="B3" s="932"/>
      <c r="C3" s="932"/>
      <c r="D3" s="932"/>
      <c r="E3" s="937"/>
      <c r="F3" s="937"/>
      <c r="G3" s="937"/>
      <c r="H3" s="937"/>
      <c r="I3" s="937"/>
      <c r="J3" s="937"/>
      <c r="K3" s="937"/>
    </row>
    <row r="4" spans="1:13" ht="13.5" thickBot="1" x14ac:dyDescent="0.25">
      <c r="B4" s="940"/>
      <c r="C4" s="940"/>
      <c r="D4" s="940"/>
      <c r="E4" s="941"/>
      <c r="F4" s="941"/>
      <c r="G4" s="941"/>
      <c r="H4" s="941"/>
      <c r="I4" s="941"/>
      <c r="J4" s="941"/>
      <c r="K4" s="941"/>
    </row>
    <row r="5" spans="1:13" ht="75.75" thickBot="1" x14ac:dyDescent="0.25">
      <c r="A5" s="986" t="s">
        <v>0</v>
      </c>
      <c r="B5" s="947" t="s">
        <v>494</v>
      </c>
      <c r="C5" s="984" t="s">
        <v>1075</v>
      </c>
      <c r="D5" s="984" t="s">
        <v>1076</v>
      </c>
      <c r="E5" s="948" t="s">
        <v>1056</v>
      </c>
      <c r="F5" s="949" t="s">
        <v>1063</v>
      </c>
      <c r="G5" s="951" t="s">
        <v>251</v>
      </c>
      <c r="H5" s="951" t="s">
        <v>311</v>
      </c>
      <c r="I5" s="951" t="s">
        <v>314</v>
      </c>
      <c r="J5" s="951" t="s">
        <v>1022</v>
      </c>
      <c r="K5" s="951" t="s">
        <v>1023</v>
      </c>
      <c r="M5" s="990" t="s">
        <v>1103</v>
      </c>
    </row>
    <row r="6" spans="1:13" ht="18.75" x14ac:dyDescent="0.2">
      <c r="A6" s="987">
        <f>IF(main!A9&gt;0,main!A9,"")</f>
        <v>1</v>
      </c>
      <c r="B6" s="1004" t="str">
        <f>IF(main!B9&gt;0,main!B9,"")</f>
        <v>1595222</v>
      </c>
      <c r="C6" s="952"/>
      <c r="D6" s="952"/>
      <c r="E6" s="952">
        <f>main!ED9</f>
        <v>0</v>
      </c>
      <c r="F6" s="952">
        <f>main!DX9</f>
        <v>0</v>
      </c>
      <c r="G6" s="952">
        <f>main!CT9</f>
        <v>0</v>
      </c>
      <c r="H6" s="952">
        <f>main!CY9</f>
        <v>0</v>
      </c>
      <c r="I6" s="952">
        <f>main!DB9</f>
        <v>0</v>
      </c>
      <c r="J6" s="952">
        <f>main!DR9</f>
        <v>0</v>
      </c>
      <c r="K6" s="952">
        <f>main!DO9</f>
        <v>0</v>
      </c>
      <c r="L6" s="997"/>
      <c r="M6" s="998">
        <f>main!DT9</f>
        <v>0</v>
      </c>
    </row>
    <row r="7" spans="1:13" ht="18.75" x14ac:dyDescent="0.2">
      <c r="A7" s="987">
        <f>IF(main!A10&gt;0,main!A10,"")</f>
        <v>2</v>
      </c>
      <c r="B7" s="1004" t="str">
        <f>IF(main!B10&gt;0,main!B10,"")</f>
        <v>1394362</v>
      </c>
      <c r="C7" s="952"/>
      <c r="D7" s="952"/>
      <c r="E7" s="952">
        <f>main!ED10</f>
        <v>0</v>
      </c>
      <c r="F7" s="952">
        <f>main!DX10</f>
        <v>0</v>
      </c>
      <c r="G7" s="952">
        <f>main!CT10</f>
        <v>0</v>
      </c>
      <c r="H7" s="952">
        <f>main!CY10</f>
        <v>0</v>
      </c>
      <c r="I7" s="952">
        <f>main!DB10</f>
        <v>0</v>
      </c>
      <c r="J7" s="952">
        <f>main!DR10</f>
        <v>0</v>
      </c>
      <c r="K7" s="952">
        <f>main!DO10</f>
        <v>0</v>
      </c>
      <c r="L7" s="997"/>
      <c r="M7" s="998">
        <f>main!DT10</f>
        <v>0</v>
      </c>
    </row>
    <row r="8" spans="1:13" ht="18.75" x14ac:dyDescent="0.2">
      <c r="A8" s="987">
        <f>IF(main!A11&gt;0,main!A11,"")</f>
        <v>3</v>
      </c>
      <c r="B8" s="1004" t="str">
        <f>IF(main!B11&gt;0,main!B11,"")</f>
        <v>1394370</v>
      </c>
      <c r="C8" s="952"/>
      <c r="D8" s="952"/>
      <c r="E8" s="952">
        <f>main!ED11</f>
        <v>0</v>
      </c>
      <c r="F8" s="952">
        <f>main!DX11</f>
        <v>0</v>
      </c>
      <c r="G8" s="952">
        <f>main!CT11</f>
        <v>0</v>
      </c>
      <c r="H8" s="952">
        <f>main!CY11</f>
        <v>0</v>
      </c>
      <c r="I8" s="952">
        <f>main!DB11</f>
        <v>0</v>
      </c>
      <c r="J8" s="952">
        <f>main!DR11</f>
        <v>0</v>
      </c>
      <c r="K8" s="952">
        <f>main!DO11</f>
        <v>0</v>
      </c>
      <c r="L8" s="997"/>
      <c r="M8" s="998">
        <f>main!DT11</f>
        <v>0</v>
      </c>
    </row>
    <row r="9" spans="1:13" ht="18.75" x14ac:dyDescent="0.2">
      <c r="A9" s="987">
        <f>IF(main!A12&gt;0,main!A12,"")</f>
        <v>4</v>
      </c>
      <c r="B9" s="1004" t="str">
        <f>IF(main!B12&gt;0,main!B12,"")</f>
        <v>630251455</v>
      </c>
      <c r="C9" s="952"/>
      <c r="D9" s="952"/>
      <c r="E9" s="952">
        <f>main!ED12</f>
        <v>713.34</v>
      </c>
      <c r="F9" s="952">
        <f>main!DX12</f>
        <v>423.25</v>
      </c>
      <c r="G9" s="952">
        <f>main!CT12</f>
        <v>0</v>
      </c>
      <c r="H9" s="952">
        <f>main!CY12</f>
        <v>0</v>
      </c>
      <c r="I9" s="952">
        <f>main!DB12</f>
        <v>0</v>
      </c>
      <c r="J9" s="952">
        <f>main!DR12</f>
        <v>178.37400000000002</v>
      </c>
      <c r="K9" s="952">
        <f>main!DO12</f>
        <v>0</v>
      </c>
      <c r="L9" s="997"/>
      <c r="M9" s="998">
        <f>main!DT12</f>
        <v>376.48</v>
      </c>
    </row>
    <row r="10" spans="1:13" ht="18.75" x14ac:dyDescent="0.2">
      <c r="A10" s="987">
        <f>IF(main!A13&gt;0,main!A13,"")</f>
        <v>5</v>
      </c>
      <c r="B10" s="1004" t="str">
        <f>IF(main!B13&gt;0,main!B13,"")</f>
        <v>20047373</v>
      </c>
      <c r="C10" s="952"/>
      <c r="D10" s="952"/>
      <c r="E10" s="952">
        <f>main!ED13</f>
        <v>0</v>
      </c>
      <c r="F10" s="952">
        <f>main!DX13</f>
        <v>0</v>
      </c>
      <c r="G10" s="952">
        <f>main!CT13</f>
        <v>0</v>
      </c>
      <c r="H10" s="952">
        <f>main!CY13</f>
        <v>0</v>
      </c>
      <c r="I10" s="952">
        <f>main!DB13</f>
        <v>0</v>
      </c>
      <c r="J10" s="952">
        <f>main!DR13</f>
        <v>0</v>
      </c>
      <c r="K10" s="952">
        <f>main!DO13</f>
        <v>0</v>
      </c>
      <c r="L10" s="997"/>
      <c r="M10" s="998">
        <f>main!DT13</f>
        <v>0</v>
      </c>
    </row>
    <row r="11" spans="1:13" ht="18.75" x14ac:dyDescent="0.2">
      <c r="A11" s="987">
        <f>IF(main!A14&gt;0,main!A14,"")</f>
        <v>6</v>
      </c>
      <c r="B11" s="1004" t="str">
        <f>IF(main!B14&gt;0,main!B14,"")</f>
        <v>2296587</v>
      </c>
      <c r="C11" s="952"/>
      <c r="D11" s="952"/>
      <c r="E11" s="952">
        <f>main!ED14</f>
        <v>0</v>
      </c>
      <c r="F11" s="952">
        <f>main!DX14</f>
        <v>0</v>
      </c>
      <c r="G11" s="952">
        <f>main!CT14</f>
        <v>0</v>
      </c>
      <c r="H11" s="952">
        <f>main!CY14</f>
        <v>0</v>
      </c>
      <c r="I11" s="952">
        <f>main!DB14</f>
        <v>0</v>
      </c>
      <c r="J11" s="952">
        <f>main!DR14</f>
        <v>0</v>
      </c>
      <c r="K11" s="952">
        <f>main!DO14</f>
        <v>0</v>
      </c>
      <c r="L11" s="997"/>
      <c r="M11" s="998">
        <f>main!DT14</f>
        <v>0</v>
      </c>
    </row>
    <row r="12" spans="1:13" ht="18.75" x14ac:dyDescent="0.2">
      <c r="A12" s="987">
        <f>IF(main!A15&gt;0,main!A15,"")</f>
        <v>7</v>
      </c>
      <c r="B12" s="1004" t="str">
        <f>IF(main!B15&gt;0,main!B15,"")</f>
        <v>56078603</v>
      </c>
      <c r="C12" s="952"/>
      <c r="D12" s="952"/>
      <c r="E12" s="952">
        <f>main!ED15</f>
        <v>0</v>
      </c>
      <c r="F12" s="952">
        <f>main!DX15</f>
        <v>0</v>
      </c>
      <c r="G12" s="952">
        <f>main!CT15</f>
        <v>0</v>
      </c>
      <c r="H12" s="952">
        <f>main!CY15</f>
        <v>0</v>
      </c>
      <c r="I12" s="952">
        <f>main!DB15</f>
        <v>0</v>
      </c>
      <c r="J12" s="952">
        <f>main!DR15</f>
        <v>0</v>
      </c>
      <c r="K12" s="952">
        <f>main!DO15</f>
        <v>0</v>
      </c>
      <c r="L12" s="997"/>
      <c r="M12" s="998">
        <f>main!DT15</f>
        <v>0</v>
      </c>
    </row>
    <row r="13" spans="1:13" ht="18.75" x14ac:dyDescent="0.2">
      <c r="A13" s="987">
        <f>IF(main!A16&gt;0,main!A16,"")</f>
        <v>8</v>
      </c>
      <c r="B13" s="1004" t="str">
        <f>IF(main!B16&gt;0,main!B16,"")</f>
        <v>4355788</v>
      </c>
      <c r="C13" s="952"/>
      <c r="D13" s="952"/>
      <c r="E13" s="952">
        <f>main!ED16</f>
        <v>0</v>
      </c>
      <c r="F13" s="952">
        <f>main!DX16</f>
        <v>0</v>
      </c>
      <c r="G13" s="952">
        <f>main!CT16</f>
        <v>0</v>
      </c>
      <c r="H13" s="952">
        <f>main!CY16</f>
        <v>0</v>
      </c>
      <c r="I13" s="952">
        <f>main!DB16</f>
        <v>0</v>
      </c>
      <c r="J13" s="952">
        <f>main!DR16</f>
        <v>0</v>
      </c>
      <c r="K13" s="952">
        <f>main!DO16</f>
        <v>0</v>
      </c>
      <c r="L13" s="997"/>
      <c r="M13" s="998">
        <f>main!DT16</f>
        <v>0</v>
      </c>
    </row>
    <row r="14" spans="1:13" ht="18.75" x14ac:dyDescent="0.2">
      <c r="A14" s="987">
        <f>IF(main!A17&gt;0,main!A17,"")</f>
        <v>9</v>
      </c>
      <c r="B14" s="1004" t="str">
        <f>IF(main!B17&gt;0,main!B17,"")</f>
        <v>69002</v>
      </c>
      <c r="C14" s="952"/>
      <c r="D14" s="952"/>
      <c r="E14" s="952">
        <f>main!ED17</f>
        <v>0</v>
      </c>
      <c r="F14" s="952">
        <f>main!DX17</f>
        <v>0</v>
      </c>
      <c r="G14" s="952">
        <f>main!CT17</f>
        <v>0</v>
      </c>
      <c r="H14" s="952">
        <f>main!CY17</f>
        <v>0</v>
      </c>
      <c r="I14" s="952">
        <f>main!DB17</f>
        <v>0</v>
      </c>
      <c r="J14" s="952">
        <f>main!DR17</f>
        <v>0</v>
      </c>
      <c r="K14" s="952">
        <f>main!DO17</f>
        <v>0</v>
      </c>
      <c r="L14" s="997"/>
      <c r="M14" s="998">
        <f>main!DT17</f>
        <v>0</v>
      </c>
    </row>
    <row r="15" spans="1:13" ht="18.75" x14ac:dyDescent="0.2">
      <c r="A15" s="987">
        <f>IF(main!A18&gt;0,main!A18,"")</f>
        <v>10</v>
      </c>
      <c r="B15" s="1004" t="str">
        <f>IF(main!B18&gt;0,main!B18,"")</f>
        <v>911245475</v>
      </c>
      <c r="C15" s="952"/>
      <c r="D15" s="952"/>
      <c r="E15" s="952">
        <f>main!ED18</f>
        <v>0</v>
      </c>
      <c r="F15" s="952">
        <f>main!DX18</f>
        <v>0</v>
      </c>
      <c r="G15" s="952">
        <f>main!CT18</f>
        <v>0</v>
      </c>
      <c r="H15" s="952">
        <f>main!CY18</f>
        <v>0</v>
      </c>
      <c r="I15" s="952">
        <f>main!DB18</f>
        <v>0</v>
      </c>
      <c r="J15" s="952">
        <f>main!DR18</f>
        <v>177.40600000000001</v>
      </c>
      <c r="K15" s="952">
        <f>main!DO18</f>
        <v>0</v>
      </c>
      <c r="L15" s="997"/>
      <c r="M15" s="998">
        <f>main!DT18</f>
        <v>414.87</v>
      </c>
    </row>
    <row r="16" spans="1:13" ht="18.75" x14ac:dyDescent="0.2">
      <c r="A16" s="987">
        <f>IF(main!A19&gt;0,main!A19,"")</f>
        <v>11</v>
      </c>
      <c r="B16" s="1004" t="str">
        <f>IF(main!B19&gt;0,main!B19,"")</f>
        <v>922972106</v>
      </c>
      <c r="C16" s="952"/>
      <c r="D16" s="952"/>
      <c r="E16" s="952">
        <f>main!ED19</f>
        <v>0</v>
      </c>
      <c r="F16" s="952">
        <f>main!DX19</f>
        <v>0</v>
      </c>
      <c r="G16" s="952">
        <f>main!CT19</f>
        <v>0</v>
      </c>
      <c r="H16" s="952">
        <f>main!CY19</f>
        <v>0</v>
      </c>
      <c r="I16" s="952">
        <f>main!DB19</f>
        <v>0</v>
      </c>
      <c r="J16" s="952">
        <f>main!DR19</f>
        <v>0</v>
      </c>
      <c r="K16" s="952">
        <f>main!DO19</f>
        <v>0</v>
      </c>
      <c r="L16" s="997"/>
      <c r="M16" s="998">
        <f>main!DT19</f>
        <v>0</v>
      </c>
    </row>
    <row r="17" spans="1:13" ht="18.75" x14ac:dyDescent="0.2">
      <c r="A17" s="987">
        <f>IF(main!A20&gt;0,main!A20,"")</f>
        <v>12</v>
      </c>
      <c r="B17" s="1004" t="str">
        <f>IF(main!B20&gt;0,main!B20,"")</f>
        <v>411113798</v>
      </c>
      <c r="C17" s="952"/>
      <c r="D17" s="952"/>
      <c r="E17" s="952">
        <f>main!ED20</f>
        <v>0</v>
      </c>
      <c r="F17" s="952">
        <f>main!DX20</f>
        <v>0</v>
      </c>
      <c r="G17" s="952">
        <f>main!CT20</f>
        <v>0</v>
      </c>
      <c r="H17" s="952">
        <f>main!CY20</f>
        <v>0</v>
      </c>
      <c r="I17" s="952">
        <f>main!DB20</f>
        <v>0</v>
      </c>
      <c r="J17" s="952">
        <f>main!DR20</f>
        <v>108.803</v>
      </c>
      <c r="K17" s="952">
        <f>main!DO20</f>
        <v>0</v>
      </c>
      <c r="L17" s="997"/>
      <c r="M17" s="998">
        <f>main!DT20</f>
        <v>109.53</v>
      </c>
    </row>
    <row r="18" spans="1:13" ht="18.75" x14ac:dyDescent="0.2">
      <c r="A18" s="987">
        <f>IF(main!A21&gt;0,main!A21,"")</f>
        <v>13</v>
      </c>
      <c r="B18" s="1004" t="str">
        <f>IF(main!B21&gt;0,main!B21,"")</f>
        <v>411138484</v>
      </c>
      <c r="C18" s="952"/>
      <c r="D18" s="952"/>
      <c r="E18" s="952">
        <f>main!ED21</f>
        <v>0</v>
      </c>
      <c r="F18" s="952">
        <f>main!DX21</f>
        <v>0</v>
      </c>
      <c r="G18" s="952">
        <f>main!CT21</f>
        <v>0</v>
      </c>
      <c r="H18" s="952">
        <f>main!CY21</f>
        <v>0</v>
      </c>
      <c r="I18" s="952">
        <f>main!DB21</f>
        <v>0</v>
      </c>
      <c r="J18" s="952">
        <f>main!DR21</f>
        <v>0</v>
      </c>
      <c r="K18" s="952">
        <f>main!DO21</f>
        <v>0</v>
      </c>
      <c r="L18" s="997"/>
      <c r="M18" s="998">
        <f>main!DT21</f>
        <v>0</v>
      </c>
    </row>
    <row r="19" spans="1:13" ht="18.75" x14ac:dyDescent="0.2">
      <c r="A19" s="987">
        <f>IF(main!A22&gt;0,main!A22,"")</f>
        <v>14</v>
      </c>
      <c r="B19" s="1004" t="str">
        <f>IF(main!B22&gt;0,main!B22,"")</f>
        <v>323406232</v>
      </c>
      <c r="C19" s="952"/>
      <c r="D19" s="952"/>
      <c r="E19" s="952">
        <f>main!ED22</f>
        <v>0</v>
      </c>
      <c r="F19" s="952">
        <f>main!DX22</f>
        <v>0</v>
      </c>
      <c r="G19" s="952">
        <f>main!CT22</f>
        <v>0</v>
      </c>
      <c r="H19" s="952">
        <f>main!CY22</f>
        <v>0</v>
      </c>
      <c r="I19" s="952">
        <f>main!DB22</f>
        <v>0</v>
      </c>
      <c r="J19" s="952">
        <f>main!DR22</f>
        <v>0</v>
      </c>
      <c r="K19" s="952">
        <f>main!DO22</f>
        <v>166.41</v>
      </c>
      <c r="L19" s="997"/>
      <c r="M19" s="998">
        <f>main!DT22</f>
        <v>166.91</v>
      </c>
    </row>
    <row r="20" spans="1:13" ht="18.75" x14ac:dyDescent="0.2">
      <c r="A20" s="987">
        <f>IF(main!A23&gt;0,main!A23,"")</f>
        <v>15</v>
      </c>
      <c r="B20" s="1004" t="str">
        <f>IF(main!B23&gt;0,main!B23,"")</f>
        <v>730141236</v>
      </c>
      <c r="C20" s="952"/>
      <c r="D20" s="952"/>
      <c r="E20" s="952">
        <f>main!ED23</f>
        <v>0</v>
      </c>
      <c r="F20" s="952">
        <f>main!DX23</f>
        <v>0</v>
      </c>
      <c r="G20" s="952">
        <f>main!CT23</f>
        <v>0</v>
      </c>
      <c r="H20" s="952">
        <f>main!CY23</f>
        <v>0</v>
      </c>
      <c r="I20" s="952">
        <f>main!DB23</f>
        <v>0</v>
      </c>
      <c r="J20" s="952">
        <f>main!DR23</f>
        <v>0</v>
      </c>
      <c r="K20" s="952">
        <f>main!DO23</f>
        <v>0</v>
      </c>
      <c r="L20" s="997"/>
      <c r="M20" s="998">
        <f>main!DT23</f>
        <v>0</v>
      </c>
    </row>
    <row r="21" spans="1:13" ht="18.75" x14ac:dyDescent="0.2">
      <c r="A21" s="987">
        <f>IF(main!A24&gt;0,main!A24,"")</f>
        <v>16</v>
      </c>
      <c r="B21" s="1004" t="str">
        <f>IF(main!B24&gt;0,main!B24,"")</f>
        <v>323158955</v>
      </c>
      <c r="C21" s="952"/>
      <c r="D21" s="952"/>
      <c r="E21" s="952">
        <f>main!ED24</f>
        <v>0</v>
      </c>
      <c r="F21" s="952">
        <f>main!DX24</f>
        <v>0</v>
      </c>
      <c r="G21" s="952">
        <f>main!CT24</f>
        <v>0</v>
      </c>
      <c r="H21" s="952">
        <f>main!CY24</f>
        <v>0</v>
      </c>
      <c r="I21" s="952">
        <f>main!DB24</f>
        <v>0</v>
      </c>
      <c r="J21" s="952">
        <f>main!DR24</f>
        <v>1261.5</v>
      </c>
      <c r="K21" s="952">
        <f>main!DO24</f>
        <v>0</v>
      </c>
      <c r="L21" s="997"/>
      <c r="M21" s="998">
        <f>main!DT24</f>
        <v>1261.5</v>
      </c>
    </row>
    <row r="22" spans="1:13" ht="18.75" x14ac:dyDescent="0.2">
      <c r="A22" s="987">
        <f>IF(main!A25&gt;0,main!A25,"")</f>
        <v>17</v>
      </c>
      <c r="B22" s="1004" t="str">
        <f>IF(main!B25&gt;0,main!B25,"")</f>
        <v>323405593</v>
      </c>
      <c r="C22" s="952"/>
      <c r="D22" s="952"/>
      <c r="E22" s="952">
        <f>main!ED25</f>
        <v>0</v>
      </c>
      <c r="F22" s="952">
        <f>main!DX25</f>
        <v>0</v>
      </c>
      <c r="G22" s="952">
        <f>main!CT25</f>
        <v>0</v>
      </c>
      <c r="H22" s="952">
        <f>main!CY25</f>
        <v>0</v>
      </c>
      <c r="I22" s="952">
        <f>main!DB25</f>
        <v>0</v>
      </c>
      <c r="J22" s="952">
        <f>main!DR25</f>
        <v>0</v>
      </c>
      <c r="K22" s="952">
        <f>main!DO25</f>
        <v>0</v>
      </c>
      <c r="L22" s="997"/>
      <c r="M22" s="998">
        <f>main!DT25</f>
        <v>0</v>
      </c>
    </row>
    <row r="23" spans="1:13" ht="18.75" x14ac:dyDescent="0.2">
      <c r="A23" s="987">
        <f>IF(main!A26&gt;0,main!A26,"")</f>
        <v>18</v>
      </c>
      <c r="B23" s="1004" t="str">
        <f>IF(main!B26&gt;0,main!B26,"")</f>
        <v>056078603</v>
      </c>
      <c r="C23" s="952"/>
      <c r="D23" s="952"/>
      <c r="E23" s="952">
        <f>main!ED26</f>
        <v>0</v>
      </c>
      <c r="F23" s="952">
        <f>main!DX26</f>
        <v>0</v>
      </c>
      <c r="G23" s="952">
        <f>main!CT26</f>
        <v>0</v>
      </c>
      <c r="H23" s="952">
        <f>main!CY26</f>
        <v>0</v>
      </c>
      <c r="I23" s="952">
        <f>main!DB26</f>
        <v>0</v>
      </c>
      <c r="J23" s="952">
        <f>main!DR26</f>
        <v>8090.2376923076918</v>
      </c>
      <c r="K23" s="952">
        <f>main!DO26</f>
        <v>0</v>
      </c>
      <c r="L23" s="997"/>
      <c r="M23" s="998">
        <f>main!DT26</f>
        <v>9480.16</v>
      </c>
    </row>
    <row r="24" spans="1:13" ht="18.75" x14ac:dyDescent="0.2">
      <c r="A24" s="987" t="str">
        <f>IF(main!A27&gt;0,main!A27,"")</f>
        <v/>
      </c>
      <c r="B24" s="1004" t="str">
        <f>IF(main!B27&gt;0,main!B27,"")</f>
        <v/>
      </c>
      <c r="C24" s="952"/>
      <c r="D24" s="952"/>
      <c r="E24" s="952">
        <f>main!ED27</f>
        <v>0</v>
      </c>
      <c r="F24" s="952">
        <f>main!DX27</f>
        <v>0</v>
      </c>
      <c r="G24" s="952">
        <f>main!CT27</f>
        <v>0</v>
      </c>
      <c r="H24" s="952">
        <f>main!CY27</f>
        <v>0</v>
      </c>
      <c r="I24" s="952">
        <f>main!DB27</f>
        <v>0</v>
      </c>
      <c r="J24" s="952">
        <f>main!DR27</f>
        <v>0</v>
      </c>
      <c r="K24" s="952">
        <f>main!DO27</f>
        <v>0</v>
      </c>
      <c r="L24" s="997"/>
      <c r="M24" s="998">
        <f>main!DT27</f>
        <v>0</v>
      </c>
    </row>
    <row r="25" spans="1:13" ht="18.75" x14ac:dyDescent="0.2">
      <c r="A25" s="987" t="str">
        <f>IF(main!A28&gt;0,main!A28,"")</f>
        <v/>
      </c>
      <c r="B25" s="1004" t="str">
        <f>IF(main!B28&gt;0,main!B28,"")</f>
        <v/>
      </c>
      <c r="C25" s="952"/>
      <c r="D25" s="952"/>
      <c r="E25" s="952">
        <f>main!ED28</f>
        <v>0</v>
      </c>
      <c r="F25" s="952">
        <f>main!DX28</f>
        <v>0</v>
      </c>
      <c r="G25" s="952">
        <f>main!CT28</f>
        <v>0</v>
      </c>
      <c r="H25" s="952">
        <f>main!CY28</f>
        <v>0</v>
      </c>
      <c r="I25" s="952">
        <f>main!DB28</f>
        <v>0</v>
      </c>
      <c r="J25" s="952">
        <f>main!DR28</f>
        <v>0</v>
      </c>
      <c r="K25" s="952">
        <f>main!DO28</f>
        <v>0</v>
      </c>
      <c r="L25" s="997"/>
      <c r="M25" s="998">
        <f>main!DT28</f>
        <v>0</v>
      </c>
    </row>
    <row r="26" spans="1:13" ht="18.75" x14ac:dyDescent="0.2">
      <c r="A26" s="987" t="str">
        <f>IF(main!A29&gt;0,main!A29,"")</f>
        <v/>
      </c>
      <c r="B26" s="1004" t="str">
        <f>IF(main!B29&gt;0,main!B29,"")</f>
        <v/>
      </c>
      <c r="C26" s="952"/>
      <c r="D26" s="952"/>
      <c r="E26" s="952">
        <f>main!ED29</f>
        <v>0</v>
      </c>
      <c r="F26" s="952">
        <f>main!DX29</f>
        <v>0</v>
      </c>
      <c r="G26" s="952">
        <f>main!CT29</f>
        <v>0</v>
      </c>
      <c r="H26" s="952">
        <f>main!CY29</f>
        <v>0</v>
      </c>
      <c r="I26" s="952">
        <f>main!DB29</f>
        <v>0</v>
      </c>
      <c r="J26" s="952">
        <f>main!DR29</f>
        <v>0</v>
      </c>
      <c r="K26" s="952">
        <f>main!DO29</f>
        <v>0</v>
      </c>
      <c r="L26" s="997"/>
      <c r="M26" s="998">
        <f>main!DT29</f>
        <v>0</v>
      </c>
    </row>
    <row r="27" spans="1:13" ht="18.75" x14ac:dyDescent="0.2">
      <c r="A27" s="987" t="str">
        <f>IF(main!A30&gt;0,main!A30,"")</f>
        <v/>
      </c>
      <c r="B27" s="1004" t="str">
        <f>IF(main!B30&gt;0,main!B30,"")</f>
        <v/>
      </c>
      <c r="C27" s="952"/>
      <c r="D27" s="952"/>
      <c r="E27" s="952">
        <f>main!ED30</f>
        <v>0</v>
      </c>
      <c r="F27" s="952">
        <f>main!DX30</f>
        <v>0</v>
      </c>
      <c r="G27" s="952">
        <f>main!CT30</f>
        <v>0</v>
      </c>
      <c r="H27" s="952">
        <f>main!CY30</f>
        <v>0</v>
      </c>
      <c r="I27" s="952">
        <f>main!DB30</f>
        <v>0</v>
      </c>
      <c r="J27" s="952">
        <f>main!DR30</f>
        <v>0</v>
      </c>
      <c r="K27" s="952">
        <f>main!DO30</f>
        <v>0</v>
      </c>
      <c r="L27" s="997"/>
      <c r="M27" s="998">
        <f>main!DT30</f>
        <v>0</v>
      </c>
    </row>
    <row r="28" spans="1:13" ht="18.75" x14ac:dyDescent="0.2">
      <c r="A28" s="987" t="str">
        <f>IF(main!A31&gt;0,main!A31,"")</f>
        <v/>
      </c>
      <c r="B28" s="1004" t="str">
        <f>IF(main!B31&gt;0,main!B31,"")</f>
        <v/>
      </c>
      <c r="C28" s="952"/>
      <c r="D28" s="952"/>
      <c r="E28" s="952">
        <f>main!ED31</f>
        <v>0</v>
      </c>
      <c r="F28" s="952">
        <f>main!DX31</f>
        <v>0</v>
      </c>
      <c r="G28" s="952">
        <f>main!CT31</f>
        <v>0</v>
      </c>
      <c r="H28" s="952">
        <f>main!CY31</f>
        <v>0</v>
      </c>
      <c r="I28" s="952">
        <f>main!DB31</f>
        <v>0</v>
      </c>
      <c r="J28" s="952">
        <f>main!DR31</f>
        <v>0</v>
      </c>
      <c r="K28" s="952">
        <f>main!DO31</f>
        <v>0</v>
      </c>
      <c r="L28" s="997"/>
      <c r="M28" s="998">
        <f>main!DT31</f>
        <v>0</v>
      </c>
    </row>
    <row r="29" spans="1:13" ht="18.75" x14ac:dyDescent="0.2">
      <c r="A29" s="987" t="str">
        <f>IF(main!A32&gt;0,main!A32,"")</f>
        <v/>
      </c>
      <c r="B29" s="1004" t="str">
        <f>IF(main!B32&gt;0,main!B32,"")</f>
        <v/>
      </c>
      <c r="C29" s="952"/>
      <c r="D29" s="952"/>
      <c r="E29" s="952">
        <f>main!ED32</f>
        <v>0</v>
      </c>
      <c r="F29" s="952">
        <f>main!DX32</f>
        <v>0</v>
      </c>
      <c r="G29" s="952">
        <f>main!CT32</f>
        <v>0</v>
      </c>
      <c r="H29" s="952">
        <f>main!CY32</f>
        <v>0</v>
      </c>
      <c r="I29" s="952">
        <f>main!DB32</f>
        <v>0</v>
      </c>
      <c r="J29" s="952">
        <f>main!DR32</f>
        <v>0</v>
      </c>
      <c r="K29" s="952">
        <f>main!DO32</f>
        <v>0</v>
      </c>
      <c r="L29" s="997"/>
      <c r="M29" s="998">
        <f>main!DT32</f>
        <v>0</v>
      </c>
    </row>
    <row r="30" spans="1:13" ht="18.75" x14ac:dyDescent="0.2">
      <c r="A30" s="987" t="str">
        <f>IF(main!A33&gt;0,main!A33,"")</f>
        <v/>
      </c>
      <c r="B30" s="1004" t="str">
        <f>IF(main!B33&gt;0,main!B33,"")</f>
        <v/>
      </c>
      <c r="C30" s="952"/>
      <c r="D30" s="952"/>
      <c r="E30" s="952">
        <f>main!ED33</f>
        <v>0</v>
      </c>
      <c r="F30" s="952">
        <f>main!DX33</f>
        <v>0</v>
      </c>
      <c r="G30" s="952">
        <f>main!CT33</f>
        <v>0</v>
      </c>
      <c r="H30" s="952">
        <f>main!CY33</f>
        <v>0</v>
      </c>
      <c r="I30" s="952">
        <f>main!DB33</f>
        <v>0</v>
      </c>
      <c r="J30" s="952">
        <f>main!DR33</f>
        <v>0</v>
      </c>
      <c r="K30" s="952">
        <f>main!DO33</f>
        <v>0</v>
      </c>
      <c r="L30" s="997"/>
      <c r="M30" s="998">
        <f>main!DT33</f>
        <v>0</v>
      </c>
    </row>
    <row r="31" spans="1:13" ht="18.75" x14ac:dyDescent="0.2">
      <c r="A31" s="987" t="str">
        <f>IF(main!A34&gt;0,main!A34,"")</f>
        <v/>
      </c>
      <c r="B31" s="1004" t="str">
        <f>IF(main!B34&gt;0,main!B34,"")</f>
        <v/>
      </c>
      <c r="C31" s="952"/>
      <c r="D31" s="952"/>
      <c r="E31" s="952">
        <f>main!ED34</f>
        <v>0</v>
      </c>
      <c r="F31" s="952">
        <f>main!DX34</f>
        <v>0</v>
      </c>
      <c r="G31" s="952">
        <f>main!CT34</f>
        <v>0</v>
      </c>
      <c r="H31" s="952">
        <f>main!CY34</f>
        <v>0</v>
      </c>
      <c r="I31" s="952">
        <f>main!DB34</f>
        <v>0</v>
      </c>
      <c r="J31" s="952">
        <f>main!DR34</f>
        <v>0</v>
      </c>
      <c r="K31" s="952">
        <f>main!DO34</f>
        <v>0</v>
      </c>
      <c r="L31" s="997"/>
      <c r="M31" s="998">
        <f>main!DT34</f>
        <v>0</v>
      </c>
    </row>
    <row r="32" spans="1:13" ht="18.75" x14ac:dyDescent="0.2">
      <c r="A32" s="987" t="str">
        <f>IF(main!A35&gt;0,main!A35,"")</f>
        <v/>
      </c>
      <c r="B32" s="1004" t="str">
        <f>IF(main!B35&gt;0,main!B35,"")</f>
        <v/>
      </c>
      <c r="C32" s="952"/>
      <c r="D32" s="952"/>
      <c r="E32" s="952">
        <f>main!ED35</f>
        <v>0</v>
      </c>
      <c r="F32" s="952">
        <f>main!DX35</f>
        <v>0</v>
      </c>
      <c r="G32" s="952">
        <f>main!CT35</f>
        <v>0</v>
      </c>
      <c r="H32" s="952">
        <f>main!CY35</f>
        <v>0</v>
      </c>
      <c r="I32" s="952">
        <f>main!DB35</f>
        <v>0</v>
      </c>
      <c r="J32" s="952">
        <f>main!DR35</f>
        <v>0</v>
      </c>
      <c r="K32" s="952">
        <f>main!DO35</f>
        <v>0</v>
      </c>
      <c r="L32" s="997"/>
      <c r="M32" s="998">
        <f>main!DT35</f>
        <v>0</v>
      </c>
    </row>
    <row r="33" spans="1:13" ht="18.75" x14ac:dyDescent="0.2">
      <c r="A33" s="987" t="str">
        <f>IF(main!A36&gt;0,main!A36,"")</f>
        <v/>
      </c>
      <c r="B33" s="1004" t="str">
        <f>IF(main!B36&gt;0,main!B36,"")</f>
        <v/>
      </c>
      <c r="C33" s="952"/>
      <c r="D33" s="952"/>
      <c r="E33" s="952">
        <f>main!ED36</f>
        <v>0</v>
      </c>
      <c r="F33" s="952">
        <f>main!DX36</f>
        <v>0</v>
      </c>
      <c r="G33" s="952">
        <f>main!CT36</f>
        <v>0</v>
      </c>
      <c r="H33" s="952">
        <f>main!CY36</f>
        <v>0</v>
      </c>
      <c r="I33" s="952">
        <f>main!DB36</f>
        <v>0</v>
      </c>
      <c r="J33" s="952">
        <f>main!DR36</f>
        <v>0</v>
      </c>
      <c r="K33" s="952">
        <f>main!DO36</f>
        <v>0</v>
      </c>
      <c r="L33" s="997"/>
      <c r="M33" s="998">
        <f>main!DT36</f>
        <v>0</v>
      </c>
    </row>
    <row r="34" spans="1:13" ht="18.75" x14ac:dyDescent="0.2">
      <c r="A34" s="987" t="str">
        <f>IF(main!A37&gt;0,main!A37,"")</f>
        <v/>
      </c>
      <c r="B34" s="1004" t="str">
        <f>IF(main!B37&gt;0,main!B37,"")</f>
        <v/>
      </c>
      <c r="C34" s="952"/>
      <c r="D34" s="952"/>
      <c r="E34" s="952">
        <f>main!ED37</f>
        <v>0</v>
      </c>
      <c r="F34" s="952">
        <f>main!DX37</f>
        <v>0</v>
      </c>
      <c r="G34" s="952">
        <f>main!CT37</f>
        <v>0</v>
      </c>
      <c r="H34" s="952">
        <f>main!CY37</f>
        <v>0</v>
      </c>
      <c r="I34" s="952">
        <f>main!DB37</f>
        <v>0</v>
      </c>
      <c r="J34" s="952">
        <f>main!DR37</f>
        <v>0</v>
      </c>
      <c r="K34" s="952">
        <f>main!DO37</f>
        <v>0</v>
      </c>
      <c r="L34" s="997"/>
      <c r="M34" s="998">
        <f>main!DT37</f>
        <v>0</v>
      </c>
    </row>
    <row r="35" spans="1:13" ht="18.75" x14ac:dyDescent="0.2">
      <c r="A35" s="987" t="str">
        <f>IF(main!A38&gt;0,main!A38,"")</f>
        <v/>
      </c>
      <c r="B35" s="1004" t="str">
        <f>IF(main!B38&gt;0,main!B38,"")</f>
        <v/>
      </c>
      <c r="C35" s="952"/>
      <c r="D35" s="952"/>
      <c r="E35" s="952">
        <f>main!ED38</f>
        <v>0</v>
      </c>
      <c r="F35" s="952">
        <f>main!DX38</f>
        <v>0</v>
      </c>
      <c r="G35" s="952">
        <f>main!CT38</f>
        <v>0</v>
      </c>
      <c r="H35" s="952">
        <f>main!CY38</f>
        <v>0</v>
      </c>
      <c r="I35" s="952">
        <f>main!DB38</f>
        <v>0</v>
      </c>
      <c r="J35" s="952">
        <f>main!DR38</f>
        <v>0</v>
      </c>
      <c r="K35" s="952">
        <f>main!DO38</f>
        <v>0</v>
      </c>
      <c r="L35" s="997"/>
      <c r="M35" s="998">
        <f>main!DT38</f>
        <v>0</v>
      </c>
    </row>
    <row r="36" spans="1:13" ht="18.75" x14ac:dyDescent="0.2">
      <c r="A36" s="987" t="str">
        <f>IF(main!A39&gt;0,main!A39,"")</f>
        <v/>
      </c>
      <c r="B36" s="1004" t="str">
        <f>IF(main!B39&gt;0,main!B39,"")</f>
        <v/>
      </c>
      <c r="C36" s="952"/>
      <c r="D36" s="952"/>
      <c r="E36" s="952">
        <f>main!ED39</f>
        <v>0</v>
      </c>
      <c r="F36" s="952">
        <f>main!DX39</f>
        <v>0</v>
      </c>
      <c r="G36" s="952">
        <f>main!CT39</f>
        <v>0</v>
      </c>
      <c r="H36" s="952">
        <f>main!CY39</f>
        <v>0</v>
      </c>
      <c r="I36" s="952">
        <f>main!DB39</f>
        <v>0</v>
      </c>
      <c r="J36" s="952">
        <f>main!DR39</f>
        <v>0</v>
      </c>
      <c r="K36" s="952">
        <f>main!DO39</f>
        <v>0</v>
      </c>
      <c r="L36" s="997"/>
      <c r="M36" s="998">
        <f>main!DT39</f>
        <v>0</v>
      </c>
    </row>
    <row r="37" spans="1:13" ht="18.75" x14ac:dyDescent="0.2">
      <c r="A37" s="987" t="str">
        <f>IF(main!A40&gt;0,main!A40,"")</f>
        <v/>
      </c>
      <c r="B37" s="1004" t="str">
        <f>IF(main!B40&gt;0,main!B40,"")</f>
        <v/>
      </c>
      <c r="C37" s="952"/>
      <c r="D37" s="952"/>
      <c r="E37" s="952">
        <f>main!ED40</f>
        <v>0</v>
      </c>
      <c r="F37" s="952">
        <f>main!DX40</f>
        <v>0</v>
      </c>
      <c r="G37" s="952">
        <f>main!CT40</f>
        <v>0</v>
      </c>
      <c r="H37" s="952">
        <f>main!CY40</f>
        <v>0</v>
      </c>
      <c r="I37" s="952">
        <f>main!DB40</f>
        <v>0</v>
      </c>
      <c r="J37" s="952">
        <f>main!DR40</f>
        <v>0</v>
      </c>
      <c r="K37" s="952">
        <f>main!DO40</f>
        <v>0</v>
      </c>
      <c r="L37" s="997"/>
      <c r="M37" s="998">
        <f>main!DT40</f>
        <v>0</v>
      </c>
    </row>
    <row r="38" spans="1:13" ht="18.75" x14ac:dyDescent="0.2">
      <c r="A38" s="987" t="str">
        <f>IF(main!A41&gt;0,main!A41,"")</f>
        <v/>
      </c>
      <c r="B38" s="1004" t="str">
        <f>IF(main!B41&gt;0,main!B41,"")</f>
        <v/>
      </c>
      <c r="C38" s="952"/>
      <c r="D38" s="952"/>
      <c r="E38" s="952">
        <f>main!ED41</f>
        <v>0</v>
      </c>
      <c r="F38" s="952">
        <f>main!DX41</f>
        <v>0</v>
      </c>
      <c r="G38" s="952">
        <f>main!CT41</f>
        <v>0</v>
      </c>
      <c r="H38" s="952">
        <f>main!CY41</f>
        <v>0</v>
      </c>
      <c r="I38" s="952">
        <f>main!DB41</f>
        <v>0</v>
      </c>
      <c r="J38" s="952">
        <f>main!DR41</f>
        <v>0</v>
      </c>
      <c r="K38" s="952">
        <f>main!DO41</f>
        <v>0</v>
      </c>
      <c r="L38" s="997"/>
      <c r="M38" s="998">
        <f>main!DT41</f>
        <v>0</v>
      </c>
    </row>
    <row r="39" spans="1:13" ht="18.75" x14ac:dyDescent="0.2">
      <c r="A39" s="987" t="str">
        <f>IF(main!A42&gt;0,main!A42,"")</f>
        <v/>
      </c>
      <c r="B39" s="1004" t="str">
        <f>IF(main!B42&gt;0,main!B42,"")</f>
        <v/>
      </c>
      <c r="C39" s="952"/>
      <c r="D39" s="952"/>
      <c r="E39" s="952">
        <f>main!ED42</f>
        <v>0</v>
      </c>
      <c r="F39" s="952">
        <f>main!DX42</f>
        <v>0</v>
      </c>
      <c r="G39" s="952">
        <f>main!CT42</f>
        <v>0</v>
      </c>
      <c r="H39" s="952">
        <f>main!CY42</f>
        <v>0</v>
      </c>
      <c r="I39" s="952">
        <f>main!DB42</f>
        <v>0</v>
      </c>
      <c r="J39" s="952">
        <f>main!DR42</f>
        <v>0</v>
      </c>
      <c r="K39" s="952">
        <f>main!DO42</f>
        <v>0</v>
      </c>
      <c r="L39" s="997"/>
      <c r="M39" s="998">
        <f>main!DT42</f>
        <v>0</v>
      </c>
    </row>
    <row r="40" spans="1:13" ht="18.75" x14ac:dyDescent="0.2">
      <c r="A40" s="987" t="str">
        <f>IF(main!A43&gt;0,main!A43,"")</f>
        <v/>
      </c>
      <c r="B40" s="1004" t="str">
        <f>IF(main!B43&gt;0,main!B43,"")</f>
        <v/>
      </c>
      <c r="C40" s="952"/>
      <c r="D40" s="952"/>
      <c r="E40" s="952">
        <f>main!ED43</f>
        <v>0</v>
      </c>
      <c r="F40" s="952">
        <f>main!DX43</f>
        <v>0</v>
      </c>
      <c r="G40" s="952">
        <f>main!CT43</f>
        <v>0</v>
      </c>
      <c r="H40" s="952">
        <f>main!CY43</f>
        <v>0</v>
      </c>
      <c r="I40" s="952">
        <f>main!DB43</f>
        <v>0</v>
      </c>
      <c r="J40" s="952">
        <f>main!DR43</f>
        <v>0</v>
      </c>
      <c r="K40" s="952">
        <f>main!DO43</f>
        <v>0</v>
      </c>
      <c r="L40" s="997"/>
      <c r="M40" s="998">
        <f>main!DT43</f>
        <v>0</v>
      </c>
    </row>
    <row r="41" spans="1:13" ht="18.75" x14ac:dyDescent="0.2">
      <c r="A41" s="987" t="str">
        <f>IF(main!A44&gt;0,main!A44,"")</f>
        <v/>
      </c>
      <c r="B41" s="1004" t="str">
        <f>IF(main!B44&gt;0,main!B44,"")</f>
        <v/>
      </c>
      <c r="C41" s="952"/>
      <c r="D41" s="952"/>
      <c r="E41" s="952">
        <f>main!ED44</f>
        <v>0</v>
      </c>
      <c r="F41" s="952">
        <f>main!DX44</f>
        <v>0</v>
      </c>
      <c r="G41" s="952">
        <f>main!CT44</f>
        <v>0</v>
      </c>
      <c r="H41" s="952">
        <f>main!CY44</f>
        <v>0</v>
      </c>
      <c r="I41" s="952">
        <f>main!DB44</f>
        <v>0</v>
      </c>
      <c r="J41" s="952">
        <f>main!DR44</f>
        <v>0</v>
      </c>
      <c r="K41" s="952">
        <f>main!DO44</f>
        <v>0</v>
      </c>
      <c r="L41" s="997"/>
      <c r="M41" s="998">
        <f>main!DT44</f>
        <v>0</v>
      </c>
    </row>
    <row r="42" spans="1:13" ht="18.75" x14ac:dyDescent="0.2">
      <c r="A42" s="987" t="str">
        <f>IF(main!A45&gt;0,main!A45,"")</f>
        <v/>
      </c>
      <c r="B42" s="1004" t="str">
        <f>IF(main!B45&gt;0,main!B45,"")</f>
        <v/>
      </c>
      <c r="C42" s="952"/>
      <c r="D42" s="952"/>
      <c r="E42" s="952">
        <f>main!ED45</f>
        <v>0</v>
      </c>
      <c r="F42" s="952">
        <f>main!DX45</f>
        <v>0</v>
      </c>
      <c r="G42" s="952">
        <f>main!CT45</f>
        <v>0</v>
      </c>
      <c r="H42" s="952">
        <f>main!CY45</f>
        <v>0</v>
      </c>
      <c r="I42" s="952">
        <f>main!DB45</f>
        <v>0</v>
      </c>
      <c r="J42" s="952">
        <f>main!DR45</f>
        <v>0</v>
      </c>
      <c r="K42" s="952">
        <f>main!DO45</f>
        <v>0</v>
      </c>
      <c r="L42" s="997"/>
      <c r="M42" s="998">
        <f>main!DT45</f>
        <v>0</v>
      </c>
    </row>
    <row r="43" spans="1:13" ht="18.75" x14ac:dyDescent="0.2">
      <c r="A43" s="987" t="str">
        <f>IF(main!A46&gt;0,main!A46,"")</f>
        <v/>
      </c>
      <c r="B43" s="1004" t="str">
        <f>IF(main!B46&gt;0,main!B46,"")</f>
        <v/>
      </c>
      <c r="C43" s="952"/>
      <c r="D43" s="952"/>
      <c r="E43" s="952">
        <f>main!ED46</f>
        <v>0</v>
      </c>
      <c r="F43" s="952">
        <f>main!DX46</f>
        <v>0</v>
      </c>
      <c r="G43" s="952">
        <f>main!CT46</f>
        <v>0</v>
      </c>
      <c r="H43" s="952">
        <f>main!CY46</f>
        <v>0</v>
      </c>
      <c r="I43" s="952">
        <f>main!DB46</f>
        <v>0</v>
      </c>
      <c r="J43" s="952">
        <f>main!DR46</f>
        <v>0</v>
      </c>
      <c r="K43" s="952">
        <f>main!DO46</f>
        <v>0</v>
      </c>
      <c r="L43" s="997"/>
      <c r="M43" s="998">
        <f>main!DT46</f>
        <v>0</v>
      </c>
    </row>
    <row r="44" spans="1:13" ht="18.75" x14ac:dyDescent="0.2">
      <c r="A44" s="987" t="str">
        <f>IF(main!A47&gt;0,main!A47,"")</f>
        <v/>
      </c>
      <c r="B44" s="1004" t="str">
        <f>IF(main!B47&gt;0,main!B47,"")</f>
        <v/>
      </c>
      <c r="C44" s="952"/>
      <c r="D44" s="952"/>
      <c r="E44" s="952">
        <f>main!ED47</f>
        <v>0</v>
      </c>
      <c r="F44" s="952">
        <f>main!DX47</f>
        <v>0</v>
      </c>
      <c r="G44" s="952">
        <f>main!CT47</f>
        <v>0</v>
      </c>
      <c r="H44" s="952">
        <f>main!CY47</f>
        <v>0</v>
      </c>
      <c r="I44" s="952">
        <f>main!DB47</f>
        <v>0</v>
      </c>
      <c r="J44" s="952">
        <f>main!DR47</f>
        <v>0</v>
      </c>
      <c r="K44" s="952">
        <f>main!DO47</f>
        <v>0</v>
      </c>
      <c r="L44" s="997"/>
      <c r="M44" s="998">
        <f>main!DT47</f>
        <v>0</v>
      </c>
    </row>
    <row r="45" spans="1:13" ht="18.75" x14ac:dyDescent="0.2">
      <c r="A45" s="987" t="str">
        <f>IF(main!A48&gt;0,main!A48,"")</f>
        <v/>
      </c>
      <c r="B45" s="1004" t="str">
        <f>IF(main!B48&gt;0,main!B48,"")</f>
        <v/>
      </c>
      <c r="C45" s="952"/>
      <c r="D45" s="952"/>
      <c r="E45" s="952">
        <f>main!ED48</f>
        <v>0</v>
      </c>
      <c r="F45" s="952">
        <f>main!DX48</f>
        <v>0</v>
      </c>
      <c r="G45" s="952">
        <f>main!CT48</f>
        <v>0</v>
      </c>
      <c r="H45" s="952">
        <f>main!CY48</f>
        <v>0</v>
      </c>
      <c r="I45" s="952">
        <f>main!DB48</f>
        <v>0</v>
      </c>
      <c r="J45" s="952">
        <f>main!DR48</f>
        <v>0</v>
      </c>
      <c r="K45" s="952">
        <f>main!DO48</f>
        <v>0</v>
      </c>
      <c r="L45" s="997"/>
      <c r="M45" s="998">
        <f>main!DT48</f>
        <v>0</v>
      </c>
    </row>
    <row r="46" spans="1:13" ht="18.75" x14ac:dyDescent="0.2">
      <c r="A46" s="987" t="str">
        <f>IF(main!A49&gt;0,main!A49,"")</f>
        <v/>
      </c>
      <c r="B46" s="1004" t="str">
        <f>IF(main!B49&gt;0,main!B49,"")</f>
        <v/>
      </c>
      <c r="C46" s="952"/>
      <c r="D46" s="952"/>
      <c r="E46" s="952">
        <f>main!ED49</f>
        <v>0</v>
      </c>
      <c r="F46" s="952">
        <f>main!DX49</f>
        <v>0</v>
      </c>
      <c r="G46" s="952">
        <f>main!CT49</f>
        <v>0</v>
      </c>
      <c r="H46" s="952">
        <f>main!CY49</f>
        <v>0</v>
      </c>
      <c r="I46" s="952">
        <f>main!DB49</f>
        <v>0</v>
      </c>
      <c r="J46" s="952">
        <f>main!DR49</f>
        <v>0</v>
      </c>
      <c r="K46" s="952">
        <f>main!DO49</f>
        <v>0</v>
      </c>
      <c r="L46" s="997"/>
      <c r="M46" s="998">
        <f>main!DT49</f>
        <v>0</v>
      </c>
    </row>
    <row r="47" spans="1:13" ht="18.75" x14ac:dyDescent="0.2">
      <c r="A47" s="987" t="str">
        <f>IF(main!A50&gt;0,main!A50,"")</f>
        <v/>
      </c>
      <c r="B47" s="1004" t="str">
        <f>IF(main!B50&gt;0,main!B50,"")</f>
        <v/>
      </c>
      <c r="C47" s="952"/>
      <c r="D47" s="952"/>
      <c r="E47" s="952">
        <f>main!ED50</f>
        <v>0</v>
      </c>
      <c r="F47" s="952">
        <f>main!DX50</f>
        <v>0</v>
      </c>
      <c r="G47" s="952">
        <f>main!CT50</f>
        <v>0</v>
      </c>
      <c r="H47" s="952">
        <f>main!CY50</f>
        <v>0</v>
      </c>
      <c r="I47" s="952">
        <f>main!DB50</f>
        <v>0</v>
      </c>
      <c r="J47" s="952">
        <f>main!DR50</f>
        <v>0</v>
      </c>
      <c r="K47" s="952">
        <f>main!DO50</f>
        <v>0</v>
      </c>
      <c r="L47" s="997"/>
      <c r="M47" s="998">
        <f>main!DT50</f>
        <v>0</v>
      </c>
    </row>
    <row r="48" spans="1:13" ht="18.75" x14ac:dyDescent="0.2">
      <c r="A48" s="987" t="str">
        <f>IF(main!A51&gt;0,main!A51,"")</f>
        <v/>
      </c>
      <c r="B48" s="1004" t="str">
        <f>IF(main!B51&gt;0,main!B51,"")</f>
        <v/>
      </c>
      <c r="C48" s="952"/>
      <c r="D48" s="952"/>
      <c r="E48" s="952">
        <f>main!ED51</f>
        <v>0</v>
      </c>
      <c r="F48" s="952">
        <f>main!DX51</f>
        <v>0</v>
      </c>
      <c r="G48" s="952">
        <f>main!CT51</f>
        <v>0</v>
      </c>
      <c r="H48" s="952">
        <f>main!CY51</f>
        <v>0</v>
      </c>
      <c r="I48" s="952">
        <f>main!DB51</f>
        <v>0</v>
      </c>
      <c r="J48" s="952">
        <f>main!DR51</f>
        <v>0</v>
      </c>
      <c r="K48" s="952">
        <f>main!DO51</f>
        <v>0</v>
      </c>
      <c r="L48" s="997"/>
      <c r="M48" s="998">
        <f>main!DT51</f>
        <v>0</v>
      </c>
    </row>
    <row r="49" spans="1:13" ht="19.5" thickBot="1" x14ac:dyDescent="0.25">
      <c r="A49" s="987" t="str">
        <f>IF(main!A52&gt;0,main!A52,"")</f>
        <v/>
      </c>
      <c r="B49" s="1004" t="str">
        <f>IF(main!B52&gt;0,main!B52,"")</f>
        <v/>
      </c>
      <c r="C49" s="952"/>
      <c r="D49" s="952"/>
      <c r="E49" s="952">
        <f>main!ED52</f>
        <v>0</v>
      </c>
      <c r="F49" s="952">
        <f>main!DX52</f>
        <v>0</v>
      </c>
      <c r="G49" s="952">
        <f>main!CT52</f>
        <v>0</v>
      </c>
      <c r="H49" s="952">
        <f>main!CY52</f>
        <v>0</v>
      </c>
      <c r="I49" s="952">
        <f>main!DB52</f>
        <v>0</v>
      </c>
      <c r="J49" s="952">
        <f>main!DR52</f>
        <v>0</v>
      </c>
      <c r="K49" s="952">
        <f>main!DO52</f>
        <v>0</v>
      </c>
      <c r="L49" s="997"/>
      <c r="M49" s="998">
        <f>main!DT52</f>
        <v>0</v>
      </c>
    </row>
    <row r="50" spans="1:13" ht="20.25" thickTop="1" thickBot="1" x14ac:dyDescent="0.25">
      <c r="B50" s="954"/>
      <c r="C50" s="954"/>
      <c r="D50" s="954"/>
      <c r="E50" s="960">
        <f>SUM(E6:E49)</f>
        <v>713.34</v>
      </c>
      <c r="F50" s="960"/>
      <c r="G50" s="960">
        <f>SUM(G6:G49)</f>
        <v>0</v>
      </c>
      <c r="H50" s="960">
        <f t="shared" ref="H50:I50" si="0">SUM(H6:H49)</f>
        <v>0</v>
      </c>
      <c r="I50" s="960">
        <f t="shared" si="0"/>
        <v>0</v>
      </c>
      <c r="J50" s="960">
        <f>SUM(J6:J49)</f>
        <v>9816.3206923076923</v>
      </c>
      <c r="K50" s="960">
        <f>SUM(K6:K49)</f>
        <v>166.41</v>
      </c>
      <c r="L50" s="997"/>
      <c r="M50" s="999"/>
    </row>
    <row r="51" spans="1:13" ht="19.5" thickTop="1" x14ac:dyDescent="0.2">
      <c r="B51" s="961"/>
      <c r="C51" s="961"/>
      <c r="D51" s="961"/>
      <c r="E51" s="962"/>
      <c r="F51" s="962"/>
      <c r="G51" s="962"/>
      <c r="H51" s="964"/>
      <c r="I51" s="964"/>
      <c r="J51" s="965">
        <v>0</v>
      </c>
      <c r="K51" s="962"/>
    </row>
  </sheetData>
  <pageMargins left="0.11811023622047245" right="0.19685039370078741" top="0.74803149606299213" bottom="0.74803149606299213" header="0.31496062992125984" footer="0.31496062992125984"/>
  <pageSetup paperSize="9" orientation="landscape" horizontalDpi="4294967293" verticalDpi="4294967293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42"/>
  <dimension ref="C5:M24"/>
  <sheetViews>
    <sheetView rightToLeft="1" workbookViewId="0">
      <selection activeCell="AL8" sqref="AL8"/>
    </sheetView>
  </sheetViews>
  <sheetFormatPr defaultRowHeight="12.75" x14ac:dyDescent="0.2"/>
  <cols>
    <col min="4" max="4" width="12.28515625" customWidth="1"/>
    <col min="5" max="5" width="11.85546875" customWidth="1"/>
    <col min="6" max="6" width="11.5703125" customWidth="1"/>
    <col min="7" max="7" width="11.28515625" customWidth="1"/>
    <col min="8" max="8" width="10.28515625" customWidth="1"/>
    <col min="9" max="9" width="11.7109375" customWidth="1"/>
    <col min="10" max="10" width="11" customWidth="1"/>
    <col min="11" max="11" width="11.7109375" customWidth="1"/>
    <col min="12" max="12" width="11.140625" customWidth="1"/>
    <col min="13" max="13" width="13" customWidth="1"/>
  </cols>
  <sheetData>
    <row r="5" spans="3:13" ht="31.5" x14ac:dyDescent="0.25">
      <c r="C5" s="3" t="s">
        <v>2</v>
      </c>
      <c r="D5" s="3" t="s">
        <v>316</v>
      </c>
      <c r="E5" s="3" t="s">
        <v>306</v>
      </c>
      <c r="F5" s="3" t="s">
        <v>307</v>
      </c>
      <c r="G5" s="3" t="s">
        <v>308</v>
      </c>
      <c r="H5" s="3" t="s">
        <v>317</v>
      </c>
      <c r="I5" s="3" t="s">
        <v>318</v>
      </c>
      <c r="J5" s="3" t="s">
        <v>311</v>
      </c>
      <c r="K5" s="3" t="s">
        <v>319</v>
      </c>
      <c r="L5" s="3" t="s">
        <v>313</v>
      </c>
      <c r="M5" s="3" t="s">
        <v>314</v>
      </c>
    </row>
    <row r="6" spans="3:13" x14ac:dyDescent="0.2">
      <c r="C6" t="s">
        <v>1330</v>
      </c>
      <c r="L6">
        <v>0</v>
      </c>
    </row>
    <row r="7" spans="3:13" x14ac:dyDescent="0.2">
      <c r="C7" t="s">
        <v>1214</v>
      </c>
      <c r="M7">
        <v>0</v>
      </c>
    </row>
    <row r="8" spans="3:13" x14ac:dyDescent="0.2">
      <c r="C8" t="s">
        <v>1225</v>
      </c>
      <c r="M8">
        <v>0</v>
      </c>
    </row>
    <row r="9" spans="3:13" x14ac:dyDescent="0.2">
      <c r="C9" t="s">
        <v>1205</v>
      </c>
    </row>
    <row r="10" spans="3:13" x14ac:dyDescent="0.2">
      <c r="C10" t="s">
        <v>1321</v>
      </c>
      <c r="K10">
        <v>0</v>
      </c>
    </row>
    <row r="11" spans="3:13" x14ac:dyDescent="0.2">
      <c r="C11" t="s">
        <v>1325</v>
      </c>
      <c r="K11">
        <v>0</v>
      </c>
    </row>
    <row r="12" spans="3:13" x14ac:dyDescent="0.2">
      <c r="C12" t="s">
        <v>1309</v>
      </c>
      <c r="K12">
        <v>0</v>
      </c>
    </row>
    <row r="13" spans="3:13" x14ac:dyDescent="0.2">
      <c r="C13" t="s">
        <v>1293</v>
      </c>
      <c r="H13">
        <v>0</v>
      </c>
      <c r="K13">
        <v>0</v>
      </c>
    </row>
    <row r="14" spans="3:13" x14ac:dyDescent="0.2">
      <c r="C14" t="s">
        <v>1303</v>
      </c>
      <c r="K14">
        <v>0</v>
      </c>
    </row>
    <row r="15" spans="3:13" x14ac:dyDescent="0.2">
      <c r="C15" t="s">
        <v>1261</v>
      </c>
      <c r="D15">
        <v>1</v>
      </c>
    </row>
    <row r="16" spans="3:13" x14ac:dyDescent="0.2">
      <c r="C16" t="s">
        <v>1197</v>
      </c>
      <c r="M16">
        <v>0</v>
      </c>
    </row>
    <row r="17" spans="3:13" x14ac:dyDescent="0.2">
      <c r="C17" t="s">
        <v>1188</v>
      </c>
      <c r="D17">
        <v>1</v>
      </c>
    </row>
    <row r="18" spans="3:13" x14ac:dyDescent="0.2">
      <c r="C18" t="s">
        <v>1227</v>
      </c>
      <c r="M18">
        <v>0</v>
      </c>
    </row>
    <row r="19" spans="3:13" x14ac:dyDescent="0.2">
      <c r="C19" t="s">
        <v>1315</v>
      </c>
      <c r="K19">
        <v>0</v>
      </c>
    </row>
    <row r="20" spans="3:13" x14ac:dyDescent="0.2">
      <c r="C20" t="s">
        <v>1351</v>
      </c>
    </row>
    <row r="21" spans="3:13" x14ac:dyDescent="0.2">
      <c r="C21" t="s">
        <v>1280</v>
      </c>
      <c r="K21">
        <v>0</v>
      </c>
    </row>
    <row r="22" spans="3:13" x14ac:dyDescent="0.2">
      <c r="C22" t="s">
        <v>1386</v>
      </c>
      <c r="H22">
        <v>26116.76</v>
      </c>
    </row>
    <row r="23" spans="3:13" x14ac:dyDescent="0.2">
      <c r="C23" t="s">
        <v>1289</v>
      </c>
      <c r="K23">
        <v>0</v>
      </c>
    </row>
    <row r="24" spans="3:13" x14ac:dyDescent="0.2">
      <c r="C24" t="s">
        <v>1392</v>
      </c>
      <c r="H24">
        <v>3644.8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52"/>
  <dimension ref="C3:N88"/>
  <sheetViews>
    <sheetView rightToLeft="1" workbookViewId="0">
      <selection activeCell="AL8" sqref="AL8"/>
    </sheetView>
  </sheetViews>
  <sheetFormatPr defaultRowHeight="12.75" x14ac:dyDescent="0.2"/>
  <cols>
    <col min="3" max="3" width="15" customWidth="1"/>
  </cols>
  <sheetData>
    <row r="3" spans="3:14" ht="20.25" x14ac:dyDescent="0.3">
      <c r="H3" s="32" t="s">
        <v>1140</v>
      </c>
    </row>
    <row r="5" spans="3:14" ht="31.5" x14ac:dyDescent="0.2">
      <c r="C5" s="4" t="s">
        <v>2</v>
      </c>
      <c r="D5" s="4" t="s">
        <v>316</v>
      </c>
      <c r="E5" s="4" t="s">
        <v>306</v>
      </c>
      <c r="F5" s="4" t="s">
        <v>307</v>
      </c>
      <c r="G5" s="4" t="s">
        <v>308</v>
      </c>
      <c r="H5" s="4" t="s">
        <v>317</v>
      </c>
      <c r="I5" s="4" t="s">
        <v>318</v>
      </c>
      <c r="J5" s="4" t="s">
        <v>311</v>
      </c>
      <c r="K5" s="4" t="s">
        <v>319</v>
      </c>
      <c r="L5" s="4" t="s">
        <v>313</v>
      </c>
      <c r="M5" s="4" t="s">
        <v>314</v>
      </c>
      <c r="N5" s="4" t="s">
        <v>1141</v>
      </c>
    </row>
    <row r="6" spans="3:14" x14ac:dyDescent="0.2">
      <c r="C6" t="s">
        <v>1330</v>
      </c>
      <c r="N6">
        <f>SUM(D6:J6)+L6+M6</f>
        <v>0</v>
      </c>
    </row>
    <row r="7" spans="3:14" x14ac:dyDescent="0.2">
      <c r="C7" t="s">
        <v>1214</v>
      </c>
      <c r="M7">
        <v>0</v>
      </c>
      <c r="N7">
        <f t="shared" ref="N7:N70" si="0">SUM(D7:J7)+L7+M7</f>
        <v>0</v>
      </c>
    </row>
    <row r="8" spans="3:14" x14ac:dyDescent="0.2">
      <c r="C8" t="s">
        <v>1225</v>
      </c>
      <c r="M8">
        <v>0</v>
      </c>
      <c r="N8">
        <f t="shared" si="0"/>
        <v>0</v>
      </c>
    </row>
    <row r="9" spans="3:14" x14ac:dyDescent="0.2">
      <c r="C9" t="s">
        <v>1205</v>
      </c>
      <c r="N9">
        <f t="shared" si="0"/>
        <v>0</v>
      </c>
    </row>
    <row r="10" spans="3:14" x14ac:dyDescent="0.2">
      <c r="C10" t="s">
        <v>1321</v>
      </c>
      <c r="K10">
        <v>2519.2199999999998</v>
      </c>
      <c r="N10">
        <f t="shared" si="0"/>
        <v>0</v>
      </c>
    </row>
    <row r="11" spans="3:14" x14ac:dyDescent="0.2">
      <c r="C11" t="s">
        <v>1325</v>
      </c>
      <c r="K11">
        <v>0</v>
      </c>
      <c r="N11">
        <f t="shared" si="0"/>
        <v>0</v>
      </c>
    </row>
    <row r="12" spans="3:14" x14ac:dyDescent="0.2">
      <c r="C12" t="s">
        <v>1309</v>
      </c>
      <c r="K12">
        <v>166.41</v>
      </c>
      <c r="N12">
        <f t="shared" si="0"/>
        <v>0</v>
      </c>
    </row>
    <row r="13" spans="3:14" x14ac:dyDescent="0.2">
      <c r="C13" t="s">
        <v>1293</v>
      </c>
      <c r="H13">
        <v>2.78</v>
      </c>
      <c r="K13">
        <v>106.34</v>
      </c>
      <c r="N13">
        <f t="shared" si="0"/>
        <v>2.78</v>
      </c>
    </row>
    <row r="14" spans="3:14" x14ac:dyDescent="0.2">
      <c r="C14" t="s">
        <v>1303</v>
      </c>
      <c r="K14">
        <v>0</v>
      </c>
      <c r="N14">
        <f t="shared" si="0"/>
        <v>0</v>
      </c>
    </row>
    <row r="15" spans="3:14" x14ac:dyDescent="0.2">
      <c r="C15" t="s">
        <v>1261</v>
      </c>
      <c r="D15">
        <v>0</v>
      </c>
      <c r="N15">
        <f t="shared" si="0"/>
        <v>0</v>
      </c>
    </row>
    <row r="16" spans="3:14" x14ac:dyDescent="0.2">
      <c r="C16" t="s">
        <v>1197</v>
      </c>
      <c r="M16">
        <v>0</v>
      </c>
      <c r="N16">
        <f t="shared" si="0"/>
        <v>0</v>
      </c>
    </row>
    <row r="17" spans="3:14" x14ac:dyDescent="0.2">
      <c r="C17" t="s">
        <v>1188</v>
      </c>
      <c r="D17">
        <v>0</v>
      </c>
      <c r="N17">
        <f t="shared" si="0"/>
        <v>0</v>
      </c>
    </row>
    <row r="18" spans="3:14" x14ac:dyDescent="0.2">
      <c r="C18" t="s">
        <v>1227</v>
      </c>
      <c r="N18">
        <f t="shared" si="0"/>
        <v>0</v>
      </c>
    </row>
    <row r="19" spans="3:14" x14ac:dyDescent="0.2">
      <c r="C19" t="s">
        <v>1315</v>
      </c>
      <c r="K19">
        <v>0</v>
      </c>
      <c r="N19">
        <f t="shared" si="0"/>
        <v>0</v>
      </c>
    </row>
    <row r="20" spans="3:14" x14ac:dyDescent="0.2">
      <c r="C20" t="s">
        <v>1351</v>
      </c>
      <c r="N20">
        <f t="shared" si="0"/>
        <v>0</v>
      </c>
    </row>
    <row r="21" spans="3:14" x14ac:dyDescent="0.2">
      <c r="C21" t="s">
        <v>1280</v>
      </c>
      <c r="K21" s="5">
        <v>0</v>
      </c>
      <c r="N21">
        <f t="shared" si="0"/>
        <v>0</v>
      </c>
    </row>
    <row r="22" spans="3:14" x14ac:dyDescent="0.2">
      <c r="C22" t="s">
        <v>1386</v>
      </c>
      <c r="H22">
        <v>11201.48</v>
      </c>
      <c r="N22">
        <f t="shared" si="0"/>
        <v>11201.48</v>
      </c>
    </row>
    <row r="23" spans="3:14" x14ac:dyDescent="0.2">
      <c r="C23" t="s">
        <v>1289</v>
      </c>
      <c r="K23">
        <v>0</v>
      </c>
      <c r="N23">
        <f t="shared" si="0"/>
        <v>0</v>
      </c>
    </row>
    <row r="24" spans="3:14" x14ac:dyDescent="0.2">
      <c r="C24" t="s">
        <v>1392</v>
      </c>
      <c r="H24">
        <v>2166.4699999999998</v>
      </c>
      <c r="N24">
        <f t="shared" si="0"/>
        <v>2166.4699999999998</v>
      </c>
    </row>
    <row r="25" spans="3:14" x14ac:dyDescent="0.2">
      <c r="N25">
        <f t="shared" si="0"/>
        <v>0</v>
      </c>
    </row>
    <row r="26" spans="3:14" x14ac:dyDescent="0.2">
      <c r="N26">
        <f t="shared" si="0"/>
        <v>0</v>
      </c>
    </row>
    <row r="27" spans="3:14" x14ac:dyDescent="0.2">
      <c r="N27">
        <f t="shared" si="0"/>
        <v>0</v>
      </c>
    </row>
    <row r="28" spans="3:14" x14ac:dyDescent="0.2">
      <c r="N28">
        <f t="shared" si="0"/>
        <v>0</v>
      </c>
    </row>
    <row r="29" spans="3:14" x14ac:dyDescent="0.2">
      <c r="N29">
        <f t="shared" si="0"/>
        <v>0</v>
      </c>
    </row>
    <row r="30" spans="3:14" x14ac:dyDescent="0.2">
      <c r="N30">
        <f t="shared" si="0"/>
        <v>0</v>
      </c>
    </row>
    <row r="31" spans="3:14" x14ac:dyDescent="0.2">
      <c r="N31">
        <f t="shared" si="0"/>
        <v>0</v>
      </c>
    </row>
    <row r="32" spans="3:14" x14ac:dyDescent="0.2">
      <c r="N32">
        <f t="shared" si="0"/>
        <v>0</v>
      </c>
    </row>
    <row r="33" spans="14:14" x14ac:dyDescent="0.2">
      <c r="N33">
        <f t="shared" si="0"/>
        <v>0</v>
      </c>
    </row>
    <row r="34" spans="14:14" x14ac:dyDescent="0.2">
      <c r="N34">
        <f t="shared" si="0"/>
        <v>0</v>
      </c>
    </row>
    <row r="35" spans="14:14" x14ac:dyDescent="0.2">
      <c r="N35">
        <f t="shared" si="0"/>
        <v>0</v>
      </c>
    </row>
    <row r="36" spans="14:14" x14ac:dyDescent="0.2">
      <c r="N36">
        <f t="shared" si="0"/>
        <v>0</v>
      </c>
    </row>
    <row r="37" spans="14:14" x14ac:dyDescent="0.2">
      <c r="N37">
        <f t="shared" si="0"/>
        <v>0</v>
      </c>
    </row>
    <row r="38" spans="14:14" x14ac:dyDescent="0.2">
      <c r="N38">
        <f t="shared" si="0"/>
        <v>0</v>
      </c>
    </row>
    <row r="39" spans="14:14" x14ac:dyDescent="0.2">
      <c r="N39">
        <f t="shared" si="0"/>
        <v>0</v>
      </c>
    </row>
    <row r="40" spans="14:14" x14ac:dyDescent="0.2">
      <c r="N40">
        <f t="shared" si="0"/>
        <v>0</v>
      </c>
    </row>
    <row r="41" spans="14:14" x14ac:dyDescent="0.2">
      <c r="N41">
        <f t="shared" si="0"/>
        <v>0</v>
      </c>
    </row>
    <row r="42" spans="14:14" x14ac:dyDescent="0.2">
      <c r="N42">
        <f t="shared" si="0"/>
        <v>0</v>
      </c>
    </row>
    <row r="43" spans="14:14" x14ac:dyDescent="0.2">
      <c r="N43">
        <f t="shared" si="0"/>
        <v>0</v>
      </c>
    </row>
    <row r="44" spans="14:14" x14ac:dyDescent="0.2">
      <c r="N44">
        <f t="shared" si="0"/>
        <v>0</v>
      </c>
    </row>
    <row r="45" spans="14:14" x14ac:dyDescent="0.2">
      <c r="N45">
        <f t="shared" si="0"/>
        <v>0</v>
      </c>
    </row>
    <row r="46" spans="14:14" x14ac:dyDescent="0.2">
      <c r="N46">
        <f t="shared" si="0"/>
        <v>0</v>
      </c>
    </row>
    <row r="47" spans="14:14" x14ac:dyDescent="0.2">
      <c r="N47">
        <f t="shared" si="0"/>
        <v>0</v>
      </c>
    </row>
    <row r="48" spans="14:14" x14ac:dyDescent="0.2">
      <c r="N48">
        <f t="shared" si="0"/>
        <v>0</v>
      </c>
    </row>
    <row r="49" spans="14:14" x14ac:dyDescent="0.2">
      <c r="N49">
        <f t="shared" si="0"/>
        <v>0</v>
      </c>
    </row>
    <row r="50" spans="14:14" x14ac:dyDescent="0.2">
      <c r="N50">
        <f t="shared" si="0"/>
        <v>0</v>
      </c>
    </row>
    <row r="51" spans="14:14" x14ac:dyDescent="0.2">
      <c r="N51">
        <f t="shared" si="0"/>
        <v>0</v>
      </c>
    </row>
    <row r="52" spans="14:14" x14ac:dyDescent="0.2">
      <c r="N52">
        <f t="shared" si="0"/>
        <v>0</v>
      </c>
    </row>
    <row r="53" spans="14:14" x14ac:dyDescent="0.2">
      <c r="N53">
        <f t="shared" si="0"/>
        <v>0</v>
      </c>
    </row>
    <row r="54" spans="14:14" x14ac:dyDescent="0.2">
      <c r="N54">
        <f t="shared" si="0"/>
        <v>0</v>
      </c>
    </row>
    <row r="55" spans="14:14" x14ac:dyDescent="0.2">
      <c r="N55">
        <f t="shared" si="0"/>
        <v>0</v>
      </c>
    </row>
    <row r="56" spans="14:14" x14ac:dyDescent="0.2">
      <c r="N56">
        <f t="shared" si="0"/>
        <v>0</v>
      </c>
    </row>
    <row r="57" spans="14:14" x14ac:dyDescent="0.2">
      <c r="N57">
        <f t="shared" si="0"/>
        <v>0</v>
      </c>
    </row>
    <row r="58" spans="14:14" x14ac:dyDescent="0.2">
      <c r="N58">
        <f t="shared" si="0"/>
        <v>0</v>
      </c>
    </row>
    <row r="59" spans="14:14" x14ac:dyDescent="0.2">
      <c r="N59">
        <f t="shared" si="0"/>
        <v>0</v>
      </c>
    </row>
    <row r="60" spans="14:14" x14ac:dyDescent="0.2">
      <c r="N60">
        <f t="shared" si="0"/>
        <v>0</v>
      </c>
    </row>
    <row r="61" spans="14:14" x14ac:dyDescent="0.2">
      <c r="N61">
        <f t="shared" si="0"/>
        <v>0</v>
      </c>
    </row>
    <row r="62" spans="14:14" x14ac:dyDescent="0.2">
      <c r="N62">
        <f t="shared" si="0"/>
        <v>0</v>
      </c>
    </row>
    <row r="63" spans="14:14" x14ac:dyDescent="0.2">
      <c r="N63">
        <f t="shared" si="0"/>
        <v>0</v>
      </c>
    </row>
    <row r="64" spans="14:14" x14ac:dyDescent="0.2">
      <c r="N64">
        <f t="shared" si="0"/>
        <v>0</v>
      </c>
    </row>
    <row r="65" spans="14:14" x14ac:dyDescent="0.2">
      <c r="N65">
        <f t="shared" si="0"/>
        <v>0</v>
      </c>
    </row>
    <row r="66" spans="14:14" x14ac:dyDescent="0.2">
      <c r="N66">
        <f t="shared" si="0"/>
        <v>0</v>
      </c>
    </row>
    <row r="67" spans="14:14" x14ac:dyDescent="0.2">
      <c r="N67">
        <f t="shared" si="0"/>
        <v>0</v>
      </c>
    </row>
    <row r="68" spans="14:14" x14ac:dyDescent="0.2">
      <c r="N68">
        <f t="shared" si="0"/>
        <v>0</v>
      </c>
    </row>
    <row r="69" spans="14:14" x14ac:dyDescent="0.2">
      <c r="N69">
        <f t="shared" si="0"/>
        <v>0</v>
      </c>
    </row>
    <row r="70" spans="14:14" x14ac:dyDescent="0.2">
      <c r="N70">
        <f t="shared" si="0"/>
        <v>0</v>
      </c>
    </row>
    <row r="71" spans="14:14" x14ac:dyDescent="0.2">
      <c r="N71">
        <f t="shared" ref="N71:N88" si="1">SUM(D71:J71)+L71+M71</f>
        <v>0</v>
      </c>
    </row>
    <row r="72" spans="14:14" x14ac:dyDescent="0.2">
      <c r="N72">
        <f t="shared" si="1"/>
        <v>0</v>
      </c>
    </row>
    <row r="73" spans="14:14" x14ac:dyDescent="0.2">
      <c r="N73">
        <f t="shared" si="1"/>
        <v>0</v>
      </c>
    </row>
    <row r="74" spans="14:14" x14ac:dyDescent="0.2">
      <c r="N74">
        <f t="shared" si="1"/>
        <v>0</v>
      </c>
    </row>
    <row r="75" spans="14:14" x14ac:dyDescent="0.2">
      <c r="N75">
        <f t="shared" si="1"/>
        <v>0</v>
      </c>
    </row>
    <row r="76" spans="14:14" x14ac:dyDescent="0.2">
      <c r="N76">
        <f t="shared" si="1"/>
        <v>0</v>
      </c>
    </row>
    <row r="77" spans="14:14" x14ac:dyDescent="0.2">
      <c r="N77">
        <f t="shared" si="1"/>
        <v>0</v>
      </c>
    </row>
    <row r="78" spans="14:14" x14ac:dyDescent="0.2">
      <c r="N78">
        <f t="shared" si="1"/>
        <v>0</v>
      </c>
    </row>
    <row r="79" spans="14:14" x14ac:dyDescent="0.2">
      <c r="N79">
        <f t="shared" si="1"/>
        <v>0</v>
      </c>
    </row>
    <row r="80" spans="14:14" x14ac:dyDescent="0.2">
      <c r="N80">
        <f t="shared" si="1"/>
        <v>0</v>
      </c>
    </row>
    <row r="81" spans="14:14" x14ac:dyDescent="0.2">
      <c r="N81">
        <f t="shared" si="1"/>
        <v>0</v>
      </c>
    </row>
    <row r="82" spans="14:14" x14ac:dyDescent="0.2">
      <c r="N82">
        <f t="shared" si="1"/>
        <v>0</v>
      </c>
    </row>
    <row r="83" spans="14:14" x14ac:dyDescent="0.2">
      <c r="N83">
        <f t="shared" si="1"/>
        <v>0</v>
      </c>
    </row>
    <row r="84" spans="14:14" x14ac:dyDescent="0.2">
      <c r="N84">
        <f t="shared" si="1"/>
        <v>0</v>
      </c>
    </row>
    <row r="85" spans="14:14" x14ac:dyDescent="0.2">
      <c r="N85">
        <f t="shared" si="1"/>
        <v>0</v>
      </c>
    </row>
    <row r="86" spans="14:14" x14ac:dyDescent="0.2">
      <c r="N86">
        <f t="shared" si="1"/>
        <v>0</v>
      </c>
    </row>
    <row r="87" spans="14:14" x14ac:dyDescent="0.2">
      <c r="N87">
        <f t="shared" si="1"/>
        <v>0</v>
      </c>
    </row>
    <row r="88" spans="14:14" x14ac:dyDescent="0.2">
      <c r="N88">
        <f t="shared" si="1"/>
        <v>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62"/>
  <dimension ref="C5:V25"/>
  <sheetViews>
    <sheetView rightToLeft="1" workbookViewId="0">
      <selection activeCell="AL8" sqref="AL8"/>
    </sheetView>
  </sheetViews>
  <sheetFormatPr defaultRowHeight="12.75" x14ac:dyDescent="0.2"/>
  <cols>
    <col min="4" max="4" width="11.28515625" customWidth="1"/>
    <col min="5" max="5" width="15.28515625" customWidth="1"/>
    <col min="7" max="7" width="13.28515625" customWidth="1"/>
    <col min="8" max="8" width="16" customWidth="1"/>
    <col min="10" max="10" width="12.140625" customWidth="1"/>
    <col min="17" max="17" width="17.140625" customWidth="1"/>
    <col min="18" max="18" width="12.7109375" customWidth="1"/>
    <col min="20" max="20" width="23.28515625" customWidth="1"/>
  </cols>
  <sheetData>
    <row r="5" spans="3:22" ht="47.25" x14ac:dyDescent="0.2">
      <c r="C5" s="4" t="s">
        <v>0</v>
      </c>
      <c r="D5" s="4" t="s">
        <v>2</v>
      </c>
      <c r="E5" s="4" t="s">
        <v>37</v>
      </c>
      <c r="F5" s="4" t="s">
        <v>83</v>
      </c>
      <c r="G5" s="4" t="s">
        <v>62</v>
      </c>
      <c r="H5" s="4" t="s">
        <v>288</v>
      </c>
      <c r="I5" s="4" t="s">
        <v>320</v>
      </c>
      <c r="J5" s="4" t="s">
        <v>321</v>
      </c>
      <c r="K5" s="4" t="s">
        <v>63</v>
      </c>
      <c r="L5" s="4" t="s">
        <v>322</v>
      </c>
      <c r="M5" s="4" t="s">
        <v>323</v>
      </c>
      <c r="N5" s="4" t="s">
        <v>324</v>
      </c>
      <c r="O5" s="4" t="s">
        <v>325</v>
      </c>
      <c r="P5" s="4" t="s">
        <v>326</v>
      </c>
      <c r="Q5" s="4" t="s">
        <v>288</v>
      </c>
      <c r="R5" s="4" t="s">
        <v>321</v>
      </c>
      <c r="S5" s="4" t="s">
        <v>320</v>
      </c>
      <c r="T5" s="4" t="s">
        <v>327</v>
      </c>
      <c r="U5" s="4" t="s">
        <v>1</v>
      </c>
      <c r="V5" s="4" t="s">
        <v>3</v>
      </c>
    </row>
    <row r="6" spans="3:22" x14ac:dyDescent="0.2">
      <c r="C6">
        <v>143605</v>
      </c>
      <c r="D6" t="s">
        <v>1351</v>
      </c>
      <c r="E6" t="s">
        <v>1212</v>
      </c>
      <c r="F6">
        <v>1</v>
      </c>
      <c r="G6" t="s">
        <v>1354</v>
      </c>
      <c r="H6">
        <v>2</v>
      </c>
      <c r="I6">
        <v>4</v>
      </c>
      <c r="J6">
        <v>2</v>
      </c>
      <c r="K6">
        <v>0</v>
      </c>
      <c r="L6">
        <v>0</v>
      </c>
      <c r="M6">
        <v>100</v>
      </c>
      <c r="N6">
        <v>416825</v>
      </c>
      <c r="O6">
        <v>8576</v>
      </c>
      <c r="P6">
        <v>270564</v>
      </c>
      <c r="Q6" t="s">
        <v>264</v>
      </c>
      <c r="R6" t="s">
        <v>1375</v>
      </c>
      <c r="S6" t="s">
        <v>323</v>
      </c>
      <c r="T6" t="s">
        <v>1576</v>
      </c>
      <c r="U6">
        <v>56078603</v>
      </c>
      <c r="V6" t="s">
        <v>1206</v>
      </c>
    </row>
    <row r="7" spans="3:22" x14ac:dyDescent="0.2">
      <c r="C7">
        <v>143606</v>
      </c>
      <c r="D7" t="s">
        <v>1351</v>
      </c>
      <c r="E7" t="s">
        <v>1212</v>
      </c>
      <c r="F7">
        <v>1</v>
      </c>
      <c r="G7" t="s">
        <v>1354</v>
      </c>
      <c r="H7">
        <v>2</v>
      </c>
      <c r="I7">
        <v>0</v>
      </c>
      <c r="J7">
        <v>2</v>
      </c>
      <c r="K7">
        <v>0</v>
      </c>
      <c r="L7">
        <v>0</v>
      </c>
      <c r="M7">
        <v>100</v>
      </c>
      <c r="N7">
        <v>416825</v>
      </c>
      <c r="O7">
        <v>8576</v>
      </c>
      <c r="P7">
        <v>0</v>
      </c>
      <c r="Q7" t="s">
        <v>264</v>
      </c>
      <c r="R7" t="s">
        <v>1375</v>
      </c>
      <c r="T7" t="s">
        <v>1576</v>
      </c>
      <c r="U7">
        <v>56078603</v>
      </c>
      <c r="V7" t="s">
        <v>1206</v>
      </c>
    </row>
    <row r="8" spans="3:22" x14ac:dyDescent="0.2">
      <c r="C8">
        <v>143607</v>
      </c>
      <c r="D8" t="s">
        <v>1351</v>
      </c>
      <c r="E8" t="s">
        <v>1212</v>
      </c>
      <c r="F8">
        <v>1</v>
      </c>
      <c r="G8" t="s">
        <v>1354</v>
      </c>
      <c r="H8">
        <v>2</v>
      </c>
      <c r="I8">
        <v>0</v>
      </c>
      <c r="J8">
        <v>2</v>
      </c>
      <c r="K8">
        <v>0</v>
      </c>
      <c r="L8">
        <v>0</v>
      </c>
      <c r="M8">
        <v>100</v>
      </c>
      <c r="N8">
        <v>416825</v>
      </c>
      <c r="O8">
        <v>8576</v>
      </c>
      <c r="P8">
        <v>0</v>
      </c>
      <c r="Q8" t="s">
        <v>264</v>
      </c>
      <c r="R8" t="s">
        <v>1375</v>
      </c>
      <c r="T8" t="s">
        <v>1576</v>
      </c>
      <c r="U8">
        <v>56078603</v>
      </c>
      <c r="V8" t="s">
        <v>1206</v>
      </c>
    </row>
    <row r="9" spans="3:22" x14ac:dyDescent="0.2">
      <c r="C9">
        <v>143689</v>
      </c>
      <c r="D9" t="s">
        <v>1205</v>
      </c>
      <c r="E9" t="s">
        <v>1212</v>
      </c>
      <c r="F9">
        <v>1</v>
      </c>
      <c r="G9" t="s">
        <v>1370</v>
      </c>
      <c r="H9">
        <v>2</v>
      </c>
      <c r="I9">
        <v>4</v>
      </c>
      <c r="J9">
        <v>2</v>
      </c>
      <c r="K9">
        <v>0</v>
      </c>
      <c r="L9">
        <v>0</v>
      </c>
      <c r="M9">
        <v>0</v>
      </c>
      <c r="N9">
        <v>526002</v>
      </c>
      <c r="O9">
        <v>52600</v>
      </c>
      <c r="P9">
        <v>3649</v>
      </c>
      <c r="Q9" t="s">
        <v>264</v>
      </c>
      <c r="R9" t="s">
        <v>1375</v>
      </c>
      <c r="S9" t="s">
        <v>323</v>
      </c>
      <c r="T9" t="s">
        <v>1577</v>
      </c>
      <c r="U9">
        <v>56078603</v>
      </c>
      <c r="V9" t="s">
        <v>1206</v>
      </c>
    </row>
    <row r="10" spans="3:22" x14ac:dyDescent="0.2">
      <c r="C10">
        <v>171848</v>
      </c>
      <c r="D10" t="s">
        <v>1280</v>
      </c>
      <c r="E10" t="s">
        <v>1287</v>
      </c>
      <c r="F10">
        <v>526</v>
      </c>
      <c r="G10" t="s">
        <v>1379</v>
      </c>
      <c r="H10">
        <v>4</v>
      </c>
      <c r="I10">
        <v>0</v>
      </c>
      <c r="J10">
        <v>2</v>
      </c>
      <c r="K10">
        <v>0</v>
      </c>
      <c r="N10">
        <v>34</v>
      </c>
      <c r="P10">
        <v>30250</v>
      </c>
      <c r="Q10" t="s">
        <v>1578</v>
      </c>
      <c r="R10" t="s">
        <v>1375</v>
      </c>
      <c r="T10" t="s">
        <v>1285</v>
      </c>
      <c r="U10">
        <v>56078603</v>
      </c>
      <c r="V10" t="s">
        <v>1173</v>
      </c>
    </row>
    <row r="11" spans="3:22" x14ac:dyDescent="0.2">
      <c r="C11">
        <v>171849</v>
      </c>
      <c r="D11" t="s">
        <v>1289</v>
      </c>
      <c r="E11" t="s">
        <v>1287</v>
      </c>
      <c r="F11">
        <v>23</v>
      </c>
      <c r="G11" t="s">
        <v>1383</v>
      </c>
      <c r="H11">
        <v>4</v>
      </c>
      <c r="I11">
        <v>0</v>
      </c>
      <c r="J11">
        <v>2</v>
      </c>
      <c r="K11">
        <v>0</v>
      </c>
      <c r="N11">
        <v>0</v>
      </c>
      <c r="P11">
        <v>156292</v>
      </c>
      <c r="Q11" t="s">
        <v>1578</v>
      </c>
      <c r="R11" t="s">
        <v>1375</v>
      </c>
      <c r="T11" t="s">
        <v>1291</v>
      </c>
      <c r="U11">
        <v>56078603</v>
      </c>
      <c r="V11" t="s">
        <v>1173</v>
      </c>
    </row>
    <row r="12" spans="3:22" x14ac:dyDescent="0.2">
      <c r="C12">
        <v>171850</v>
      </c>
      <c r="D12" t="s">
        <v>1386</v>
      </c>
      <c r="E12" t="s">
        <v>1287</v>
      </c>
      <c r="F12">
        <v>672</v>
      </c>
      <c r="G12" t="s">
        <v>1387</v>
      </c>
      <c r="H12">
        <v>2</v>
      </c>
      <c r="I12">
        <v>0</v>
      </c>
      <c r="K12">
        <v>0</v>
      </c>
      <c r="N12">
        <v>0</v>
      </c>
      <c r="P12">
        <v>0</v>
      </c>
      <c r="Q12" t="s">
        <v>264</v>
      </c>
      <c r="T12" t="s">
        <v>1391</v>
      </c>
      <c r="U12">
        <v>56078603</v>
      </c>
      <c r="V12" t="s">
        <v>1173</v>
      </c>
    </row>
    <row r="13" spans="3:22" x14ac:dyDescent="0.2">
      <c r="C13">
        <v>171851</v>
      </c>
      <c r="D13" t="s">
        <v>1392</v>
      </c>
      <c r="E13" t="s">
        <v>1287</v>
      </c>
      <c r="F13">
        <v>51</v>
      </c>
      <c r="G13" t="s">
        <v>1387</v>
      </c>
      <c r="H13">
        <v>2</v>
      </c>
      <c r="I13">
        <v>0</v>
      </c>
      <c r="K13">
        <v>0</v>
      </c>
      <c r="N13">
        <v>0</v>
      </c>
      <c r="P13">
        <v>0</v>
      </c>
      <c r="Q13" t="s">
        <v>264</v>
      </c>
      <c r="T13" t="s">
        <v>1391</v>
      </c>
      <c r="U13">
        <v>56078603</v>
      </c>
      <c r="V13" t="s">
        <v>1173</v>
      </c>
    </row>
    <row r="14" spans="3:22" x14ac:dyDescent="0.2">
      <c r="C14">
        <v>171852</v>
      </c>
      <c r="D14" t="s">
        <v>1293</v>
      </c>
      <c r="E14" t="s">
        <v>1301</v>
      </c>
      <c r="F14">
        <v>443</v>
      </c>
      <c r="G14" t="s">
        <v>1298</v>
      </c>
      <c r="H14">
        <v>2</v>
      </c>
      <c r="I14">
        <v>3</v>
      </c>
      <c r="K14">
        <v>0</v>
      </c>
      <c r="L14">
        <v>0</v>
      </c>
      <c r="M14">
        <v>99.29</v>
      </c>
      <c r="N14">
        <v>0</v>
      </c>
      <c r="O14">
        <v>0</v>
      </c>
      <c r="P14">
        <v>17342</v>
      </c>
      <c r="Q14" t="s">
        <v>264</v>
      </c>
      <c r="S14" t="s">
        <v>1579</v>
      </c>
      <c r="T14" t="s">
        <v>1398</v>
      </c>
      <c r="U14">
        <v>56078603</v>
      </c>
      <c r="V14" t="s">
        <v>1173</v>
      </c>
    </row>
    <row r="15" spans="3:22" x14ac:dyDescent="0.2">
      <c r="C15">
        <v>171853</v>
      </c>
      <c r="D15" t="s">
        <v>1303</v>
      </c>
      <c r="E15" t="s">
        <v>1301</v>
      </c>
      <c r="F15">
        <v>807</v>
      </c>
      <c r="G15" t="s">
        <v>1306</v>
      </c>
      <c r="H15">
        <v>2</v>
      </c>
      <c r="I15">
        <v>3</v>
      </c>
      <c r="K15">
        <v>0</v>
      </c>
      <c r="L15">
        <v>0</v>
      </c>
      <c r="M15">
        <v>0</v>
      </c>
      <c r="N15">
        <v>6547.37</v>
      </c>
      <c r="P15">
        <v>11555</v>
      </c>
      <c r="Q15" t="s">
        <v>264</v>
      </c>
      <c r="S15" t="s">
        <v>1579</v>
      </c>
      <c r="T15" t="s">
        <v>1305</v>
      </c>
      <c r="U15">
        <v>56078603</v>
      </c>
      <c r="V15" t="s">
        <v>1173</v>
      </c>
    </row>
    <row r="16" spans="3:22" x14ac:dyDescent="0.2">
      <c r="C16">
        <v>171854</v>
      </c>
      <c r="D16" t="s">
        <v>1309</v>
      </c>
      <c r="E16" t="s">
        <v>1301</v>
      </c>
      <c r="F16">
        <v>177</v>
      </c>
      <c r="G16" t="s">
        <v>1312</v>
      </c>
      <c r="H16">
        <v>2</v>
      </c>
      <c r="I16">
        <v>4</v>
      </c>
      <c r="K16">
        <v>0</v>
      </c>
      <c r="L16">
        <v>0</v>
      </c>
      <c r="M16">
        <v>100</v>
      </c>
      <c r="N16">
        <v>0</v>
      </c>
      <c r="P16">
        <v>183825</v>
      </c>
      <c r="Q16" t="s">
        <v>264</v>
      </c>
      <c r="S16" t="s">
        <v>323</v>
      </c>
      <c r="T16" t="s">
        <v>1407</v>
      </c>
      <c r="U16">
        <v>56078603</v>
      </c>
      <c r="V16" t="s">
        <v>1173</v>
      </c>
    </row>
    <row r="17" spans="3:22" x14ac:dyDescent="0.2">
      <c r="C17">
        <v>171855</v>
      </c>
      <c r="D17" t="s">
        <v>1315</v>
      </c>
      <c r="E17" t="s">
        <v>1301</v>
      </c>
      <c r="F17">
        <v>56</v>
      </c>
      <c r="G17" t="s">
        <v>1318</v>
      </c>
      <c r="H17">
        <v>2</v>
      </c>
      <c r="I17">
        <v>1</v>
      </c>
      <c r="J17">
        <v>1</v>
      </c>
      <c r="K17">
        <v>0</v>
      </c>
      <c r="L17">
        <v>0</v>
      </c>
      <c r="M17">
        <v>0</v>
      </c>
      <c r="N17">
        <v>301866.2</v>
      </c>
      <c r="P17">
        <v>251855</v>
      </c>
      <c r="Q17" t="s">
        <v>264</v>
      </c>
      <c r="R17" t="s">
        <v>1357</v>
      </c>
      <c r="S17" t="s">
        <v>1580</v>
      </c>
      <c r="T17" t="s">
        <v>1297</v>
      </c>
      <c r="U17">
        <v>56078603</v>
      </c>
      <c r="V17" t="s">
        <v>1173</v>
      </c>
    </row>
    <row r="18" spans="3:22" x14ac:dyDescent="0.2">
      <c r="C18">
        <v>171856</v>
      </c>
      <c r="D18" t="s">
        <v>1321</v>
      </c>
      <c r="E18" t="s">
        <v>1301</v>
      </c>
      <c r="F18">
        <v>439</v>
      </c>
      <c r="G18" t="s">
        <v>1324</v>
      </c>
      <c r="H18">
        <v>2</v>
      </c>
      <c r="I18">
        <v>3</v>
      </c>
      <c r="K18">
        <v>0</v>
      </c>
      <c r="L18">
        <v>0</v>
      </c>
      <c r="M18">
        <v>98.6</v>
      </c>
      <c r="N18">
        <v>0</v>
      </c>
      <c r="P18">
        <v>268542</v>
      </c>
      <c r="Q18" t="s">
        <v>264</v>
      </c>
      <c r="S18" t="s">
        <v>1579</v>
      </c>
      <c r="T18" t="s">
        <v>1297</v>
      </c>
      <c r="U18">
        <v>56078603</v>
      </c>
      <c r="V18" t="s">
        <v>1173</v>
      </c>
    </row>
    <row r="19" spans="3:22" x14ac:dyDescent="0.2">
      <c r="C19">
        <v>171857</v>
      </c>
      <c r="D19" t="s">
        <v>1325</v>
      </c>
      <c r="E19" t="s">
        <v>1301</v>
      </c>
      <c r="F19">
        <v>384</v>
      </c>
      <c r="G19" t="s">
        <v>1324</v>
      </c>
      <c r="H19">
        <v>2</v>
      </c>
      <c r="I19">
        <v>3</v>
      </c>
      <c r="K19">
        <v>0</v>
      </c>
      <c r="L19">
        <v>0</v>
      </c>
      <c r="M19">
        <v>0</v>
      </c>
      <c r="N19">
        <v>0</v>
      </c>
      <c r="P19">
        <v>12791</v>
      </c>
      <c r="Q19" t="s">
        <v>264</v>
      </c>
      <c r="S19" t="s">
        <v>1579</v>
      </c>
      <c r="T19" t="s">
        <v>1297</v>
      </c>
      <c r="U19">
        <v>56078603</v>
      </c>
      <c r="V19" t="s">
        <v>1173</v>
      </c>
    </row>
    <row r="20" spans="3:22" x14ac:dyDescent="0.2">
      <c r="C20">
        <v>171846</v>
      </c>
      <c r="D20" t="s">
        <v>1261</v>
      </c>
      <c r="E20" t="s">
        <v>1270</v>
      </c>
      <c r="F20">
        <v>201</v>
      </c>
      <c r="U20">
        <v>56078603</v>
      </c>
      <c r="V20" t="s">
        <v>1173</v>
      </c>
    </row>
    <row r="21" spans="3:22" x14ac:dyDescent="0.2">
      <c r="C21">
        <v>171847</v>
      </c>
      <c r="D21" t="s">
        <v>1271</v>
      </c>
      <c r="E21" t="s">
        <v>1279</v>
      </c>
      <c r="F21">
        <v>204</v>
      </c>
      <c r="U21">
        <v>56078603</v>
      </c>
      <c r="V21" t="s">
        <v>1173</v>
      </c>
    </row>
    <row r="22" spans="3:22" x14ac:dyDescent="0.2">
      <c r="C22">
        <v>171843</v>
      </c>
      <c r="D22" t="s">
        <v>1214</v>
      </c>
      <c r="E22" t="s">
        <v>1222</v>
      </c>
      <c r="F22">
        <v>662</v>
      </c>
      <c r="U22">
        <v>56078603</v>
      </c>
      <c r="V22" t="s">
        <v>1173</v>
      </c>
    </row>
    <row r="23" spans="3:22" x14ac:dyDescent="0.2">
      <c r="C23">
        <v>171858</v>
      </c>
      <c r="D23" t="s">
        <v>1330</v>
      </c>
      <c r="E23" t="s">
        <v>1339</v>
      </c>
      <c r="F23">
        <v>993</v>
      </c>
      <c r="U23">
        <v>56078603</v>
      </c>
      <c r="V23" t="s">
        <v>1332</v>
      </c>
    </row>
    <row r="24" spans="3:22" x14ac:dyDescent="0.2">
      <c r="C24">
        <v>171845</v>
      </c>
      <c r="D24" t="s">
        <v>1188</v>
      </c>
      <c r="E24" t="s">
        <v>1196</v>
      </c>
      <c r="F24">
        <v>713</v>
      </c>
      <c r="U24">
        <v>56078603</v>
      </c>
      <c r="V24" t="s">
        <v>1173</v>
      </c>
    </row>
    <row r="25" spans="3:22" x14ac:dyDescent="0.2">
      <c r="C25">
        <v>171844</v>
      </c>
      <c r="D25" t="s">
        <v>1225</v>
      </c>
      <c r="E25" t="s">
        <v>1222</v>
      </c>
      <c r="F25">
        <v>624</v>
      </c>
      <c r="U25">
        <v>56078603</v>
      </c>
      <c r="V25" t="s">
        <v>1173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12"/>
  <dimension ref="C2:U29"/>
  <sheetViews>
    <sheetView rightToLeft="1" workbookViewId="0">
      <selection activeCell="AL8" sqref="AL8"/>
    </sheetView>
  </sheetViews>
  <sheetFormatPr defaultRowHeight="12.75" x14ac:dyDescent="0.2"/>
  <cols>
    <col min="4" max="4" width="12.5703125" customWidth="1"/>
    <col min="5" max="5" width="11" customWidth="1"/>
    <col min="7" max="7" width="22" customWidth="1"/>
    <col min="9" max="9" width="20.42578125" customWidth="1"/>
    <col min="10" max="10" width="9.140625" style="1021"/>
    <col min="11" max="11" width="11.42578125" customWidth="1"/>
    <col min="13" max="13" width="11.140625" style="1021" customWidth="1"/>
    <col min="19" max="19" width="10.42578125" style="1021" customWidth="1"/>
  </cols>
  <sheetData>
    <row r="2" spans="3:21" ht="18" x14ac:dyDescent="0.25">
      <c r="J2" s="1026" t="s">
        <v>293</v>
      </c>
    </row>
    <row r="4" spans="3:21" ht="13.5" thickBot="1" x14ac:dyDescent="0.25"/>
    <row r="5" spans="3:21" ht="48" thickBot="1" x14ac:dyDescent="0.25">
      <c r="C5" s="8" t="s">
        <v>0</v>
      </c>
      <c r="D5" s="8" t="s">
        <v>162</v>
      </c>
      <c r="E5" s="8" t="s">
        <v>37</v>
      </c>
      <c r="F5" s="8" t="s">
        <v>83</v>
      </c>
      <c r="G5" s="8" t="s">
        <v>139</v>
      </c>
      <c r="H5" s="8" t="s">
        <v>287</v>
      </c>
      <c r="I5" s="8" t="s">
        <v>288</v>
      </c>
      <c r="J5" s="1025" t="s">
        <v>289</v>
      </c>
      <c r="K5" s="8" t="s">
        <v>290</v>
      </c>
      <c r="L5" s="8" t="s">
        <v>291</v>
      </c>
      <c r="M5" s="1025" t="s">
        <v>292</v>
      </c>
      <c r="N5" s="8" t="s">
        <v>83</v>
      </c>
      <c r="O5" s="8" t="s">
        <v>83</v>
      </c>
      <c r="P5" s="8" t="s">
        <v>83</v>
      </c>
      <c r="Q5" s="8" t="s">
        <v>83</v>
      </c>
      <c r="R5" s="8" t="s">
        <v>1</v>
      </c>
      <c r="S5" s="1025" t="s">
        <v>15</v>
      </c>
      <c r="T5" s="8" t="s">
        <v>83</v>
      </c>
      <c r="U5" s="8" t="s">
        <v>83</v>
      </c>
    </row>
    <row r="6" spans="3:21" x14ac:dyDescent="0.2">
      <c r="C6">
        <v>104529</v>
      </c>
      <c r="D6" t="s">
        <v>1214</v>
      </c>
      <c r="E6" t="s">
        <v>1222</v>
      </c>
      <c r="F6">
        <v>662</v>
      </c>
      <c r="R6">
        <v>56078603</v>
      </c>
      <c r="S6" s="1021" t="s">
        <v>1173</v>
      </c>
    </row>
    <row r="7" spans="3:21" x14ac:dyDescent="0.2">
      <c r="C7">
        <v>104530</v>
      </c>
      <c r="D7" t="s">
        <v>1225</v>
      </c>
      <c r="E7" t="s">
        <v>1222</v>
      </c>
      <c r="F7">
        <v>624</v>
      </c>
      <c r="R7">
        <v>56078603</v>
      </c>
      <c r="S7" s="1021" t="s">
        <v>1173</v>
      </c>
    </row>
    <row r="8" spans="3:21" x14ac:dyDescent="0.2">
      <c r="C8">
        <v>104531</v>
      </c>
      <c r="D8" t="s">
        <v>1171</v>
      </c>
      <c r="E8" t="s">
        <v>1182</v>
      </c>
      <c r="F8">
        <v>449</v>
      </c>
      <c r="G8" t="s">
        <v>1581</v>
      </c>
      <c r="K8" t="s">
        <v>1358</v>
      </c>
      <c r="L8" t="s">
        <v>1358</v>
      </c>
      <c r="M8" s="1021" t="s">
        <v>1174</v>
      </c>
      <c r="N8">
        <v>3</v>
      </c>
      <c r="O8">
        <v>3</v>
      </c>
      <c r="Q8">
        <v>9</v>
      </c>
      <c r="R8">
        <v>56078603</v>
      </c>
      <c r="S8" s="1021" t="s">
        <v>1173</v>
      </c>
    </row>
    <row r="9" spans="3:21" x14ac:dyDescent="0.2">
      <c r="C9">
        <v>104532</v>
      </c>
      <c r="D9" t="s">
        <v>1184</v>
      </c>
      <c r="E9" t="s">
        <v>1182</v>
      </c>
      <c r="F9">
        <v>92</v>
      </c>
      <c r="G9" t="s">
        <v>1581</v>
      </c>
      <c r="H9">
        <v>18984.34</v>
      </c>
      <c r="J9" s="1021" t="s">
        <v>1582</v>
      </c>
      <c r="K9" t="s">
        <v>1358</v>
      </c>
      <c r="L9" t="s">
        <v>1358</v>
      </c>
      <c r="M9" s="1021" t="s">
        <v>1185</v>
      </c>
      <c r="N9">
        <v>3</v>
      </c>
      <c r="O9">
        <v>3</v>
      </c>
      <c r="Q9">
        <v>9</v>
      </c>
      <c r="R9">
        <v>56078603</v>
      </c>
      <c r="S9" s="1021" t="s">
        <v>1173</v>
      </c>
    </row>
    <row r="10" spans="3:21" x14ac:dyDescent="0.2">
      <c r="C10">
        <v>104533</v>
      </c>
      <c r="D10" t="s">
        <v>1188</v>
      </c>
      <c r="E10" t="s">
        <v>1196</v>
      </c>
      <c r="F10">
        <v>713</v>
      </c>
      <c r="G10" t="s">
        <v>1581</v>
      </c>
      <c r="H10">
        <v>0</v>
      </c>
      <c r="I10" t="s">
        <v>1583</v>
      </c>
      <c r="K10" t="s">
        <v>1358</v>
      </c>
      <c r="L10" t="s">
        <v>1358</v>
      </c>
      <c r="N10">
        <v>3</v>
      </c>
      <c r="O10">
        <v>3</v>
      </c>
      <c r="P10">
        <v>1</v>
      </c>
      <c r="Q10">
        <v>9</v>
      </c>
      <c r="R10">
        <v>56078603</v>
      </c>
      <c r="S10" s="1021" t="s">
        <v>1173</v>
      </c>
    </row>
    <row r="11" spans="3:21" x14ac:dyDescent="0.2">
      <c r="C11">
        <v>104534</v>
      </c>
      <c r="D11" t="s">
        <v>1227</v>
      </c>
      <c r="E11" t="s">
        <v>1196</v>
      </c>
      <c r="F11">
        <v>453</v>
      </c>
      <c r="G11" t="s">
        <v>1584</v>
      </c>
      <c r="H11">
        <v>884.21</v>
      </c>
      <c r="I11" t="s">
        <v>1583</v>
      </c>
      <c r="J11" s="1021" t="s">
        <v>1336</v>
      </c>
      <c r="K11" t="s">
        <v>1375</v>
      </c>
      <c r="L11" t="s">
        <v>1357</v>
      </c>
      <c r="M11" s="1021" t="s">
        <v>1228</v>
      </c>
      <c r="N11">
        <v>1</v>
      </c>
      <c r="O11">
        <v>2</v>
      </c>
      <c r="P11">
        <v>1</v>
      </c>
      <c r="Q11">
        <v>4</v>
      </c>
      <c r="R11">
        <v>56078603</v>
      </c>
      <c r="S11" s="1021" t="s">
        <v>1173</v>
      </c>
    </row>
    <row r="12" spans="3:21" x14ac:dyDescent="0.2">
      <c r="C12">
        <v>104535</v>
      </c>
      <c r="D12" t="s">
        <v>1237</v>
      </c>
      <c r="E12" t="s">
        <v>1246</v>
      </c>
      <c r="F12">
        <v>885</v>
      </c>
      <c r="H12">
        <v>0</v>
      </c>
      <c r="I12" t="s">
        <v>1583</v>
      </c>
      <c r="J12" s="1021" t="s">
        <v>1323</v>
      </c>
      <c r="K12" t="s">
        <v>1358</v>
      </c>
      <c r="L12" t="s">
        <v>1358</v>
      </c>
      <c r="N12">
        <v>3</v>
      </c>
      <c r="O12">
        <v>3</v>
      </c>
      <c r="P12">
        <v>1</v>
      </c>
      <c r="R12">
        <v>56078603</v>
      </c>
      <c r="S12" s="1021" t="s">
        <v>1173</v>
      </c>
    </row>
    <row r="13" spans="3:21" x14ac:dyDescent="0.2">
      <c r="C13">
        <v>104536</v>
      </c>
      <c r="D13" t="s">
        <v>1247</v>
      </c>
      <c r="E13" t="s">
        <v>1246</v>
      </c>
      <c r="F13">
        <v>188</v>
      </c>
      <c r="H13">
        <v>0</v>
      </c>
      <c r="I13" t="s">
        <v>1583</v>
      </c>
      <c r="K13" t="s">
        <v>1358</v>
      </c>
      <c r="L13" t="s">
        <v>1358</v>
      </c>
      <c r="N13">
        <v>3</v>
      </c>
      <c r="O13">
        <v>3</v>
      </c>
      <c r="P13">
        <v>1</v>
      </c>
      <c r="R13">
        <v>56078603</v>
      </c>
      <c r="S13" s="1021" t="s">
        <v>1173</v>
      </c>
    </row>
    <row r="14" spans="3:21" x14ac:dyDescent="0.2">
      <c r="C14">
        <v>104538</v>
      </c>
      <c r="D14" t="s">
        <v>1254</v>
      </c>
      <c r="E14" t="s">
        <v>1246</v>
      </c>
      <c r="F14">
        <v>441</v>
      </c>
      <c r="H14">
        <v>0</v>
      </c>
      <c r="I14" t="s">
        <v>1583</v>
      </c>
      <c r="K14" t="s">
        <v>1358</v>
      </c>
      <c r="L14" t="s">
        <v>1358</v>
      </c>
      <c r="M14" s="1021" t="s">
        <v>1585</v>
      </c>
      <c r="N14">
        <v>3</v>
      </c>
      <c r="O14">
        <v>3</v>
      </c>
      <c r="P14">
        <v>1</v>
      </c>
      <c r="R14">
        <v>56078603</v>
      </c>
      <c r="S14" s="1021" t="s">
        <v>1173</v>
      </c>
    </row>
    <row r="15" spans="3:21" x14ac:dyDescent="0.2">
      <c r="C15">
        <v>104539</v>
      </c>
      <c r="D15" t="s">
        <v>1197</v>
      </c>
      <c r="E15" t="s">
        <v>1204</v>
      </c>
      <c r="F15">
        <v>416</v>
      </c>
      <c r="G15" t="s">
        <v>1581</v>
      </c>
      <c r="H15">
        <v>0</v>
      </c>
      <c r="I15" t="s">
        <v>1583</v>
      </c>
      <c r="J15" s="1021" t="s">
        <v>1173</v>
      </c>
      <c r="K15" t="s">
        <v>1358</v>
      </c>
      <c r="L15" t="s">
        <v>1358</v>
      </c>
      <c r="M15" s="1021" t="s">
        <v>1586</v>
      </c>
      <c r="N15">
        <v>3</v>
      </c>
      <c r="O15">
        <v>3</v>
      </c>
      <c r="P15">
        <v>1</v>
      </c>
      <c r="Q15">
        <v>9</v>
      </c>
      <c r="R15">
        <v>56078603</v>
      </c>
      <c r="S15" s="1021" t="s">
        <v>1173</v>
      </c>
    </row>
    <row r="16" spans="3:21" x14ac:dyDescent="0.2">
      <c r="C16">
        <v>104540</v>
      </c>
      <c r="D16" t="s">
        <v>1261</v>
      </c>
      <c r="E16" t="s">
        <v>1270</v>
      </c>
      <c r="F16">
        <v>201</v>
      </c>
      <c r="G16" t="s">
        <v>1587</v>
      </c>
      <c r="H16">
        <v>1</v>
      </c>
      <c r="I16" t="s">
        <v>1583</v>
      </c>
      <c r="J16" s="1021" t="s">
        <v>1263</v>
      </c>
      <c r="K16" t="s">
        <v>1358</v>
      </c>
      <c r="L16" t="s">
        <v>1357</v>
      </c>
      <c r="M16" s="1021" t="s">
        <v>1265</v>
      </c>
      <c r="N16">
        <v>1</v>
      </c>
      <c r="O16">
        <v>3</v>
      </c>
      <c r="P16">
        <v>1</v>
      </c>
      <c r="Q16">
        <v>5</v>
      </c>
      <c r="R16">
        <v>56078603</v>
      </c>
      <c r="S16" s="1021" t="s">
        <v>1173</v>
      </c>
    </row>
    <row r="17" spans="3:19" x14ac:dyDescent="0.2">
      <c r="C17">
        <v>104541</v>
      </c>
      <c r="D17" t="s">
        <v>1271</v>
      </c>
      <c r="E17" t="s">
        <v>1279</v>
      </c>
      <c r="F17">
        <v>204</v>
      </c>
      <c r="G17" t="s">
        <v>1587</v>
      </c>
      <c r="H17">
        <v>0</v>
      </c>
      <c r="I17" t="s">
        <v>1583</v>
      </c>
      <c r="J17" s="1021" t="s">
        <v>1273</v>
      </c>
      <c r="L17" t="s">
        <v>1375</v>
      </c>
      <c r="M17" s="1021" t="s">
        <v>1273</v>
      </c>
      <c r="N17">
        <v>2</v>
      </c>
      <c r="P17">
        <v>1</v>
      </c>
      <c r="Q17">
        <v>5</v>
      </c>
      <c r="R17">
        <v>56078603</v>
      </c>
      <c r="S17" s="1021" t="s">
        <v>1173</v>
      </c>
    </row>
    <row r="18" spans="3:19" x14ac:dyDescent="0.2">
      <c r="C18">
        <v>104542</v>
      </c>
      <c r="D18" t="s">
        <v>1280</v>
      </c>
      <c r="E18" t="s">
        <v>1287</v>
      </c>
      <c r="F18">
        <v>526</v>
      </c>
      <c r="G18" t="s">
        <v>1584</v>
      </c>
      <c r="H18">
        <v>1142</v>
      </c>
      <c r="I18" t="s">
        <v>1583</v>
      </c>
      <c r="J18" s="1021" t="s">
        <v>1173</v>
      </c>
      <c r="K18" t="s">
        <v>1375</v>
      </c>
      <c r="L18" t="s">
        <v>1375</v>
      </c>
      <c r="M18" s="1021" t="s">
        <v>1282</v>
      </c>
      <c r="N18">
        <v>2</v>
      </c>
      <c r="O18">
        <v>2</v>
      </c>
      <c r="P18">
        <v>1</v>
      </c>
      <c r="Q18">
        <v>4</v>
      </c>
      <c r="R18">
        <v>56078603</v>
      </c>
      <c r="S18" s="1021" t="s">
        <v>1173</v>
      </c>
    </row>
    <row r="19" spans="3:19" x14ac:dyDescent="0.2">
      <c r="C19">
        <v>104543</v>
      </c>
      <c r="D19" t="s">
        <v>1289</v>
      </c>
      <c r="E19" t="s">
        <v>1287</v>
      </c>
      <c r="F19">
        <v>23</v>
      </c>
      <c r="R19">
        <v>56078603</v>
      </c>
      <c r="S19" s="1021" t="s">
        <v>1173</v>
      </c>
    </row>
    <row r="20" spans="3:19" x14ac:dyDescent="0.2">
      <c r="C20">
        <v>104544</v>
      </c>
      <c r="D20" t="s">
        <v>1424</v>
      </c>
      <c r="E20" t="s">
        <v>1287</v>
      </c>
      <c r="F20">
        <v>682</v>
      </c>
      <c r="R20">
        <v>56078603</v>
      </c>
      <c r="S20" s="1021" t="s">
        <v>1173</v>
      </c>
    </row>
    <row r="21" spans="3:19" x14ac:dyDescent="0.2">
      <c r="C21">
        <v>104545</v>
      </c>
      <c r="D21" t="s">
        <v>1386</v>
      </c>
      <c r="E21" t="s">
        <v>1287</v>
      </c>
      <c r="F21">
        <v>672</v>
      </c>
      <c r="R21">
        <v>56078603</v>
      </c>
      <c r="S21" s="1021" t="s">
        <v>1173</v>
      </c>
    </row>
    <row r="22" spans="3:19" x14ac:dyDescent="0.2">
      <c r="C22">
        <v>104546</v>
      </c>
      <c r="D22" t="s">
        <v>1392</v>
      </c>
      <c r="E22" t="s">
        <v>1287</v>
      </c>
      <c r="F22">
        <v>51</v>
      </c>
      <c r="R22">
        <v>56078603</v>
      </c>
      <c r="S22" s="1021" t="s">
        <v>1173</v>
      </c>
    </row>
    <row r="23" spans="3:19" x14ac:dyDescent="0.2">
      <c r="C23">
        <v>104547</v>
      </c>
      <c r="D23" t="s">
        <v>1293</v>
      </c>
      <c r="E23" t="s">
        <v>1301</v>
      </c>
      <c r="F23">
        <v>443</v>
      </c>
      <c r="R23">
        <v>56078603</v>
      </c>
      <c r="S23" s="1021" t="s">
        <v>1173</v>
      </c>
    </row>
    <row r="24" spans="3:19" x14ac:dyDescent="0.2">
      <c r="C24">
        <v>104548</v>
      </c>
      <c r="D24" t="s">
        <v>1303</v>
      </c>
      <c r="E24" t="s">
        <v>1301</v>
      </c>
      <c r="F24">
        <v>807</v>
      </c>
      <c r="R24">
        <v>56078603</v>
      </c>
      <c r="S24" s="1021" t="s">
        <v>1173</v>
      </c>
    </row>
    <row r="25" spans="3:19" x14ac:dyDescent="0.2">
      <c r="C25">
        <v>104549</v>
      </c>
      <c r="D25" t="s">
        <v>1309</v>
      </c>
      <c r="E25" t="s">
        <v>1301</v>
      </c>
      <c r="F25">
        <v>177</v>
      </c>
      <c r="G25" t="s">
        <v>17</v>
      </c>
      <c r="Q25">
        <v>6</v>
      </c>
      <c r="R25">
        <v>56078603</v>
      </c>
      <c r="S25" s="1021" t="s">
        <v>1173</v>
      </c>
    </row>
    <row r="26" spans="3:19" x14ac:dyDescent="0.2">
      <c r="C26">
        <v>104550</v>
      </c>
      <c r="D26" t="s">
        <v>1315</v>
      </c>
      <c r="E26" t="s">
        <v>1301</v>
      </c>
      <c r="F26">
        <v>56</v>
      </c>
      <c r="R26">
        <v>56078603</v>
      </c>
      <c r="S26" s="1021" t="s">
        <v>1173</v>
      </c>
    </row>
    <row r="27" spans="3:19" x14ac:dyDescent="0.2">
      <c r="C27">
        <v>104551</v>
      </c>
      <c r="D27" t="s">
        <v>1321</v>
      </c>
      <c r="E27" t="s">
        <v>1301</v>
      </c>
      <c r="F27">
        <v>439</v>
      </c>
      <c r="G27" t="s">
        <v>1584</v>
      </c>
      <c r="H27">
        <v>8700</v>
      </c>
      <c r="I27" t="s">
        <v>1588</v>
      </c>
      <c r="J27" s="1021" t="s">
        <v>1589</v>
      </c>
      <c r="K27" t="s">
        <v>1358</v>
      </c>
      <c r="L27" t="s">
        <v>1358</v>
      </c>
      <c r="M27" s="1021" t="s">
        <v>1323</v>
      </c>
      <c r="N27">
        <v>3</v>
      </c>
      <c r="O27">
        <v>3</v>
      </c>
      <c r="P27">
        <v>3</v>
      </c>
      <c r="Q27">
        <v>4</v>
      </c>
      <c r="R27">
        <v>56078603</v>
      </c>
      <c r="S27" s="1021" t="s">
        <v>1173</v>
      </c>
    </row>
    <row r="28" spans="3:19" x14ac:dyDescent="0.2">
      <c r="C28">
        <v>104552</v>
      </c>
      <c r="D28" t="s">
        <v>1325</v>
      </c>
      <c r="E28" t="s">
        <v>1301</v>
      </c>
      <c r="F28">
        <v>384</v>
      </c>
      <c r="R28">
        <v>56078603</v>
      </c>
      <c r="S28" s="1021" t="s">
        <v>1173</v>
      </c>
    </row>
    <row r="29" spans="3:19" x14ac:dyDescent="0.2">
      <c r="C29">
        <v>104553</v>
      </c>
      <c r="D29" t="s">
        <v>1330</v>
      </c>
      <c r="E29" t="s">
        <v>1339</v>
      </c>
      <c r="F29">
        <v>993</v>
      </c>
      <c r="G29" t="s">
        <v>1587</v>
      </c>
      <c r="H29">
        <v>19502.36</v>
      </c>
      <c r="I29" t="s">
        <v>1583</v>
      </c>
      <c r="J29" s="1021" t="s">
        <v>1336</v>
      </c>
      <c r="L29" t="s">
        <v>1358</v>
      </c>
      <c r="M29" s="1021" t="s">
        <v>1333</v>
      </c>
      <c r="N29">
        <v>3</v>
      </c>
      <c r="P29">
        <v>1</v>
      </c>
      <c r="Q29">
        <v>5</v>
      </c>
      <c r="R29">
        <v>56078603</v>
      </c>
      <c r="S29" s="1021" t="s">
        <v>1332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44"/>
  <dimension ref="B4:AH24"/>
  <sheetViews>
    <sheetView rightToLeft="1" workbookViewId="0">
      <selection activeCell="AL8" sqref="AL8"/>
    </sheetView>
  </sheetViews>
  <sheetFormatPr defaultRowHeight="12.75" x14ac:dyDescent="0.2"/>
  <cols>
    <col min="25" max="26" width="9.140625" style="1021"/>
    <col min="29" max="30" width="9.140625" style="1021"/>
  </cols>
  <sheetData>
    <row r="4" spans="2:34" ht="13.5" thickBot="1" x14ac:dyDescent="0.25"/>
    <row r="5" spans="2:34" ht="150.75" thickBot="1" x14ac:dyDescent="0.25">
      <c r="C5" s="8" t="s">
        <v>0</v>
      </c>
      <c r="D5" s="8" t="s">
        <v>162</v>
      </c>
      <c r="E5" s="8" t="s">
        <v>37</v>
      </c>
      <c r="F5" s="8" t="s">
        <v>83</v>
      </c>
      <c r="G5" s="976" t="s">
        <v>1024</v>
      </c>
      <c r="H5" s="977" t="s">
        <v>1025</v>
      </c>
      <c r="I5" s="968" t="s">
        <v>1026</v>
      </c>
      <c r="J5" s="977" t="s">
        <v>1027</v>
      </c>
      <c r="K5" s="968" t="s">
        <v>1028</v>
      </c>
      <c r="L5" s="977" t="s">
        <v>1030</v>
      </c>
      <c r="M5" s="968" t="s">
        <v>1031</v>
      </c>
      <c r="N5" s="968" t="s">
        <v>1032</v>
      </c>
      <c r="O5" s="977" t="s">
        <v>1033</v>
      </c>
      <c r="P5" s="977" t="s">
        <v>1034</v>
      </c>
      <c r="Q5" s="968" t="s">
        <v>1035</v>
      </c>
      <c r="R5" s="968" t="s">
        <v>1038</v>
      </c>
      <c r="S5" s="968" t="s">
        <v>1039</v>
      </c>
      <c r="T5" s="977" t="s">
        <v>1040</v>
      </c>
      <c r="U5" s="968" t="s">
        <v>1041</v>
      </c>
      <c r="V5" s="968" t="s">
        <v>1042</v>
      </c>
      <c r="W5" s="968" t="s">
        <v>1044</v>
      </c>
      <c r="X5" s="968" t="s">
        <v>1045</v>
      </c>
      <c r="Y5" s="1027" t="s">
        <v>1046</v>
      </c>
      <c r="Z5" s="1028" t="s">
        <v>1047</v>
      </c>
      <c r="AA5" s="970" t="s">
        <v>1048</v>
      </c>
      <c r="AB5" s="969" t="s">
        <v>1029</v>
      </c>
      <c r="AC5" s="1029" t="s">
        <v>1036</v>
      </c>
      <c r="AD5" s="1029" t="s">
        <v>1037</v>
      </c>
      <c r="AE5" s="969" t="s">
        <v>1043</v>
      </c>
    </row>
    <row r="6" spans="2:34" x14ac:dyDescent="0.2">
      <c r="C6">
        <v>172453</v>
      </c>
      <c r="D6" t="s">
        <v>1351</v>
      </c>
      <c r="E6" t="s">
        <v>1212</v>
      </c>
      <c r="F6">
        <v>1</v>
      </c>
      <c r="G6">
        <v>0</v>
      </c>
      <c r="H6">
        <v>0</v>
      </c>
      <c r="I6">
        <v>0</v>
      </c>
      <c r="J6">
        <v>0</v>
      </c>
      <c r="K6" t="s">
        <v>1209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 s="1021" t="s">
        <v>1209</v>
      </c>
      <c r="Z6" s="1021" t="s">
        <v>1209</v>
      </c>
      <c r="AB6">
        <v>56078603</v>
      </c>
      <c r="AC6" s="1021" t="s">
        <v>1206</v>
      </c>
      <c r="AD6" s="1021">
        <v>0</v>
      </c>
    </row>
    <row r="7" spans="2:34" ht="12" customHeight="1" x14ac:dyDescent="0.2">
      <c r="B7" s="185"/>
      <c r="C7" s="971">
        <v>172454</v>
      </c>
      <c r="D7" t="s">
        <v>1351</v>
      </c>
      <c r="E7" t="s">
        <v>1212</v>
      </c>
      <c r="F7">
        <v>1</v>
      </c>
      <c r="G7">
        <v>0</v>
      </c>
      <c r="H7">
        <v>0</v>
      </c>
      <c r="I7">
        <v>0</v>
      </c>
      <c r="J7">
        <v>0</v>
      </c>
      <c r="K7" t="s">
        <v>1209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 s="1021" t="s">
        <v>1209</v>
      </c>
      <c r="Z7" s="1021" t="s">
        <v>1209</v>
      </c>
      <c r="AB7">
        <v>56078603</v>
      </c>
      <c r="AC7" s="1021" t="s">
        <v>1206</v>
      </c>
      <c r="AD7" s="1021">
        <v>0</v>
      </c>
    </row>
    <row r="8" spans="2:34" ht="12" customHeight="1" x14ac:dyDescent="0.2">
      <c r="B8" s="185"/>
      <c r="C8" s="971">
        <v>172455</v>
      </c>
      <c r="D8" t="s">
        <v>1351</v>
      </c>
      <c r="E8" t="s">
        <v>1212</v>
      </c>
      <c r="F8">
        <v>1</v>
      </c>
      <c r="G8">
        <v>0</v>
      </c>
      <c r="H8">
        <v>0</v>
      </c>
      <c r="I8">
        <v>0</v>
      </c>
      <c r="J8">
        <v>0</v>
      </c>
      <c r="K8" t="s">
        <v>1209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 s="1021" t="s">
        <v>1209</v>
      </c>
      <c r="Z8" s="1021" t="s">
        <v>1209</v>
      </c>
      <c r="AB8">
        <v>56078603</v>
      </c>
      <c r="AC8" s="1021" t="s">
        <v>1206</v>
      </c>
      <c r="AD8" s="1021">
        <v>0</v>
      </c>
    </row>
    <row r="9" spans="2:34" ht="12" customHeight="1" x14ac:dyDescent="0.2">
      <c r="B9" s="185"/>
      <c r="C9" s="971">
        <v>172539</v>
      </c>
      <c r="D9" t="s">
        <v>1205</v>
      </c>
      <c r="E9" t="s">
        <v>1212</v>
      </c>
      <c r="F9">
        <v>1</v>
      </c>
      <c r="G9">
        <v>0</v>
      </c>
      <c r="H9">
        <v>0</v>
      </c>
      <c r="I9">
        <v>0</v>
      </c>
      <c r="J9">
        <v>0</v>
      </c>
      <c r="K9" t="s">
        <v>1209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 s="1021" t="s">
        <v>1209</v>
      </c>
      <c r="Z9" s="1021" t="s">
        <v>1209</v>
      </c>
      <c r="AB9">
        <v>56078603</v>
      </c>
      <c r="AC9" s="1021" t="s">
        <v>1206</v>
      </c>
      <c r="AD9" s="1021">
        <v>0</v>
      </c>
    </row>
    <row r="10" spans="2:34" ht="12" customHeight="1" x14ac:dyDescent="0.2">
      <c r="B10" s="185"/>
      <c r="C10" s="972">
        <v>185811</v>
      </c>
      <c r="D10" t="s">
        <v>1214</v>
      </c>
      <c r="E10" t="s">
        <v>1222</v>
      </c>
      <c r="F10">
        <v>662</v>
      </c>
      <c r="O10">
        <v>0</v>
      </c>
      <c r="P10">
        <v>0</v>
      </c>
      <c r="Q10">
        <v>0</v>
      </c>
      <c r="T10">
        <v>0</v>
      </c>
      <c r="U10">
        <v>0</v>
      </c>
      <c r="V10">
        <v>0</v>
      </c>
      <c r="AA10" t="s">
        <v>1358</v>
      </c>
      <c r="AB10">
        <v>56078603</v>
      </c>
      <c r="AC10" s="1021" t="s">
        <v>1173</v>
      </c>
      <c r="AD10" s="1021">
        <v>3</v>
      </c>
    </row>
    <row r="11" spans="2:34" ht="12" customHeight="1" x14ac:dyDescent="0.2">
      <c r="B11" s="185"/>
      <c r="C11" s="972">
        <v>185812</v>
      </c>
      <c r="D11" t="s">
        <v>1225</v>
      </c>
      <c r="E11" t="s">
        <v>1222</v>
      </c>
      <c r="F11">
        <v>624</v>
      </c>
      <c r="O11">
        <v>0</v>
      </c>
      <c r="P11">
        <v>0</v>
      </c>
      <c r="Q11">
        <v>0</v>
      </c>
      <c r="T11">
        <v>0</v>
      </c>
      <c r="U11">
        <v>0</v>
      </c>
      <c r="V11">
        <v>0</v>
      </c>
      <c r="AA11" t="s">
        <v>1358</v>
      </c>
      <c r="AB11">
        <v>56078603</v>
      </c>
      <c r="AC11" s="1021" t="s">
        <v>1173</v>
      </c>
      <c r="AD11" s="1021">
        <v>3</v>
      </c>
    </row>
    <row r="12" spans="2:34" ht="12" customHeight="1" x14ac:dyDescent="0.2">
      <c r="B12" s="185"/>
      <c r="C12" s="971">
        <v>185813</v>
      </c>
      <c r="D12" t="s">
        <v>1171</v>
      </c>
      <c r="E12" t="s">
        <v>1182</v>
      </c>
      <c r="F12">
        <v>449</v>
      </c>
      <c r="AB12">
        <v>56078603</v>
      </c>
      <c r="AC12" s="1021" t="s">
        <v>1173</v>
      </c>
    </row>
    <row r="13" spans="2:34" ht="12" customHeight="1" x14ac:dyDescent="0.2">
      <c r="B13" s="185"/>
      <c r="C13" s="971">
        <v>185814</v>
      </c>
      <c r="D13" t="s">
        <v>1184</v>
      </c>
      <c r="E13" t="s">
        <v>1182</v>
      </c>
      <c r="F13">
        <v>92</v>
      </c>
      <c r="AB13">
        <v>56078603</v>
      </c>
      <c r="AC13" s="1021" t="s">
        <v>1173</v>
      </c>
    </row>
    <row r="14" spans="2:34" ht="12" customHeight="1" x14ac:dyDescent="0.2">
      <c r="B14" s="185"/>
      <c r="C14" s="971">
        <v>185815</v>
      </c>
      <c r="D14" t="s">
        <v>1188</v>
      </c>
      <c r="E14" t="s">
        <v>1196</v>
      </c>
      <c r="F14">
        <v>713</v>
      </c>
      <c r="AB14">
        <v>56078603</v>
      </c>
      <c r="AC14" s="1021" t="s">
        <v>1173</v>
      </c>
    </row>
    <row r="15" spans="2:34" ht="12" customHeight="1" x14ac:dyDescent="0.2">
      <c r="B15" s="185"/>
      <c r="C15" s="971">
        <v>185816</v>
      </c>
      <c r="D15" t="s">
        <v>1227</v>
      </c>
      <c r="E15" t="s">
        <v>1196</v>
      </c>
      <c r="F15">
        <v>453</v>
      </c>
      <c r="G15">
        <v>12.11</v>
      </c>
      <c r="H15">
        <v>0.66</v>
      </c>
      <c r="I15">
        <v>75</v>
      </c>
      <c r="J15">
        <v>951.12</v>
      </c>
      <c r="K15" t="s">
        <v>1173</v>
      </c>
      <c r="L15">
        <v>713.34</v>
      </c>
      <c r="M15">
        <v>16.54</v>
      </c>
      <c r="N15">
        <v>22.25</v>
      </c>
      <c r="O15">
        <v>423.25</v>
      </c>
      <c r="P15">
        <v>211.62</v>
      </c>
      <c r="Q15">
        <v>70.569999999999993</v>
      </c>
      <c r="R15">
        <v>44.5</v>
      </c>
      <c r="S15">
        <v>7.42</v>
      </c>
      <c r="T15">
        <v>67</v>
      </c>
      <c r="U15">
        <v>0</v>
      </c>
      <c r="V15">
        <v>60</v>
      </c>
      <c r="Y15" s="1021" t="s">
        <v>1228</v>
      </c>
      <c r="Z15" s="1021" t="s">
        <v>1419</v>
      </c>
      <c r="AA15" t="s">
        <v>1375</v>
      </c>
      <c r="AB15">
        <v>56078603</v>
      </c>
      <c r="AC15" s="1021" t="s">
        <v>1173</v>
      </c>
      <c r="AD15" s="1021">
        <v>2</v>
      </c>
      <c r="AE15">
        <v>0</v>
      </c>
      <c r="AH15">
        <v>0</v>
      </c>
    </row>
    <row r="16" spans="2:34" ht="12" customHeight="1" x14ac:dyDescent="0.2">
      <c r="B16" s="185"/>
      <c r="C16" s="971">
        <v>185817</v>
      </c>
      <c r="D16" t="s">
        <v>1237</v>
      </c>
      <c r="E16" t="s">
        <v>1246</v>
      </c>
      <c r="F16">
        <v>885</v>
      </c>
      <c r="G16">
        <v>0</v>
      </c>
      <c r="H16">
        <v>0</v>
      </c>
      <c r="M16">
        <v>0</v>
      </c>
      <c r="O16">
        <v>0</v>
      </c>
      <c r="P16">
        <v>0</v>
      </c>
      <c r="Q16">
        <v>0</v>
      </c>
      <c r="U16">
        <v>0</v>
      </c>
      <c r="Y16" s="1021" t="s">
        <v>1218</v>
      </c>
      <c r="AB16">
        <v>56078603</v>
      </c>
      <c r="AC16" s="1021" t="s">
        <v>1173</v>
      </c>
      <c r="AE16">
        <v>0</v>
      </c>
    </row>
    <row r="17" spans="2:34" ht="12" customHeight="1" x14ac:dyDescent="0.2">
      <c r="B17" s="185"/>
      <c r="C17" s="972">
        <v>185818</v>
      </c>
      <c r="D17" t="s">
        <v>1247</v>
      </c>
      <c r="E17" t="s">
        <v>1246</v>
      </c>
      <c r="F17">
        <v>188</v>
      </c>
      <c r="G17">
        <v>0</v>
      </c>
      <c r="H17">
        <v>0</v>
      </c>
      <c r="M17">
        <v>0</v>
      </c>
      <c r="O17">
        <v>0</v>
      </c>
      <c r="P17">
        <v>0</v>
      </c>
      <c r="Q17">
        <v>0</v>
      </c>
      <c r="U17">
        <v>0</v>
      </c>
      <c r="Y17" s="1021" t="s">
        <v>1218</v>
      </c>
      <c r="AB17">
        <v>56078603</v>
      </c>
      <c r="AC17" s="1021" t="s">
        <v>1173</v>
      </c>
      <c r="AE17">
        <v>0</v>
      </c>
    </row>
    <row r="18" spans="2:34" ht="12" customHeight="1" x14ac:dyDescent="0.2">
      <c r="B18" s="185"/>
      <c r="C18" s="971">
        <v>185820</v>
      </c>
      <c r="D18" t="s">
        <v>1254</v>
      </c>
      <c r="E18" t="s">
        <v>1246</v>
      </c>
      <c r="F18">
        <v>441</v>
      </c>
      <c r="G18">
        <v>0</v>
      </c>
      <c r="H18">
        <v>0</v>
      </c>
      <c r="I18">
        <v>0</v>
      </c>
      <c r="J18">
        <v>0</v>
      </c>
      <c r="K18" t="s">
        <v>1173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67</v>
      </c>
      <c r="U18">
        <v>114.39</v>
      </c>
      <c r="V18">
        <v>0</v>
      </c>
      <c r="W18">
        <v>0</v>
      </c>
      <c r="X18">
        <v>0</v>
      </c>
      <c r="Y18" s="1021" t="s">
        <v>1255</v>
      </c>
      <c r="Z18" s="1021" t="s">
        <v>1173</v>
      </c>
      <c r="AA18" t="s">
        <v>1375</v>
      </c>
      <c r="AB18">
        <v>56078603</v>
      </c>
      <c r="AC18" s="1021" t="s">
        <v>1173</v>
      </c>
      <c r="AD18" s="1021">
        <v>2</v>
      </c>
      <c r="AE18">
        <v>0</v>
      </c>
    </row>
    <row r="19" spans="2:34" ht="12" customHeight="1" x14ac:dyDescent="0.2">
      <c r="B19" s="185"/>
      <c r="C19" s="971">
        <v>185821</v>
      </c>
      <c r="D19" t="s">
        <v>1197</v>
      </c>
      <c r="E19" t="s">
        <v>1204</v>
      </c>
      <c r="F19">
        <v>416</v>
      </c>
      <c r="O19">
        <v>0</v>
      </c>
      <c r="P19">
        <v>0</v>
      </c>
      <c r="Q19">
        <v>0</v>
      </c>
      <c r="T19">
        <v>0</v>
      </c>
      <c r="U19">
        <v>0</v>
      </c>
      <c r="V19">
        <v>0</v>
      </c>
      <c r="AA19" t="s">
        <v>1357</v>
      </c>
      <c r="AB19">
        <v>56078603</v>
      </c>
      <c r="AC19" s="1021" t="s">
        <v>1173</v>
      </c>
      <c r="AD19" s="1021">
        <v>1</v>
      </c>
      <c r="AE19">
        <v>0</v>
      </c>
      <c r="AH19">
        <v>0</v>
      </c>
    </row>
    <row r="20" spans="2:34" ht="15" x14ac:dyDescent="0.2">
      <c r="B20" s="185"/>
      <c r="C20" s="971">
        <v>185822</v>
      </c>
      <c r="D20" t="s">
        <v>1261</v>
      </c>
      <c r="E20" t="s">
        <v>1270</v>
      </c>
      <c r="F20">
        <v>201</v>
      </c>
      <c r="AB20">
        <v>56078603</v>
      </c>
      <c r="AC20" s="1021" t="s">
        <v>1173</v>
      </c>
    </row>
    <row r="21" spans="2:34" ht="15" x14ac:dyDescent="0.2">
      <c r="B21" s="185"/>
      <c r="C21" s="971">
        <v>185823</v>
      </c>
      <c r="D21" t="s">
        <v>1271</v>
      </c>
      <c r="E21" t="s">
        <v>1279</v>
      </c>
      <c r="F21">
        <v>204</v>
      </c>
      <c r="N21">
        <v>0</v>
      </c>
      <c r="O21">
        <v>0</v>
      </c>
      <c r="P21">
        <v>0</v>
      </c>
      <c r="Q21">
        <v>0</v>
      </c>
      <c r="R21">
        <v>0</v>
      </c>
      <c r="T21">
        <v>67</v>
      </c>
      <c r="U21">
        <v>0</v>
      </c>
      <c r="V21">
        <v>19</v>
      </c>
      <c r="W21">
        <v>246.05</v>
      </c>
      <c r="Y21" s="1021" t="s">
        <v>1273</v>
      </c>
      <c r="Z21" s="1021" t="s">
        <v>1336</v>
      </c>
      <c r="AA21" t="s">
        <v>1358</v>
      </c>
      <c r="AB21">
        <v>56078603</v>
      </c>
      <c r="AC21" s="1021" t="s">
        <v>1173</v>
      </c>
      <c r="AD21" s="1021">
        <v>3</v>
      </c>
    </row>
    <row r="22" spans="2:34" ht="15" x14ac:dyDescent="0.2">
      <c r="B22" s="185"/>
      <c r="C22" s="971">
        <v>185824</v>
      </c>
      <c r="D22" t="s">
        <v>1280</v>
      </c>
      <c r="E22" t="s">
        <v>1287</v>
      </c>
      <c r="F22">
        <v>526</v>
      </c>
      <c r="AB22">
        <v>56078603</v>
      </c>
      <c r="AC22" s="1021" t="s">
        <v>1173</v>
      </c>
    </row>
    <row r="23" spans="2:34" x14ac:dyDescent="0.2">
      <c r="C23">
        <v>185825</v>
      </c>
      <c r="D23" t="s">
        <v>1289</v>
      </c>
      <c r="E23" t="s">
        <v>1287</v>
      </c>
      <c r="F23">
        <v>23</v>
      </c>
      <c r="AB23">
        <v>56078603</v>
      </c>
      <c r="AC23" s="1021" t="s">
        <v>1173</v>
      </c>
    </row>
    <row r="24" spans="2:34" x14ac:dyDescent="0.2">
      <c r="C24">
        <v>185826</v>
      </c>
      <c r="D24" t="s">
        <v>1330</v>
      </c>
      <c r="E24" t="s">
        <v>1339</v>
      </c>
      <c r="F24">
        <v>993</v>
      </c>
      <c r="I24">
        <v>42.18</v>
      </c>
      <c r="N24">
        <v>8.44</v>
      </c>
      <c r="O24">
        <v>0</v>
      </c>
      <c r="P24">
        <v>0</v>
      </c>
      <c r="Q24">
        <v>0</v>
      </c>
      <c r="R24">
        <v>16.87</v>
      </c>
      <c r="T24">
        <v>67</v>
      </c>
      <c r="U24">
        <v>0</v>
      </c>
      <c r="V24">
        <v>131</v>
      </c>
      <c r="X24">
        <v>21.84</v>
      </c>
      <c r="Y24" s="1021" t="s">
        <v>1333</v>
      </c>
      <c r="Z24" s="1021" t="s">
        <v>1332</v>
      </c>
      <c r="AA24" t="s">
        <v>1375</v>
      </c>
      <c r="AB24">
        <v>56078603</v>
      </c>
      <c r="AC24" s="1021" t="s">
        <v>1332</v>
      </c>
      <c r="AD24" s="1021">
        <v>2</v>
      </c>
      <c r="AH24">
        <v>131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37"/>
  <dimension ref="C2:T31"/>
  <sheetViews>
    <sheetView rightToLeft="1" workbookViewId="0">
      <selection activeCell="C5" sqref="C5:T5"/>
    </sheetView>
  </sheetViews>
  <sheetFormatPr defaultRowHeight="12.75" x14ac:dyDescent="0.2"/>
  <cols>
    <col min="20" max="20" width="9.140625" style="1021"/>
  </cols>
  <sheetData>
    <row r="2" spans="3:20" ht="18" x14ac:dyDescent="0.25">
      <c r="I2" s="22" t="s">
        <v>1093</v>
      </c>
    </row>
    <row r="4" spans="3:20" ht="16.5" thickBot="1" x14ac:dyDescent="0.3">
      <c r="G4" s="1217" t="s">
        <v>1082</v>
      </c>
      <c r="H4" s="1217"/>
      <c r="I4" s="1218" t="s">
        <v>1076</v>
      </c>
      <c r="J4" s="1218"/>
    </row>
    <row r="5" spans="3:20" ht="48" thickBot="1" x14ac:dyDescent="0.25">
      <c r="C5" s="8" t="s">
        <v>0</v>
      </c>
      <c r="D5" s="8" t="s">
        <v>162</v>
      </c>
      <c r="E5" s="8" t="s">
        <v>37</v>
      </c>
      <c r="F5" s="8" t="s">
        <v>83</v>
      </c>
      <c r="G5" s="8" t="s">
        <v>1083</v>
      </c>
      <c r="H5" s="8" t="s">
        <v>1084</v>
      </c>
      <c r="I5" s="8" t="s">
        <v>1083</v>
      </c>
      <c r="J5" s="8" t="s">
        <v>1084</v>
      </c>
      <c r="K5" s="8" t="s">
        <v>1085</v>
      </c>
      <c r="L5" s="8" t="s">
        <v>1086</v>
      </c>
      <c r="M5" s="8" t="s">
        <v>1087</v>
      </c>
      <c r="N5" s="8" t="s">
        <v>1088</v>
      </c>
      <c r="O5" s="8" t="s">
        <v>1089</v>
      </c>
      <c r="P5" s="8" t="s">
        <v>1090</v>
      </c>
      <c r="Q5" s="8" t="s">
        <v>1091</v>
      </c>
      <c r="R5" s="8" t="s">
        <v>1092</v>
      </c>
      <c r="S5" s="8" t="s">
        <v>1091</v>
      </c>
      <c r="T5" s="1025" t="s">
        <v>15</v>
      </c>
    </row>
    <row r="6" spans="3:20" x14ac:dyDescent="0.2">
      <c r="C6">
        <v>118493</v>
      </c>
      <c r="D6" t="s">
        <v>1351</v>
      </c>
      <c r="E6" t="s">
        <v>1212</v>
      </c>
      <c r="F6">
        <v>1</v>
      </c>
      <c r="G6">
        <v>0</v>
      </c>
      <c r="H6">
        <v>0</v>
      </c>
      <c r="I6">
        <v>4.0199999809265137</v>
      </c>
      <c r="J6">
        <v>906.969970703125</v>
      </c>
      <c r="K6">
        <v>0</v>
      </c>
      <c r="L6">
        <v>2846.510009765625</v>
      </c>
      <c r="M6">
        <v>261.64999389648437</v>
      </c>
      <c r="R6">
        <v>56078603</v>
      </c>
      <c r="T6" s="1021" t="s">
        <v>1206</v>
      </c>
    </row>
    <row r="7" spans="3:20" x14ac:dyDescent="0.2">
      <c r="C7">
        <v>118573</v>
      </c>
      <c r="D7" t="s">
        <v>1205</v>
      </c>
      <c r="E7" t="s">
        <v>1212</v>
      </c>
      <c r="F7">
        <v>1</v>
      </c>
      <c r="G7">
        <v>0</v>
      </c>
      <c r="H7">
        <v>0</v>
      </c>
      <c r="I7">
        <v>4.070000171661377</v>
      </c>
      <c r="J7">
        <v>12.380000114440918</v>
      </c>
      <c r="K7">
        <v>0</v>
      </c>
      <c r="L7">
        <v>39.080001831054687</v>
      </c>
      <c r="M7">
        <v>0</v>
      </c>
      <c r="R7">
        <v>56078603</v>
      </c>
      <c r="T7" s="1021" t="s">
        <v>1206</v>
      </c>
    </row>
    <row r="8" spans="3:20" x14ac:dyDescent="0.2">
      <c r="C8">
        <v>141030</v>
      </c>
      <c r="D8" t="s">
        <v>1214</v>
      </c>
      <c r="E8" t="s">
        <v>1222</v>
      </c>
      <c r="F8">
        <v>662</v>
      </c>
      <c r="G8">
        <v>0</v>
      </c>
      <c r="H8">
        <v>0</v>
      </c>
      <c r="I8">
        <v>0.02</v>
      </c>
      <c r="J8">
        <v>0.86</v>
      </c>
      <c r="K8">
        <v>0</v>
      </c>
      <c r="L8">
        <v>7.84</v>
      </c>
      <c r="M8">
        <v>0</v>
      </c>
      <c r="R8">
        <v>56078603</v>
      </c>
      <c r="T8" s="1021" t="s">
        <v>1173</v>
      </c>
    </row>
    <row r="9" spans="3:20" x14ac:dyDescent="0.2">
      <c r="C9">
        <v>141031</v>
      </c>
      <c r="D9" t="s">
        <v>1225</v>
      </c>
      <c r="E9" t="s">
        <v>1222</v>
      </c>
      <c r="F9">
        <v>624</v>
      </c>
      <c r="G9">
        <v>0</v>
      </c>
      <c r="H9">
        <v>0</v>
      </c>
      <c r="I9">
        <v>0.02</v>
      </c>
      <c r="J9">
        <v>0.93</v>
      </c>
      <c r="K9">
        <v>0</v>
      </c>
      <c r="L9">
        <v>8.64</v>
      </c>
      <c r="M9">
        <v>19.38</v>
      </c>
      <c r="R9">
        <v>56078603</v>
      </c>
      <c r="T9" s="1021" t="s">
        <v>1173</v>
      </c>
    </row>
    <row r="10" spans="3:20" x14ac:dyDescent="0.2">
      <c r="C10">
        <v>141032</v>
      </c>
      <c r="D10" t="s">
        <v>1171</v>
      </c>
      <c r="E10" t="s">
        <v>1182</v>
      </c>
      <c r="F10">
        <v>449</v>
      </c>
      <c r="G10">
        <v>0</v>
      </c>
      <c r="H10">
        <v>0</v>
      </c>
      <c r="I10">
        <v>1.7500000000000002E-2</v>
      </c>
      <c r="J10">
        <v>6.06</v>
      </c>
      <c r="K10">
        <v>0</v>
      </c>
      <c r="L10">
        <v>6.06</v>
      </c>
      <c r="M10">
        <v>0</v>
      </c>
      <c r="R10">
        <v>56078603</v>
      </c>
      <c r="T10" s="1021" t="s">
        <v>1173</v>
      </c>
    </row>
    <row r="11" spans="3:20" x14ac:dyDescent="0.2">
      <c r="C11">
        <v>141033</v>
      </c>
      <c r="D11" t="s">
        <v>1184</v>
      </c>
      <c r="E11" t="s">
        <v>1182</v>
      </c>
      <c r="F11">
        <v>92</v>
      </c>
      <c r="G11">
        <v>0</v>
      </c>
      <c r="H11">
        <v>0</v>
      </c>
      <c r="I11">
        <v>1.7100000000000001E-2</v>
      </c>
      <c r="J11">
        <v>4.3</v>
      </c>
      <c r="K11">
        <v>0</v>
      </c>
      <c r="L11">
        <v>4.3</v>
      </c>
      <c r="M11">
        <v>0</v>
      </c>
      <c r="R11">
        <v>56078603</v>
      </c>
      <c r="T11" s="1021" t="s">
        <v>1173</v>
      </c>
    </row>
    <row r="12" spans="3:20" x14ac:dyDescent="0.2">
      <c r="C12">
        <v>141034</v>
      </c>
      <c r="D12" t="s">
        <v>1188</v>
      </c>
      <c r="E12" t="s">
        <v>1196</v>
      </c>
      <c r="F12">
        <v>713</v>
      </c>
      <c r="G12">
        <v>0</v>
      </c>
      <c r="H12">
        <v>0</v>
      </c>
      <c r="I12">
        <v>7.0000000000000007E-2</v>
      </c>
      <c r="J12">
        <v>9.11</v>
      </c>
      <c r="K12">
        <v>0</v>
      </c>
      <c r="L12">
        <v>94.2</v>
      </c>
      <c r="M12">
        <v>0</v>
      </c>
      <c r="N12">
        <v>0</v>
      </c>
      <c r="P12">
        <v>0</v>
      </c>
      <c r="R12">
        <v>56078603</v>
      </c>
      <c r="T12" s="1021" t="s">
        <v>1173</v>
      </c>
    </row>
    <row r="13" spans="3:20" x14ac:dyDescent="0.2">
      <c r="C13">
        <v>141035</v>
      </c>
      <c r="D13" t="s">
        <v>1227</v>
      </c>
      <c r="E13" t="s">
        <v>1196</v>
      </c>
      <c r="F13">
        <v>453</v>
      </c>
      <c r="G13">
        <v>0.9</v>
      </c>
      <c r="H13">
        <v>1.43</v>
      </c>
      <c r="I13">
        <v>1.4999999999999999E-2</v>
      </c>
      <c r="J13">
        <v>0.99</v>
      </c>
      <c r="K13">
        <v>0</v>
      </c>
      <c r="L13">
        <v>24.02</v>
      </c>
      <c r="M13">
        <v>29.2</v>
      </c>
      <c r="Q13">
        <v>1</v>
      </c>
      <c r="R13">
        <v>56078603</v>
      </c>
      <c r="S13" t="s">
        <v>1590</v>
      </c>
      <c r="T13" s="1021" t="s">
        <v>1173</v>
      </c>
    </row>
    <row r="14" spans="3:20" x14ac:dyDescent="0.2">
      <c r="C14">
        <v>141036</v>
      </c>
      <c r="D14" t="s">
        <v>1237</v>
      </c>
      <c r="E14" t="s">
        <v>1246</v>
      </c>
      <c r="F14">
        <v>885</v>
      </c>
      <c r="G14">
        <v>0</v>
      </c>
      <c r="H14">
        <v>0</v>
      </c>
      <c r="I14">
        <v>8.7499999999999994E-2</v>
      </c>
      <c r="J14">
        <v>15.39</v>
      </c>
      <c r="K14">
        <v>0</v>
      </c>
      <c r="L14">
        <v>151.96</v>
      </c>
      <c r="M14">
        <v>0</v>
      </c>
      <c r="R14">
        <v>56078603</v>
      </c>
      <c r="T14" s="1021" t="s">
        <v>1173</v>
      </c>
    </row>
    <row r="15" spans="3:20" x14ac:dyDescent="0.2">
      <c r="C15">
        <v>141037</v>
      </c>
      <c r="D15" t="s">
        <v>1247</v>
      </c>
      <c r="E15" t="s">
        <v>1246</v>
      </c>
      <c r="F15">
        <v>188</v>
      </c>
      <c r="G15">
        <v>0</v>
      </c>
      <c r="H15">
        <v>0</v>
      </c>
      <c r="I15">
        <v>8.3299999999999999E-2</v>
      </c>
      <c r="J15">
        <v>7.14</v>
      </c>
      <c r="K15">
        <v>0</v>
      </c>
      <c r="L15">
        <v>71.61</v>
      </c>
      <c r="M15">
        <v>0</v>
      </c>
      <c r="R15">
        <v>56078603</v>
      </c>
      <c r="T15" s="1021" t="s">
        <v>1173</v>
      </c>
    </row>
    <row r="16" spans="3:20" x14ac:dyDescent="0.2">
      <c r="C16">
        <v>141039</v>
      </c>
      <c r="D16" t="s">
        <v>1254</v>
      </c>
      <c r="E16" t="s">
        <v>1246</v>
      </c>
      <c r="F16">
        <v>441</v>
      </c>
      <c r="G16">
        <v>0</v>
      </c>
      <c r="H16">
        <v>0</v>
      </c>
      <c r="I16">
        <v>4.1599999999999998E-2</v>
      </c>
      <c r="J16">
        <v>11.43</v>
      </c>
      <c r="K16">
        <v>0</v>
      </c>
      <c r="L16">
        <v>113.32</v>
      </c>
      <c r="M16">
        <v>0</v>
      </c>
      <c r="R16">
        <v>56078603</v>
      </c>
      <c r="T16" s="1021" t="s">
        <v>1173</v>
      </c>
    </row>
    <row r="17" spans="3:20" x14ac:dyDescent="0.2">
      <c r="C17">
        <v>141040</v>
      </c>
      <c r="D17" t="s">
        <v>1197</v>
      </c>
      <c r="E17" t="s">
        <v>1204</v>
      </c>
      <c r="F17">
        <v>416</v>
      </c>
      <c r="G17">
        <v>0</v>
      </c>
      <c r="H17">
        <v>0</v>
      </c>
      <c r="I17">
        <v>5.8299999999999998E-2</v>
      </c>
      <c r="J17">
        <v>75.92</v>
      </c>
      <c r="K17">
        <v>0</v>
      </c>
      <c r="L17">
        <v>748.09</v>
      </c>
      <c r="Q17">
        <v>1</v>
      </c>
      <c r="R17">
        <v>56078603</v>
      </c>
      <c r="S17" t="s">
        <v>1590</v>
      </c>
      <c r="T17" s="1021" t="s">
        <v>1173</v>
      </c>
    </row>
    <row r="18" spans="3:20" x14ac:dyDescent="0.2">
      <c r="C18">
        <v>141041</v>
      </c>
      <c r="D18" t="s">
        <v>1261</v>
      </c>
      <c r="E18" t="s">
        <v>1270</v>
      </c>
      <c r="F18">
        <v>201</v>
      </c>
      <c r="G18">
        <v>4</v>
      </c>
      <c r="H18">
        <v>0</v>
      </c>
      <c r="I18">
        <v>0.08</v>
      </c>
      <c r="J18">
        <v>38.51</v>
      </c>
      <c r="K18">
        <v>0</v>
      </c>
      <c r="L18">
        <v>414.82</v>
      </c>
      <c r="M18">
        <v>0</v>
      </c>
      <c r="N18">
        <v>0</v>
      </c>
      <c r="P18">
        <v>0</v>
      </c>
      <c r="R18">
        <v>56078603</v>
      </c>
      <c r="T18" s="1021" t="s">
        <v>1173</v>
      </c>
    </row>
    <row r="19" spans="3:20" x14ac:dyDescent="0.2">
      <c r="C19">
        <v>141042</v>
      </c>
      <c r="D19" t="s">
        <v>1271</v>
      </c>
      <c r="E19" t="s">
        <v>1279</v>
      </c>
      <c r="F19">
        <v>204</v>
      </c>
      <c r="R19">
        <v>56078603</v>
      </c>
      <c r="T19" s="1021" t="s">
        <v>1173</v>
      </c>
    </row>
    <row r="20" spans="3:20" x14ac:dyDescent="0.2">
      <c r="C20">
        <v>141043</v>
      </c>
      <c r="D20" t="s">
        <v>1280</v>
      </c>
      <c r="E20" t="s">
        <v>1287</v>
      </c>
      <c r="F20">
        <v>526</v>
      </c>
      <c r="G20">
        <v>0.8</v>
      </c>
      <c r="H20">
        <v>1.32</v>
      </c>
      <c r="I20">
        <v>0.02</v>
      </c>
      <c r="J20">
        <v>7.48</v>
      </c>
      <c r="K20">
        <v>0</v>
      </c>
      <c r="L20">
        <v>75.8</v>
      </c>
      <c r="Q20">
        <v>1</v>
      </c>
      <c r="R20">
        <v>56078603</v>
      </c>
      <c r="S20" t="s">
        <v>1590</v>
      </c>
      <c r="T20" s="1021" t="s">
        <v>1173</v>
      </c>
    </row>
    <row r="21" spans="3:20" x14ac:dyDescent="0.2">
      <c r="C21">
        <v>141044</v>
      </c>
      <c r="D21" t="s">
        <v>1289</v>
      </c>
      <c r="E21" t="s">
        <v>1287</v>
      </c>
      <c r="F21">
        <v>23</v>
      </c>
      <c r="G21">
        <v>0</v>
      </c>
      <c r="H21">
        <v>0</v>
      </c>
      <c r="I21">
        <v>7.0000000000000007E-2</v>
      </c>
      <c r="J21">
        <v>115.51</v>
      </c>
      <c r="K21">
        <v>0</v>
      </c>
      <c r="L21">
        <v>1147.08</v>
      </c>
      <c r="Q21">
        <v>1</v>
      </c>
      <c r="R21">
        <v>56078603</v>
      </c>
      <c r="S21" t="s">
        <v>1590</v>
      </c>
      <c r="T21" s="1021" t="s">
        <v>1173</v>
      </c>
    </row>
    <row r="22" spans="3:20" x14ac:dyDescent="0.2">
      <c r="C22">
        <v>141045</v>
      </c>
      <c r="D22" t="s">
        <v>1424</v>
      </c>
      <c r="E22" t="s">
        <v>1287</v>
      </c>
      <c r="F22">
        <v>682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56078603</v>
      </c>
      <c r="S22" t="s">
        <v>1590</v>
      </c>
      <c r="T22" s="1021" t="s">
        <v>1173</v>
      </c>
    </row>
    <row r="23" spans="3:20" x14ac:dyDescent="0.2">
      <c r="C23">
        <v>141046</v>
      </c>
      <c r="D23" t="s">
        <v>1386</v>
      </c>
      <c r="E23" t="s">
        <v>1287</v>
      </c>
      <c r="F23">
        <v>672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Q23">
        <v>1</v>
      </c>
      <c r="R23">
        <v>56078603</v>
      </c>
      <c r="S23" t="s">
        <v>1590</v>
      </c>
      <c r="T23" s="1021" t="s">
        <v>1173</v>
      </c>
    </row>
    <row r="24" spans="3:20" x14ac:dyDescent="0.2">
      <c r="C24">
        <v>141047</v>
      </c>
      <c r="D24" t="s">
        <v>1392</v>
      </c>
      <c r="E24" t="s">
        <v>1287</v>
      </c>
      <c r="F24">
        <v>51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Q24">
        <v>1</v>
      </c>
      <c r="R24">
        <v>56078603</v>
      </c>
      <c r="S24" t="s">
        <v>1590</v>
      </c>
      <c r="T24" s="1021" t="s">
        <v>1173</v>
      </c>
    </row>
    <row r="25" spans="3:20" x14ac:dyDescent="0.2">
      <c r="C25">
        <v>141048</v>
      </c>
      <c r="D25" t="s">
        <v>1293</v>
      </c>
      <c r="E25" t="s">
        <v>1301</v>
      </c>
      <c r="F25">
        <v>443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4.53</v>
      </c>
      <c r="Q25">
        <v>1</v>
      </c>
      <c r="R25">
        <v>56078603</v>
      </c>
      <c r="S25" t="s">
        <v>1590</v>
      </c>
      <c r="T25" s="1021" t="s">
        <v>1173</v>
      </c>
    </row>
    <row r="26" spans="3:20" x14ac:dyDescent="0.2">
      <c r="C26">
        <v>141049</v>
      </c>
      <c r="D26" t="s">
        <v>1303</v>
      </c>
      <c r="E26" t="s">
        <v>1301</v>
      </c>
      <c r="F26">
        <v>807</v>
      </c>
      <c r="G26">
        <v>0</v>
      </c>
      <c r="H26">
        <v>0</v>
      </c>
      <c r="I26">
        <v>0.05</v>
      </c>
      <c r="J26">
        <v>5.76</v>
      </c>
      <c r="K26">
        <v>16.84</v>
      </c>
      <c r="L26">
        <v>51.04</v>
      </c>
      <c r="M26">
        <v>0</v>
      </c>
      <c r="Q26">
        <v>1</v>
      </c>
      <c r="R26">
        <v>56078603</v>
      </c>
      <c r="S26" t="s">
        <v>1590</v>
      </c>
      <c r="T26" s="1021" t="s">
        <v>1173</v>
      </c>
    </row>
    <row r="27" spans="3:20" x14ac:dyDescent="0.2">
      <c r="C27">
        <v>141050</v>
      </c>
      <c r="D27" t="s">
        <v>1309</v>
      </c>
      <c r="E27" t="s">
        <v>1301</v>
      </c>
      <c r="F27">
        <v>177</v>
      </c>
      <c r="G27">
        <v>0</v>
      </c>
      <c r="H27">
        <v>0</v>
      </c>
      <c r="I27">
        <v>0.05</v>
      </c>
      <c r="J27">
        <v>91.61</v>
      </c>
      <c r="K27">
        <v>0</v>
      </c>
      <c r="L27">
        <v>900.21</v>
      </c>
      <c r="M27">
        <v>0.91</v>
      </c>
      <c r="Q27">
        <v>1</v>
      </c>
      <c r="R27">
        <v>56078603</v>
      </c>
      <c r="S27" t="s">
        <v>1590</v>
      </c>
      <c r="T27" s="1021" t="s">
        <v>1173</v>
      </c>
    </row>
    <row r="28" spans="3:20" x14ac:dyDescent="0.2">
      <c r="C28">
        <v>141051</v>
      </c>
      <c r="D28" t="s">
        <v>1315</v>
      </c>
      <c r="E28" t="s">
        <v>1301</v>
      </c>
      <c r="F28">
        <v>56</v>
      </c>
      <c r="G28">
        <v>0</v>
      </c>
      <c r="H28">
        <v>0</v>
      </c>
      <c r="I28">
        <v>0.05</v>
      </c>
      <c r="J28">
        <v>0.11</v>
      </c>
      <c r="K28">
        <v>0</v>
      </c>
      <c r="L28">
        <v>0.99</v>
      </c>
      <c r="M28">
        <v>0</v>
      </c>
      <c r="Q28">
        <v>1</v>
      </c>
      <c r="R28">
        <v>56078603</v>
      </c>
      <c r="S28" t="s">
        <v>1590</v>
      </c>
      <c r="T28" s="1021" t="s">
        <v>1173</v>
      </c>
    </row>
    <row r="29" spans="3:20" x14ac:dyDescent="0.2">
      <c r="C29">
        <v>141052</v>
      </c>
      <c r="D29" t="s">
        <v>1321</v>
      </c>
      <c r="E29" t="s">
        <v>1301</v>
      </c>
      <c r="F29">
        <v>439</v>
      </c>
      <c r="G29">
        <v>0</v>
      </c>
      <c r="H29">
        <v>0</v>
      </c>
      <c r="I29">
        <v>0.05</v>
      </c>
      <c r="J29">
        <v>0.25</v>
      </c>
      <c r="K29">
        <v>0</v>
      </c>
      <c r="L29">
        <v>2.2000000000000002</v>
      </c>
      <c r="M29">
        <v>0</v>
      </c>
      <c r="Q29">
        <v>1</v>
      </c>
      <c r="R29">
        <v>56078603</v>
      </c>
      <c r="S29" t="s">
        <v>1590</v>
      </c>
      <c r="T29" s="1021" t="s">
        <v>1173</v>
      </c>
    </row>
    <row r="30" spans="3:20" x14ac:dyDescent="0.2">
      <c r="C30">
        <v>141053</v>
      </c>
      <c r="D30" t="s">
        <v>1325</v>
      </c>
      <c r="E30" t="s">
        <v>1301</v>
      </c>
      <c r="F30">
        <v>384</v>
      </c>
      <c r="G30">
        <v>0</v>
      </c>
      <c r="H30">
        <v>0</v>
      </c>
      <c r="I30">
        <v>0.05</v>
      </c>
      <c r="J30">
        <v>2.48</v>
      </c>
      <c r="K30">
        <v>0</v>
      </c>
      <c r="L30">
        <v>21.98</v>
      </c>
      <c r="M30">
        <v>0</v>
      </c>
      <c r="Q30">
        <v>1</v>
      </c>
      <c r="R30">
        <v>56078603</v>
      </c>
      <c r="S30" t="s">
        <v>1590</v>
      </c>
      <c r="T30" s="1021" t="s">
        <v>1173</v>
      </c>
    </row>
    <row r="31" spans="3:20" x14ac:dyDescent="0.2">
      <c r="C31">
        <v>141054</v>
      </c>
      <c r="D31" t="s">
        <v>1330</v>
      </c>
      <c r="E31" t="s">
        <v>1339</v>
      </c>
      <c r="F31">
        <v>993</v>
      </c>
      <c r="R31">
        <v>56078603</v>
      </c>
      <c r="T31" s="1021" t="s">
        <v>1332</v>
      </c>
    </row>
  </sheetData>
  <mergeCells count="2">
    <mergeCell ref="G4:H4"/>
    <mergeCell ref="I4:J4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T17"/>
  <sheetViews>
    <sheetView rightToLeft="1" workbookViewId="0">
      <selection activeCell="F14" sqref="F14"/>
    </sheetView>
  </sheetViews>
  <sheetFormatPr defaultRowHeight="12.75" x14ac:dyDescent="0.2"/>
  <sheetData>
    <row r="4" spans="3:20" ht="13.5" thickBot="1" x14ac:dyDescent="0.25"/>
    <row r="5" spans="3:20" ht="48" thickBot="1" x14ac:dyDescent="0.25">
      <c r="C5" s="8" t="s">
        <v>0</v>
      </c>
      <c r="D5" s="8" t="s">
        <v>162</v>
      </c>
      <c r="E5" s="8" t="s">
        <v>37</v>
      </c>
      <c r="F5" s="8" t="s">
        <v>83</v>
      </c>
      <c r="G5" s="8" t="s">
        <v>1083</v>
      </c>
      <c r="H5" s="8" t="s">
        <v>1084</v>
      </c>
      <c r="I5" s="8" t="s">
        <v>1083</v>
      </c>
      <c r="J5" s="8" t="s">
        <v>1084</v>
      </c>
      <c r="K5" s="8" t="s">
        <v>1085</v>
      </c>
      <c r="L5" s="8" t="s">
        <v>1086</v>
      </c>
      <c r="M5" s="8" t="s">
        <v>1087</v>
      </c>
      <c r="N5" s="8" t="s">
        <v>1088</v>
      </c>
      <c r="O5" s="8" t="s">
        <v>1089</v>
      </c>
      <c r="P5" s="8" t="s">
        <v>1090</v>
      </c>
      <c r="Q5" s="8" t="s">
        <v>1091</v>
      </c>
      <c r="R5" s="8" t="s">
        <v>1092</v>
      </c>
      <c r="S5" s="8" t="s">
        <v>1091</v>
      </c>
      <c r="T5" s="1025" t="s">
        <v>15</v>
      </c>
    </row>
    <row r="17" spans="9:9" x14ac:dyDescent="0.2">
      <c r="I17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24"/>
  <dimension ref="A1:BD79"/>
  <sheetViews>
    <sheetView rightToLeft="1" topLeftCell="C1" zoomScaleNormal="100" workbookViewId="0">
      <pane ySplit="2" topLeftCell="A3" activePane="bottomLeft" state="frozen"/>
      <selection activeCell="AL8" sqref="AL8"/>
      <selection pane="bottomLeft" activeCell="AL8" sqref="AL8"/>
    </sheetView>
  </sheetViews>
  <sheetFormatPr defaultRowHeight="12.75" x14ac:dyDescent="0.2"/>
  <cols>
    <col min="1" max="1" width="7" customWidth="1"/>
    <col min="2" max="2" width="19" customWidth="1"/>
    <col min="3" max="3" width="19.28515625" customWidth="1"/>
    <col min="4" max="4" width="21.42578125" customWidth="1"/>
    <col min="5" max="7" width="15.7109375" customWidth="1"/>
    <col min="8" max="8" width="16" customWidth="1"/>
    <col min="9" max="10" width="16" style="1020" hidden="1" customWidth="1"/>
    <col min="11" max="11" width="16" style="1020" customWidth="1"/>
    <col min="12" max="12" width="15.7109375" style="216" customWidth="1"/>
    <col min="13" max="13" width="7.7109375" customWidth="1"/>
    <col min="16" max="16" width="105.42578125" customWidth="1"/>
    <col min="17" max="17" width="0.28515625" customWidth="1"/>
    <col min="18" max="19" width="9.140625" hidden="1" customWidth="1"/>
  </cols>
  <sheetData>
    <row r="1" spans="1:16" s="6" customFormat="1" ht="57" customHeight="1" thickBot="1" x14ac:dyDescent="0.25">
      <c r="A1" s="180"/>
      <c r="C1" s="181" t="s">
        <v>515</v>
      </c>
      <c r="D1" s="182"/>
      <c r="E1" s="1037"/>
      <c r="F1" s="1037"/>
      <c r="G1" s="182"/>
      <c r="H1" s="182"/>
      <c r="I1" s="1031"/>
      <c r="J1" s="1031"/>
      <c r="K1" s="1031"/>
      <c r="L1" s="214"/>
      <c r="M1" s="182"/>
      <c r="N1" s="183"/>
    </row>
    <row r="2" spans="1:16" ht="57" customHeight="1" thickBot="1" x14ac:dyDescent="0.25">
      <c r="A2" s="184" t="s">
        <v>493</v>
      </c>
      <c r="B2" s="184" t="s">
        <v>516</v>
      </c>
      <c r="C2" s="184" t="s">
        <v>517</v>
      </c>
      <c r="D2" s="184" t="s">
        <v>495</v>
      </c>
      <c r="E2" s="184" t="s">
        <v>1152</v>
      </c>
      <c r="F2" s="184" t="s">
        <v>1016</v>
      </c>
      <c r="G2" s="184" t="s">
        <v>518</v>
      </c>
      <c r="H2" s="184" t="s">
        <v>519</v>
      </c>
      <c r="I2" s="1032" t="s">
        <v>1127</v>
      </c>
      <c r="J2" s="1032" t="s">
        <v>1128</v>
      </c>
      <c r="K2" s="1032" t="s">
        <v>1157</v>
      </c>
      <c r="L2" s="992" t="s">
        <v>520</v>
      </c>
      <c r="M2" s="158" t="s">
        <v>521</v>
      </c>
      <c r="N2" s="185"/>
      <c r="O2" s="186" t="s">
        <v>522</v>
      </c>
      <c r="P2" s="187" t="s">
        <v>502</v>
      </c>
    </row>
    <row r="3" spans="1:16" ht="50.1" customHeight="1" x14ac:dyDescent="0.2">
      <c r="A3" s="189">
        <f>IF(RicusKrenHishtalmut!B6&gt;0,RicusKrenHishtalmut!B6," ")</f>
        <v>1</v>
      </c>
      <c r="B3" s="189" t="str">
        <f>IF(A3&lt;&gt;" ",RicusKrenHishtalmut!E6," ")</f>
        <v>570201002663</v>
      </c>
      <c r="C3" s="188" t="str">
        <f>IF(A3&lt;&gt;" ",RicusKrenHishtalmut!F6," ")</f>
        <v>יהב רופאים - חברה לניהול קופות גמל בע"מ</v>
      </c>
      <c r="D3" s="188" t="str">
        <f>IF(A3&lt;&gt;" ",RicusKrenHishtalmut!R6," ")</f>
        <v>רופאים קרן השתלמות</v>
      </c>
      <c r="E3" s="188" t="str">
        <f>IF(A3&lt;&gt;" ",RicusKrenHishtalmut!M6," ")</f>
        <v>שכיר</v>
      </c>
      <c r="F3" s="188" t="str">
        <f>IF(A3&lt;&gt;" ",RicusKrenHishtalmut!N6," ")</f>
        <v>מוקפא</v>
      </c>
      <c r="G3" s="190" t="str">
        <f>IF(A3&lt;&gt;" ",RicusKrenHishtalmut!P6," ")</f>
        <v>31/01/2015</v>
      </c>
      <c r="H3" s="190" t="e">
        <f>IF(G3=" "," ",IF(YEAR(G3)&gt;1900,DATE(YEAR(G3)+6,MONTH(G3),DAY(G3))," "))</f>
        <v>#VALUE!</v>
      </c>
      <c r="I3" s="1033">
        <f>IFERROR(VLOOKUP($B3,HotzaotBafoalLehodeshDivoach!$D$6:$U$100,4,FALSE),0)</f>
        <v>0</v>
      </c>
      <c r="J3" s="1033">
        <f>IFERROR(VLOOKUP($B3,HotzaotBafoalLehodeshDivoach!$D$6:$U$100,6,FALSE),0)</f>
        <v>1.7500000000000002E-2</v>
      </c>
      <c r="K3" s="188">
        <f>IF(A3&lt;&gt;" ",RicusKrenHishtalmut!AP6," ")</f>
        <v>0</v>
      </c>
      <c r="L3" s="1001">
        <f>IFERROR(VLOOKUP(B3,PerutYitrot_group_by!$C$6:$F$100,4,FALSE),0)</f>
        <v>0</v>
      </c>
      <c r="M3" s="188"/>
      <c r="O3" s="191"/>
      <c r="P3" s="192"/>
    </row>
    <row r="4" spans="1:16" ht="50.1" customHeight="1" x14ac:dyDescent="0.2">
      <c r="A4" s="189">
        <f>IF(RicusKrenHishtalmut!B7&gt;0,RicusKrenHishtalmut!B7," ")</f>
        <v>2</v>
      </c>
      <c r="B4" s="189" t="str">
        <f>IF(A4&lt;&gt;" ",RicusKrenHishtalmut!E7," ")</f>
        <v>570475010221</v>
      </c>
      <c r="C4" s="188" t="str">
        <f>IF(A4&lt;&gt;" ",RicusKrenHishtalmut!F7," ")</f>
        <v>יהב רופאים - חברה לניהול קופות גמל בע"מ</v>
      </c>
      <c r="D4" s="188" t="str">
        <f>IF(A4&lt;&gt;" ",RicusKrenHishtalmut!R7," ")</f>
        <v>רופאים קרן השתלמות</v>
      </c>
      <c r="E4" s="188" t="str">
        <f>IF(A4&lt;&gt;" ",RicusKrenHishtalmut!M7," ")</f>
        <v>שכיר</v>
      </c>
      <c r="F4" s="188" t="str">
        <f>IF(A4&lt;&gt;" ",RicusKrenHishtalmut!N7," ")</f>
        <v>פעיל</v>
      </c>
      <c r="G4" s="190" t="str">
        <f>IF(A4&lt;&gt;" ",RicusKrenHishtalmut!P7," ")</f>
        <v>31/01/2016</v>
      </c>
      <c r="H4" s="190" t="e">
        <f>IF(G4=" "," ",IF(YEAR(G4)&gt;1900,DATE(YEAR(G4)+6,MONTH(G4),DAY(G4))," "))</f>
        <v>#VALUE!</v>
      </c>
      <c r="I4" s="1033">
        <f>IFERROR(VLOOKUP($B4,HotzaotBafoalLehodeshDivoach!$D$6:$U$100,4,FALSE),0)</f>
        <v>0</v>
      </c>
      <c r="J4" s="1033">
        <f>IFERROR(VLOOKUP($B4,HotzaotBafoalLehodeshDivoach!$D$6:$U$100,6,FALSE),0)</f>
        <v>1.7100000000000001E-2</v>
      </c>
      <c r="K4" s="188">
        <f>IF(A4&lt;&gt;" ",RicusKrenHishtalmut!AP7," ")</f>
        <v>2657.81</v>
      </c>
      <c r="L4" s="1001">
        <f>IFERROR(VLOOKUP(B4,PerutYitrot_group_by!$C$6:$F$100,4,FALSE),0)</f>
        <v>0</v>
      </c>
      <c r="M4" s="188"/>
      <c r="O4" s="191"/>
      <c r="P4" s="192"/>
    </row>
    <row r="5" spans="1:16" ht="50.1" customHeight="1" x14ac:dyDescent="0.2">
      <c r="A5" s="189">
        <f>IF(RicusKrenHishtalmut!B8&gt;0,RicusKrenHishtalmut!B8," ")</f>
        <v>3</v>
      </c>
      <c r="B5" s="189" t="str">
        <f>IF(A5&lt;&gt;" ",RicusKrenHishtalmut!E8," ")</f>
        <v>6165029</v>
      </c>
      <c r="C5" s="188" t="str">
        <f>IF(A5&lt;&gt;" ",RicusKrenHishtalmut!F8," ")</f>
        <v>מגדל מקפת פנסיה וגמל</v>
      </c>
      <c r="D5" s="188" t="str">
        <f>IF(A5&lt;&gt;" ",RicusKrenHishtalmut!R8," ")</f>
        <v>מגדל קה"ל השתלמות</v>
      </c>
      <c r="E5" s="188" t="str">
        <f>IF(A5&lt;&gt;" ",RicusKrenHishtalmut!M8," ")</f>
        <v>עצמאי</v>
      </c>
      <c r="F5" s="188" t="str">
        <f>IF(A5&lt;&gt;" ",RicusKrenHishtalmut!N8," ")</f>
        <v>מוקפא</v>
      </c>
      <c r="G5" s="190" t="str">
        <f>IF(A5&lt;&gt;" ",RicusKrenHishtalmut!P8," ")</f>
        <v>01/01/2014</v>
      </c>
      <c r="H5" s="190">
        <f t="shared" ref="H5:H38" si="0">IF(G5=" "," ",IF(YEAR(G5)&gt;1900,DATE(YEAR(G5)+6,MONTH(G5),DAY(G5))," "))</f>
        <v>43831</v>
      </c>
      <c r="I5" s="1033">
        <f>IFERROR(VLOOKUP($B5,HotzaotBafoalLehodeshDivoach!$D$6:$U$100,4,FALSE),0)</f>
        <v>0</v>
      </c>
      <c r="J5" s="1033">
        <f>IFERROR(VLOOKUP($B5,HotzaotBafoalLehodeshDivoach!$D$6:$U$100,6,FALSE),0)</f>
        <v>7.0000000000000007E-2</v>
      </c>
      <c r="K5" s="188">
        <f>IF(A5&lt;&gt;" ",RicusKrenHishtalmut!AP8," ")</f>
        <v>0</v>
      </c>
      <c r="L5" s="1001">
        <f>IFERROR(VLOOKUP(B5,PerutYitrot_group_by!$C$6:$F$100,4,FALSE),0)</f>
        <v>0</v>
      </c>
      <c r="M5" s="188"/>
      <c r="O5" s="191"/>
      <c r="P5" s="192"/>
    </row>
    <row r="6" spans="1:16" ht="50.1" customHeight="1" x14ac:dyDescent="0.2">
      <c r="A6" s="189">
        <f>IF(RicusKrenHishtalmut!B9&gt;0,RicusKrenHishtalmut!B9," ")</f>
        <v>4</v>
      </c>
      <c r="B6" s="189" t="str">
        <f>IF(A6&lt;&gt;" ",RicusKrenHishtalmut!E9," ")</f>
        <v>6083738</v>
      </c>
      <c r="C6" s="188" t="str">
        <f>IF(A6&lt;&gt;" ",RicusKrenHishtalmut!F9," ")</f>
        <v>הראל ניהול קרנות פנסיה בע"מ</v>
      </c>
      <c r="D6" s="188" t="str">
        <f>IF(A6&lt;&gt;" ",RicusKrenHishtalmut!R9," ")</f>
        <v xml:space="preserve">הראל קרן השתלמות              </v>
      </c>
      <c r="E6" s="188" t="str">
        <f>IF(A6&lt;&gt;" ",RicusKrenHishtalmut!M9," ")</f>
        <v>שכיר</v>
      </c>
      <c r="F6" s="188" t="str">
        <f>IF(A6&lt;&gt;" ",RicusKrenHishtalmut!N9," ")</f>
        <v>מוקפא</v>
      </c>
      <c r="G6" s="190" t="str">
        <f>IF(A6&lt;&gt;" ",RicusKrenHishtalmut!P9," ")</f>
        <v>04/01/2015</v>
      </c>
      <c r="H6" s="190">
        <f t="shared" si="0"/>
        <v>44287</v>
      </c>
      <c r="I6" s="1033">
        <f>IFERROR(VLOOKUP($B6,HotzaotBafoalLehodeshDivoach!$D$6:$U$100,4,FALSE),0)</f>
        <v>0</v>
      </c>
      <c r="J6" s="1033">
        <f>IFERROR(VLOOKUP($B6,HotzaotBafoalLehodeshDivoach!$D$6:$U$100,6,FALSE),0)</f>
        <v>5.8299999999999998E-2</v>
      </c>
      <c r="K6" s="188">
        <f>IF(A6&lt;&gt;" ",RicusKrenHishtalmut!AP9," ")</f>
        <v>0</v>
      </c>
      <c r="L6" s="1001">
        <f>IFERROR(VLOOKUP(B6,PerutYitrot_group_by!$C$6:$F$100,4,FALSE),0)</f>
        <v>0</v>
      </c>
      <c r="M6" s="188"/>
      <c r="O6" s="191"/>
      <c r="P6" s="192"/>
    </row>
    <row r="7" spans="1:16" ht="50.1" customHeight="1" x14ac:dyDescent="0.2">
      <c r="A7" s="189" t="str">
        <f>IF(RicusKrenHishtalmut!B10&gt;0,RicusKrenHishtalmut!B10," ")</f>
        <v xml:space="preserve"> </v>
      </c>
      <c r="B7" s="189" t="str">
        <f>IF(A7&lt;&gt;" ",RicusKrenHishtalmut!E10," ")</f>
        <v xml:space="preserve"> </v>
      </c>
      <c r="C7" s="188" t="str">
        <f>IF(A7&lt;&gt;" ",RicusKrenHishtalmut!F10," ")</f>
        <v xml:space="preserve"> </v>
      </c>
      <c r="D7" s="188" t="str">
        <f>IF(A7&lt;&gt;" ",RicusKrenHishtalmut!R10," ")</f>
        <v xml:space="preserve"> </v>
      </c>
      <c r="E7" s="188" t="str">
        <f>IF(A7&lt;&gt;" ",RicusKrenHishtalmut!M10," ")</f>
        <v xml:space="preserve"> </v>
      </c>
      <c r="F7" s="188" t="str">
        <f>IF(A7&lt;&gt;" ",RicusKrenHishtalmut!N10," ")</f>
        <v xml:space="preserve"> </v>
      </c>
      <c r="G7" s="190" t="str">
        <f>IF(A7&lt;&gt;" ",RicusKrenHishtalmut!P10," ")</f>
        <v xml:space="preserve"> </v>
      </c>
      <c r="H7" s="190" t="str">
        <f t="shared" si="0"/>
        <v xml:space="preserve"> </v>
      </c>
      <c r="I7" s="1033">
        <f>IFERROR(VLOOKUP($B7,HotzaotBafoalLehodeshDivoach!$D$6:$U$100,4,FALSE),0)</f>
        <v>0</v>
      </c>
      <c r="J7" s="1033">
        <f>IFERROR(VLOOKUP($B7,HotzaotBafoalLehodeshDivoach!$D$6:$U$100,6,FALSE),0)</f>
        <v>0</v>
      </c>
      <c r="K7" s="188" t="str">
        <f>IF(A7&lt;&gt;" ",RicusKrenHishtalmut!AP10," ")</f>
        <v xml:space="preserve"> </v>
      </c>
      <c r="L7" s="1001">
        <f>IFERROR(VLOOKUP(B7,PerutYitrot_group_by!$C$6:$F$100,4,FALSE),0)</f>
        <v>0</v>
      </c>
      <c r="M7" s="188"/>
      <c r="O7" s="191"/>
      <c r="P7" s="192"/>
    </row>
    <row r="8" spans="1:16" ht="50.1" customHeight="1" x14ac:dyDescent="0.2">
      <c r="A8" s="189" t="str">
        <f>IF(RicusKrenHishtalmut!B11&gt;0,RicusKrenHishtalmut!B11," ")</f>
        <v xml:space="preserve"> </v>
      </c>
      <c r="B8" s="189" t="str">
        <f>IF(A8&lt;&gt;" ",RicusKrenHishtalmut!E11," ")</f>
        <v xml:space="preserve"> </v>
      </c>
      <c r="C8" s="188" t="str">
        <f>IF(A8&lt;&gt;" ",RicusKrenHishtalmut!F11," ")</f>
        <v xml:space="preserve"> </v>
      </c>
      <c r="D8" s="188" t="str">
        <f>IF(A8&lt;&gt;" ",RicusKrenHishtalmut!R11," ")</f>
        <v xml:space="preserve"> </v>
      </c>
      <c r="E8" s="188" t="str">
        <f>IF(A8&lt;&gt;" ",RicusKrenHishtalmut!M11," ")</f>
        <v xml:space="preserve"> </v>
      </c>
      <c r="F8" s="188" t="str">
        <f>IF(A8&lt;&gt;" ",RicusKrenHishtalmut!N11," ")</f>
        <v xml:space="preserve"> </v>
      </c>
      <c r="G8" s="190" t="str">
        <f>IF(A8&lt;&gt;" ",RicusKrenHishtalmut!P11," ")</f>
        <v xml:space="preserve"> </v>
      </c>
      <c r="H8" s="190" t="str">
        <f t="shared" si="0"/>
        <v xml:space="preserve"> </v>
      </c>
      <c r="I8" s="1033">
        <f>IFERROR(VLOOKUP($B8,HotzaotBafoalLehodeshDivoach!$D$6:$U$100,4,FALSE),0)</f>
        <v>0</v>
      </c>
      <c r="J8" s="1033">
        <f>IFERROR(VLOOKUP($B8,HotzaotBafoalLehodeshDivoach!$D$6:$U$100,6,FALSE),0)</f>
        <v>0</v>
      </c>
      <c r="K8" s="188" t="str">
        <f>IF(A8&lt;&gt;" ",RicusKrenHishtalmut!AP11," ")</f>
        <v xml:space="preserve"> </v>
      </c>
      <c r="L8" s="1001">
        <f>IFERROR(VLOOKUP(B8,PerutYitrot_group_by!$C$6:$F$100,4,FALSE),0)</f>
        <v>0</v>
      </c>
      <c r="M8" s="188"/>
      <c r="O8" s="191"/>
      <c r="P8" s="192"/>
    </row>
    <row r="9" spans="1:16" ht="50.1" customHeight="1" x14ac:dyDescent="0.2">
      <c r="A9" s="189" t="str">
        <f>IF(RicusKrenHishtalmut!B12&gt;0,RicusKrenHishtalmut!B12," ")</f>
        <v xml:space="preserve"> </v>
      </c>
      <c r="B9" s="189" t="str">
        <f>IF(A9&lt;&gt;" ",RicusKrenHishtalmut!E12," ")</f>
        <v xml:space="preserve"> </v>
      </c>
      <c r="C9" s="188" t="str">
        <f>IF(A9&lt;&gt;" ",RicusKrenHishtalmut!F12," ")</f>
        <v xml:space="preserve"> </v>
      </c>
      <c r="D9" s="188" t="str">
        <f>IF(A9&lt;&gt;" ",RicusKrenHishtalmut!R12," ")</f>
        <v xml:space="preserve"> </v>
      </c>
      <c r="E9" s="188" t="str">
        <f>IF(A9&lt;&gt;" ",RicusKrenHishtalmut!M12," ")</f>
        <v xml:space="preserve"> </v>
      </c>
      <c r="F9" s="188" t="str">
        <f>IF(A9&lt;&gt;" ",RicusKrenHishtalmut!N12," ")</f>
        <v xml:space="preserve"> </v>
      </c>
      <c r="G9" s="190" t="str">
        <f>IF(A9&lt;&gt;" ",RicusKrenHishtalmut!P12," ")</f>
        <v xml:space="preserve"> </v>
      </c>
      <c r="H9" s="190" t="str">
        <f t="shared" si="0"/>
        <v xml:space="preserve"> </v>
      </c>
      <c r="I9" s="1033">
        <f>IFERROR(VLOOKUP($B9,HotzaotBafoalLehodeshDivoach!$D$6:$U$100,4,FALSE),0)</f>
        <v>0</v>
      </c>
      <c r="J9" s="1033">
        <f>IFERROR(VLOOKUP($B9,HotzaotBafoalLehodeshDivoach!$D$6:$U$100,6,FALSE),0)</f>
        <v>0</v>
      </c>
      <c r="K9" s="188" t="str">
        <f>IF(A9&lt;&gt;" ",RicusKrenHishtalmut!AP12," ")</f>
        <v xml:space="preserve"> </v>
      </c>
      <c r="L9" s="1001">
        <f>IFERROR(VLOOKUP(B9,PerutYitrot_group_by!$C$6:$F$100,4,FALSE),0)</f>
        <v>0</v>
      </c>
      <c r="M9" s="188"/>
      <c r="O9" s="191"/>
      <c r="P9" s="192"/>
    </row>
    <row r="10" spans="1:16" ht="50.1" customHeight="1" x14ac:dyDescent="0.2">
      <c r="A10" s="189" t="str">
        <f>IF(RicusKrenHishtalmut!B13&gt;0,RicusKrenHishtalmut!B13," ")</f>
        <v xml:space="preserve"> </v>
      </c>
      <c r="B10" s="189" t="str">
        <f>IF(A10&lt;&gt;" ",RicusKrenHishtalmut!E13," ")</f>
        <v xml:space="preserve"> </v>
      </c>
      <c r="C10" s="188" t="str">
        <f>IF(A10&lt;&gt;" ",RicusKrenHishtalmut!F13," ")</f>
        <v xml:space="preserve"> </v>
      </c>
      <c r="D10" s="188" t="str">
        <f>IF(A10&lt;&gt;" ",RicusKrenHishtalmut!R13," ")</f>
        <v xml:space="preserve"> </v>
      </c>
      <c r="E10" s="188" t="str">
        <f>IF(A10&lt;&gt;" ",RicusKrenHishtalmut!M13," ")</f>
        <v xml:space="preserve"> </v>
      </c>
      <c r="F10" s="188" t="str">
        <f>IF(A10&lt;&gt;" ",RicusKrenHishtalmut!N13," ")</f>
        <v xml:space="preserve"> </v>
      </c>
      <c r="G10" s="190" t="str">
        <f>IF(A10&lt;&gt;" ",RicusKrenHishtalmut!P13," ")</f>
        <v xml:space="preserve"> </v>
      </c>
      <c r="H10" s="190" t="str">
        <f t="shared" si="0"/>
        <v xml:space="preserve"> </v>
      </c>
      <c r="I10" s="1033">
        <f>IFERROR(VLOOKUP($B10,HotzaotBafoalLehodeshDivoach!$D$6:$U$100,4,FALSE),0)</f>
        <v>0</v>
      </c>
      <c r="J10" s="1033">
        <f>IFERROR(VLOOKUP($B10,HotzaotBafoalLehodeshDivoach!$D$6:$U$100,6,FALSE),0)</f>
        <v>0</v>
      </c>
      <c r="K10" s="188" t="str">
        <f>IF(A10&lt;&gt;" ",RicusKrenHishtalmut!AP13," ")</f>
        <v xml:space="preserve"> </v>
      </c>
      <c r="L10" s="1001">
        <f>IFERROR(VLOOKUP(B10,PerutYitrot_group_by!$C$6:$F$100,4,FALSE),0)</f>
        <v>0</v>
      </c>
      <c r="M10" s="188"/>
      <c r="O10" s="191"/>
      <c r="P10" s="192"/>
    </row>
    <row r="11" spans="1:16" ht="50.1" customHeight="1" x14ac:dyDescent="0.2">
      <c r="A11" s="189" t="str">
        <f>IF(RicusKrenHishtalmut!B14&gt;0,RicusKrenHishtalmut!B14," ")</f>
        <v xml:space="preserve"> </v>
      </c>
      <c r="B11" s="189" t="str">
        <f>IF(A11&lt;&gt;" ",RicusKrenHishtalmut!E14," ")</f>
        <v xml:space="preserve"> </v>
      </c>
      <c r="C11" s="188" t="str">
        <f>IF(A11&lt;&gt;" ",RicusKrenHishtalmut!F14," ")</f>
        <v xml:space="preserve"> </v>
      </c>
      <c r="D11" s="188" t="str">
        <f>IF(A11&lt;&gt;" ",RicusKrenHishtalmut!R14," ")</f>
        <v xml:space="preserve"> </v>
      </c>
      <c r="E11" s="188" t="str">
        <f>IF(A11&lt;&gt;" ",RicusKrenHishtalmut!M14," ")</f>
        <v xml:space="preserve"> </v>
      </c>
      <c r="F11" s="188" t="str">
        <f>IF(A11&lt;&gt;" ",RicusKrenHishtalmut!N14," ")</f>
        <v xml:space="preserve"> </v>
      </c>
      <c r="G11" s="190" t="str">
        <f>IF(A11&lt;&gt;" ",RicusKrenHishtalmut!P14," ")</f>
        <v xml:space="preserve"> </v>
      </c>
      <c r="H11" s="190" t="str">
        <f t="shared" si="0"/>
        <v xml:space="preserve"> </v>
      </c>
      <c r="I11" s="1033">
        <f>IFERROR(VLOOKUP($B11,HotzaotBafoalLehodeshDivoach!$D$6:$U$100,4,FALSE),0)</f>
        <v>0</v>
      </c>
      <c r="J11" s="1033">
        <f>IFERROR(VLOOKUP($B11,HotzaotBafoalLehodeshDivoach!$D$6:$U$100,6,FALSE),0)</f>
        <v>0</v>
      </c>
      <c r="K11" s="188" t="str">
        <f>IF(A11&lt;&gt;" ",RicusKrenHishtalmut!AP14," ")</f>
        <v xml:space="preserve"> </v>
      </c>
      <c r="L11" s="1001">
        <f>IFERROR(VLOOKUP(B11,PerutYitrot_group_by!$C$6:$F$100,4,FALSE),0)</f>
        <v>0</v>
      </c>
      <c r="M11" s="188"/>
      <c r="O11" s="191"/>
      <c r="P11" s="192"/>
    </row>
    <row r="12" spans="1:16" ht="50.1" customHeight="1" x14ac:dyDescent="0.2">
      <c r="A12" s="189" t="str">
        <f>IF(RicusKrenHishtalmut!B15&gt;0,RicusKrenHishtalmut!B15," ")</f>
        <v xml:space="preserve"> </v>
      </c>
      <c r="B12" s="189" t="str">
        <f>IF(A12&lt;&gt;" ",RicusKrenHishtalmut!E15," ")</f>
        <v xml:space="preserve"> </v>
      </c>
      <c r="C12" s="188" t="str">
        <f>IF(A12&lt;&gt;" ",RicusKrenHishtalmut!F15," ")</f>
        <v xml:space="preserve"> </v>
      </c>
      <c r="D12" s="188" t="str">
        <f>IF(A12&lt;&gt;" ",RicusKrenHishtalmut!R15," ")</f>
        <v xml:space="preserve"> </v>
      </c>
      <c r="E12" s="188" t="str">
        <f>IF(A12&lt;&gt;" ",RicusKrenHishtalmut!M15," ")</f>
        <v xml:space="preserve"> </v>
      </c>
      <c r="F12" s="188" t="str">
        <f>IF(A12&lt;&gt;" ",RicusKrenHishtalmut!N15," ")</f>
        <v xml:space="preserve"> </v>
      </c>
      <c r="G12" s="190" t="str">
        <f>IF(A12&lt;&gt;" ",RicusKrenHishtalmut!P15," ")</f>
        <v xml:space="preserve"> </v>
      </c>
      <c r="H12" s="190" t="str">
        <f t="shared" si="0"/>
        <v xml:space="preserve"> </v>
      </c>
      <c r="I12" s="1033">
        <f>IFERROR(VLOOKUP($B12,HotzaotBafoalLehodeshDivoach!$D$6:$U$100,4,FALSE),0)</f>
        <v>0</v>
      </c>
      <c r="J12" s="1033">
        <f>IFERROR(VLOOKUP($B12,HotzaotBafoalLehodeshDivoach!$D$6:$U$100,6,FALSE),0)</f>
        <v>0</v>
      </c>
      <c r="K12" s="188" t="str">
        <f>IF(A12&lt;&gt;" ",RicusKrenHishtalmut!AP15," ")</f>
        <v xml:space="preserve"> </v>
      </c>
      <c r="L12" s="1001">
        <f>IFERROR(VLOOKUP(B12,PerutYitrot_group_by!$C$6:$F$100,4,FALSE),0)</f>
        <v>0</v>
      </c>
      <c r="M12" s="188"/>
      <c r="O12" s="191"/>
      <c r="P12" s="192"/>
    </row>
    <row r="13" spans="1:16" ht="50.1" customHeight="1" x14ac:dyDescent="0.2">
      <c r="A13" s="189" t="str">
        <f>IF(RicusKrenHishtalmut!B16&gt;0,RicusKrenHishtalmut!B16," ")</f>
        <v xml:space="preserve"> </v>
      </c>
      <c r="B13" s="189" t="str">
        <f>IF(A13&lt;&gt;" ",RicusKrenHishtalmut!E16," ")</f>
        <v xml:space="preserve"> </v>
      </c>
      <c r="C13" s="188" t="str">
        <f>IF(A13&lt;&gt;" ",RicusKrenHishtalmut!F16," ")</f>
        <v xml:space="preserve"> </v>
      </c>
      <c r="D13" s="188" t="str">
        <f>IF(A13&lt;&gt;" ",RicusKrenHishtalmut!R16," ")</f>
        <v xml:space="preserve"> </v>
      </c>
      <c r="E13" s="188" t="str">
        <f>IF(A13&lt;&gt;" ",RicusKrenHishtalmut!M16," ")</f>
        <v xml:space="preserve"> </v>
      </c>
      <c r="F13" s="188" t="str">
        <f>IF(A13&lt;&gt;" ",RicusKrenHishtalmut!N16," ")</f>
        <v xml:space="preserve"> </v>
      </c>
      <c r="G13" s="190" t="str">
        <f>IF(A13&lt;&gt;" ",RicusKrenHishtalmut!P16," ")</f>
        <v xml:space="preserve"> </v>
      </c>
      <c r="H13" s="190" t="str">
        <f t="shared" si="0"/>
        <v xml:space="preserve"> </v>
      </c>
      <c r="I13" s="1033">
        <f>IFERROR(VLOOKUP($B13,HotzaotBafoalLehodeshDivoach!$D$6:$U$100,4,FALSE),0)</f>
        <v>0</v>
      </c>
      <c r="J13" s="1033">
        <f>IFERROR(VLOOKUP($B13,HotzaotBafoalLehodeshDivoach!$D$6:$U$100,6,FALSE),0)</f>
        <v>0</v>
      </c>
      <c r="K13" s="188" t="str">
        <f>IF(A13&lt;&gt;" ",RicusKrenHishtalmut!AP16," ")</f>
        <v xml:space="preserve"> </v>
      </c>
      <c r="L13" s="1001">
        <f>IFERROR(VLOOKUP(B13,PerutYitrot_group_by!$C$6:$F$100,4,FALSE),0)</f>
        <v>0</v>
      </c>
      <c r="M13" s="188"/>
      <c r="O13" s="191"/>
      <c r="P13" s="192"/>
    </row>
    <row r="14" spans="1:16" ht="50.1" customHeight="1" x14ac:dyDescent="0.2">
      <c r="A14" s="189" t="str">
        <f>IF(RicusKrenHishtalmut!B17&gt;0,RicusKrenHishtalmut!B17," ")</f>
        <v xml:space="preserve"> </v>
      </c>
      <c r="B14" s="189" t="str">
        <f>IF(A14&lt;&gt;" ",RicusKrenHishtalmut!E17," ")</f>
        <v xml:space="preserve"> </v>
      </c>
      <c r="C14" s="188" t="str">
        <f>IF(A14&lt;&gt;" ",RicusKrenHishtalmut!F17," ")</f>
        <v xml:space="preserve"> </v>
      </c>
      <c r="D14" s="188" t="str">
        <f>IF(A14&lt;&gt;" ",RicusKrenHishtalmut!R17," ")</f>
        <v xml:space="preserve"> </v>
      </c>
      <c r="E14" s="188" t="str">
        <f>IF(A14&lt;&gt;" ",RicusKrenHishtalmut!M17," ")</f>
        <v xml:space="preserve"> </v>
      </c>
      <c r="F14" s="188" t="str">
        <f>IF(A14&lt;&gt;" ",RicusKrenHishtalmut!N17," ")</f>
        <v xml:space="preserve"> </v>
      </c>
      <c r="G14" s="190" t="str">
        <f>IF(A14&lt;&gt;" ",RicusKrenHishtalmut!P17," ")</f>
        <v xml:space="preserve"> </v>
      </c>
      <c r="H14" s="190" t="str">
        <f t="shared" si="0"/>
        <v xml:space="preserve"> </v>
      </c>
      <c r="I14" s="1033">
        <f>IFERROR(VLOOKUP($B14,HotzaotBafoalLehodeshDivoach!$D$6:$U$100,4,FALSE),0)</f>
        <v>0</v>
      </c>
      <c r="J14" s="1033">
        <f>IFERROR(VLOOKUP($B14,HotzaotBafoalLehodeshDivoach!$D$6:$U$100,6,FALSE),0)</f>
        <v>0</v>
      </c>
      <c r="K14" s="188" t="str">
        <f>IF(A14&lt;&gt;" ",RicusKrenHishtalmut!AP17," ")</f>
        <v xml:space="preserve"> </v>
      </c>
      <c r="L14" s="1001">
        <f>IFERROR(VLOOKUP(B14,PerutYitrot_group_by!$C$6:$F$100,4,FALSE),0)</f>
        <v>0</v>
      </c>
      <c r="M14" s="188"/>
      <c r="O14" s="191"/>
      <c r="P14" s="192"/>
    </row>
    <row r="15" spans="1:16" ht="50.1" customHeight="1" x14ac:dyDescent="0.2">
      <c r="A15" s="189" t="str">
        <f>IF(RicusKrenHishtalmut!B18&gt;0,RicusKrenHishtalmut!B18," ")</f>
        <v xml:space="preserve"> </v>
      </c>
      <c r="B15" s="189" t="str">
        <f>IF(A15&lt;&gt;" ",RicusKrenHishtalmut!E18," ")</f>
        <v xml:space="preserve"> </v>
      </c>
      <c r="C15" s="188" t="str">
        <f>IF(A15&lt;&gt;" ",RicusKrenHishtalmut!F18," ")</f>
        <v xml:space="preserve"> </v>
      </c>
      <c r="D15" s="188" t="str">
        <f>IF(A15&lt;&gt;" ",RicusKrenHishtalmut!R18," ")</f>
        <v xml:space="preserve"> </v>
      </c>
      <c r="E15" s="188" t="str">
        <f>IF(A15&lt;&gt;" ",RicusKrenHishtalmut!M18," ")</f>
        <v xml:space="preserve"> </v>
      </c>
      <c r="F15" s="188" t="str">
        <f>IF(A15&lt;&gt;" ",RicusKrenHishtalmut!N18," ")</f>
        <v xml:space="preserve"> </v>
      </c>
      <c r="G15" s="190" t="str">
        <f>IF(A15&lt;&gt;" ",RicusKrenHishtalmut!P18," ")</f>
        <v xml:space="preserve"> </v>
      </c>
      <c r="H15" s="190" t="str">
        <f t="shared" si="0"/>
        <v xml:space="preserve"> </v>
      </c>
      <c r="I15" s="1033">
        <f>IFERROR(VLOOKUP($B15,HotzaotBafoalLehodeshDivoach!$D$6:$U$100,4,FALSE),0)</f>
        <v>0</v>
      </c>
      <c r="J15" s="1033">
        <f>IFERROR(VLOOKUP($B15,HotzaotBafoalLehodeshDivoach!$D$6:$U$100,6,FALSE),0)</f>
        <v>0</v>
      </c>
      <c r="K15" s="188" t="str">
        <f>IF(A15&lt;&gt;" ",RicusKrenHishtalmut!AP18," ")</f>
        <v xml:space="preserve"> </v>
      </c>
      <c r="L15" s="1001">
        <f>IFERROR(VLOOKUP(B15,PerutYitrot_group_by!$C$6:$F$100,4,FALSE),0)</f>
        <v>0</v>
      </c>
      <c r="M15" s="188"/>
      <c r="O15" s="191"/>
      <c r="P15" s="192"/>
    </row>
    <row r="16" spans="1:16" ht="50.1" customHeight="1" x14ac:dyDescent="0.2">
      <c r="A16" s="189" t="str">
        <f>IF(RicusKrenHishtalmut!B19&gt;0,RicusKrenHishtalmut!B19," ")</f>
        <v xml:space="preserve"> </v>
      </c>
      <c r="B16" s="189" t="str">
        <f>IF(A16&lt;&gt;" ",RicusKrenHishtalmut!E19," ")</f>
        <v xml:space="preserve"> </v>
      </c>
      <c r="C16" s="188" t="str">
        <f>IF(A16&lt;&gt;" ",RicusKrenHishtalmut!F19," ")</f>
        <v xml:space="preserve"> </v>
      </c>
      <c r="D16" s="188" t="str">
        <f>IF(A16&lt;&gt;" ",RicusKrenHishtalmut!R19," ")</f>
        <v xml:space="preserve"> </v>
      </c>
      <c r="E16" s="188" t="str">
        <f>IF(A16&lt;&gt;" ",RicusKrenHishtalmut!M19," ")</f>
        <v xml:space="preserve"> </v>
      </c>
      <c r="F16" s="188" t="str">
        <f>IF(A16&lt;&gt;" ",RicusKrenHishtalmut!N19," ")</f>
        <v xml:space="preserve"> </v>
      </c>
      <c r="G16" s="190" t="str">
        <f>IF(A16&lt;&gt;" ",RicusKrenHishtalmut!P19," ")</f>
        <v xml:space="preserve"> </v>
      </c>
      <c r="H16" s="190" t="str">
        <f t="shared" si="0"/>
        <v xml:space="preserve"> </v>
      </c>
      <c r="I16" s="1033">
        <f>IFERROR(VLOOKUP($B16,HotzaotBafoalLehodeshDivoach!$D$6:$U$100,4,FALSE),0)</f>
        <v>0</v>
      </c>
      <c r="J16" s="1033">
        <f>IFERROR(VLOOKUP($B16,HotzaotBafoalLehodeshDivoach!$D$6:$U$100,6,FALSE),0)</f>
        <v>0</v>
      </c>
      <c r="K16" s="188" t="str">
        <f>IF(A16&lt;&gt;" ",RicusKrenHishtalmut!AP19," ")</f>
        <v xml:space="preserve"> </v>
      </c>
      <c r="L16" s="1001">
        <f>IFERROR(VLOOKUP(B16,PerutYitrot_group_by!$C$6:$F$100,4,FALSE),0)</f>
        <v>0</v>
      </c>
      <c r="M16" s="188"/>
      <c r="O16" s="191"/>
      <c r="P16" s="192"/>
    </row>
    <row r="17" spans="1:16" ht="50.1" customHeight="1" x14ac:dyDescent="0.2">
      <c r="A17" s="189" t="str">
        <f>IF(RicusKrenHishtalmut!B20&gt;0,RicusKrenHishtalmut!B20," ")</f>
        <v xml:space="preserve"> </v>
      </c>
      <c r="B17" s="189" t="str">
        <f>IF(A17&lt;&gt;" ",RicusKrenHishtalmut!E20," ")</f>
        <v xml:space="preserve"> </v>
      </c>
      <c r="C17" s="188" t="str">
        <f>IF(A17&lt;&gt;" ",RicusKrenHishtalmut!F20," ")</f>
        <v xml:space="preserve"> </v>
      </c>
      <c r="D17" s="188" t="str">
        <f>IF(A17&lt;&gt;" ",RicusKrenHishtalmut!R20," ")</f>
        <v xml:space="preserve"> </v>
      </c>
      <c r="E17" s="188" t="str">
        <f>IF(A17&lt;&gt;" ",RicusKrenHishtalmut!M20," ")</f>
        <v xml:space="preserve"> </v>
      </c>
      <c r="F17" s="188" t="str">
        <f>IF(A17&lt;&gt;" ",RicusKrenHishtalmut!N20," ")</f>
        <v xml:space="preserve"> </v>
      </c>
      <c r="G17" s="190" t="str">
        <f>IF(A17&lt;&gt;" ",RicusKrenHishtalmut!P20," ")</f>
        <v xml:space="preserve"> </v>
      </c>
      <c r="H17" s="190" t="str">
        <f t="shared" si="0"/>
        <v xml:space="preserve"> </v>
      </c>
      <c r="I17" s="1033">
        <f>IFERROR(VLOOKUP($B17,HotzaotBafoalLehodeshDivoach!$D$6:$U$100,4,FALSE),0)</f>
        <v>0</v>
      </c>
      <c r="J17" s="1033">
        <f>IFERROR(VLOOKUP($B17,HotzaotBafoalLehodeshDivoach!$D$6:$U$100,6,FALSE),0)</f>
        <v>0</v>
      </c>
      <c r="K17" s="188" t="str">
        <f>IF(A17&lt;&gt;" ",RicusKrenHishtalmut!AP20," ")</f>
        <v xml:space="preserve"> </v>
      </c>
      <c r="L17" s="1001">
        <f>IFERROR(VLOOKUP(B17,PerutYitrot_group_by!$C$6:$F$100,4,FALSE),0)</f>
        <v>0</v>
      </c>
      <c r="M17" s="188"/>
      <c r="O17" s="191"/>
      <c r="P17" s="192"/>
    </row>
    <row r="18" spans="1:16" ht="50.1" customHeight="1" x14ac:dyDescent="0.2">
      <c r="A18" s="189" t="str">
        <f>IF(RicusKrenHishtalmut!B21&gt;0,RicusKrenHishtalmut!B21," ")</f>
        <v xml:space="preserve"> </v>
      </c>
      <c r="B18" s="189" t="str">
        <f>IF(A18&lt;&gt;" ",RicusKrenHishtalmut!E21," ")</f>
        <v xml:space="preserve"> </v>
      </c>
      <c r="C18" s="188" t="str">
        <f>IF(A18&lt;&gt;" ",RicusKrenHishtalmut!F21," ")</f>
        <v xml:space="preserve"> </v>
      </c>
      <c r="D18" s="188" t="str">
        <f>IF(A18&lt;&gt;" ",RicusKrenHishtalmut!R21," ")</f>
        <v xml:space="preserve"> </v>
      </c>
      <c r="E18" s="188" t="str">
        <f>IF(A18&lt;&gt;" ",RicusKrenHishtalmut!M21," ")</f>
        <v xml:space="preserve"> </v>
      </c>
      <c r="F18" s="188" t="str">
        <f>IF(A18&lt;&gt;" ",RicusKrenHishtalmut!N21," ")</f>
        <v xml:space="preserve"> </v>
      </c>
      <c r="G18" s="190" t="str">
        <f>IF(A18&lt;&gt;" ",RicusKrenHishtalmut!P21," ")</f>
        <v xml:space="preserve"> </v>
      </c>
      <c r="H18" s="190" t="str">
        <f t="shared" si="0"/>
        <v xml:space="preserve"> </v>
      </c>
      <c r="I18" s="1033">
        <f>IFERROR(VLOOKUP($B18,HotzaotBafoalLehodeshDivoach!$D$6:$U$100,4,FALSE),0)</f>
        <v>0</v>
      </c>
      <c r="J18" s="1033">
        <f>IFERROR(VLOOKUP($B18,HotzaotBafoalLehodeshDivoach!$D$6:$U$100,6,FALSE),0)</f>
        <v>0</v>
      </c>
      <c r="K18" s="188" t="str">
        <f>IF(A18&lt;&gt;" ",RicusKrenHishtalmut!AP21," ")</f>
        <v xml:space="preserve"> </v>
      </c>
      <c r="L18" s="1001">
        <f>IFERROR(VLOOKUP(B18,PerutYitrot_group_by!$C$6:$F$100,4,FALSE),0)</f>
        <v>0</v>
      </c>
      <c r="M18" s="188"/>
      <c r="O18" s="191"/>
      <c r="P18" s="192"/>
    </row>
    <row r="19" spans="1:16" ht="50.1" customHeight="1" x14ac:dyDescent="0.2">
      <c r="A19" s="189" t="str">
        <f>IF(RicusKrenHishtalmut!B22&gt;0,RicusKrenHishtalmut!B22," ")</f>
        <v xml:space="preserve"> </v>
      </c>
      <c r="B19" s="189" t="str">
        <f>IF(A19&lt;&gt;" ",RicusKrenHishtalmut!E22," ")</f>
        <v xml:space="preserve"> </v>
      </c>
      <c r="C19" s="188" t="str">
        <f>IF(A19&lt;&gt;" ",RicusKrenHishtalmut!F22," ")</f>
        <v xml:space="preserve"> </v>
      </c>
      <c r="D19" s="188" t="str">
        <f>IF(A19&lt;&gt;" ",RicusKrenHishtalmut!R22," ")</f>
        <v xml:space="preserve"> </v>
      </c>
      <c r="E19" s="188" t="str">
        <f>IF(A19&lt;&gt;" ",RicusKrenHishtalmut!M22," ")</f>
        <v xml:space="preserve"> </v>
      </c>
      <c r="F19" s="188" t="str">
        <f>IF(A19&lt;&gt;" ",RicusKrenHishtalmut!N22," ")</f>
        <v xml:space="preserve"> </v>
      </c>
      <c r="G19" s="190" t="str">
        <f>IF(A19&lt;&gt;" ",RicusKrenHishtalmut!P22," ")</f>
        <v xml:space="preserve"> </v>
      </c>
      <c r="H19" s="190" t="str">
        <f t="shared" si="0"/>
        <v xml:space="preserve"> </v>
      </c>
      <c r="I19" s="1033">
        <f>IFERROR(VLOOKUP($B19,HotzaotBafoalLehodeshDivoach!$D$6:$U$100,4,FALSE),0)</f>
        <v>0</v>
      </c>
      <c r="J19" s="1033">
        <f>IFERROR(VLOOKUP($B19,HotzaotBafoalLehodeshDivoach!$D$6:$U$100,6,FALSE),0)</f>
        <v>0</v>
      </c>
      <c r="K19" s="188" t="str">
        <f>IF(A19&lt;&gt;" ",RicusKrenHishtalmut!AP22," ")</f>
        <v xml:space="preserve"> </v>
      </c>
      <c r="L19" s="1001">
        <f>IFERROR(VLOOKUP(B19,PerutYitrot_group_by!$C$6:$F$100,4,FALSE),0)</f>
        <v>0</v>
      </c>
      <c r="M19" s="188"/>
      <c r="O19" s="191"/>
      <c r="P19" s="192"/>
    </row>
    <row r="20" spans="1:16" ht="50.1" customHeight="1" x14ac:dyDescent="0.2">
      <c r="A20" s="189" t="str">
        <f>IF(RicusKrenHishtalmut!B23&gt;0,RicusKrenHishtalmut!B23," ")</f>
        <v xml:space="preserve"> </v>
      </c>
      <c r="B20" s="189" t="str">
        <f>IF(A20&lt;&gt;" ",RicusKrenHishtalmut!E23," ")</f>
        <v xml:space="preserve"> </v>
      </c>
      <c r="C20" s="188" t="str">
        <f>IF(A20&lt;&gt;" ",RicusKrenHishtalmut!F23," ")</f>
        <v xml:space="preserve"> </v>
      </c>
      <c r="D20" s="188" t="str">
        <f>IF(A20&lt;&gt;" ",RicusKrenHishtalmut!R23," ")</f>
        <v xml:space="preserve"> </v>
      </c>
      <c r="E20" s="188" t="str">
        <f>IF(A20&lt;&gt;" ",RicusKrenHishtalmut!M23," ")</f>
        <v xml:space="preserve"> </v>
      </c>
      <c r="F20" s="188" t="str">
        <f>IF(A20&lt;&gt;" ",RicusKrenHishtalmut!N23," ")</f>
        <v xml:space="preserve"> </v>
      </c>
      <c r="G20" s="190" t="str">
        <f>IF(A20&lt;&gt;" ",RicusKrenHishtalmut!P23," ")</f>
        <v xml:space="preserve"> </v>
      </c>
      <c r="H20" s="190" t="str">
        <f t="shared" si="0"/>
        <v xml:space="preserve"> </v>
      </c>
      <c r="I20" s="1033">
        <f>IFERROR(VLOOKUP($B20,HotzaotBafoalLehodeshDivoach!$D$6:$U$100,4,FALSE),0)</f>
        <v>0</v>
      </c>
      <c r="J20" s="1033">
        <f>IFERROR(VLOOKUP($B20,HotzaotBafoalLehodeshDivoach!$D$6:$U$100,6,FALSE),0)</f>
        <v>0</v>
      </c>
      <c r="K20" s="188" t="str">
        <f>IF(A20&lt;&gt;" ",RicusKrenHishtalmut!AP23," ")</f>
        <v xml:space="preserve"> </v>
      </c>
      <c r="L20" s="1001">
        <f>IFERROR(VLOOKUP(B20,PerutYitrot_group_by!$C$6:$F$100,4,FALSE),0)</f>
        <v>0</v>
      </c>
      <c r="M20" s="188"/>
      <c r="O20" s="191"/>
      <c r="P20" s="192"/>
    </row>
    <row r="21" spans="1:16" ht="50.1" customHeight="1" x14ac:dyDescent="0.2">
      <c r="A21" s="189" t="str">
        <f>IF(RicusKrenHishtalmut!B24&gt;0,RicusKrenHishtalmut!B24," ")</f>
        <v xml:space="preserve"> </v>
      </c>
      <c r="B21" s="189" t="str">
        <f>IF(A21&lt;&gt;" ",RicusKrenHishtalmut!E24," ")</f>
        <v xml:space="preserve"> </v>
      </c>
      <c r="C21" s="188" t="str">
        <f>IF(A21&lt;&gt;" ",RicusKrenHishtalmut!F24," ")</f>
        <v xml:space="preserve"> </v>
      </c>
      <c r="D21" s="188" t="str">
        <f>IF(A21&lt;&gt;" ",RicusKrenHishtalmut!R24," ")</f>
        <v xml:space="preserve"> </v>
      </c>
      <c r="E21" s="188" t="str">
        <f>IF(A21&lt;&gt;" ",RicusKrenHishtalmut!M24," ")</f>
        <v xml:space="preserve"> </v>
      </c>
      <c r="F21" s="188" t="str">
        <f>IF(A21&lt;&gt;" ",RicusKrenHishtalmut!N24," ")</f>
        <v xml:space="preserve"> </v>
      </c>
      <c r="G21" s="190" t="str">
        <f>IF(A21&lt;&gt;" ",RicusKrenHishtalmut!P24," ")</f>
        <v xml:space="preserve"> </v>
      </c>
      <c r="H21" s="190" t="str">
        <f t="shared" si="0"/>
        <v xml:space="preserve"> </v>
      </c>
      <c r="I21" s="1033">
        <f>IFERROR(VLOOKUP($B21,HotzaotBafoalLehodeshDivoach!$D$6:$U$100,4,FALSE),0)</f>
        <v>0</v>
      </c>
      <c r="J21" s="1033">
        <f>IFERROR(VLOOKUP($B21,HotzaotBafoalLehodeshDivoach!$D$6:$U$100,6,FALSE),0)</f>
        <v>0</v>
      </c>
      <c r="K21" s="188" t="str">
        <f>IF(A21&lt;&gt;" ",RicusKrenHishtalmut!AP24," ")</f>
        <v xml:space="preserve"> </v>
      </c>
      <c r="L21" s="1001">
        <f>IFERROR(VLOOKUP(B21,PerutYitrot_group_by!$C$6:$F$100,4,FALSE),0)</f>
        <v>0</v>
      </c>
      <c r="M21" s="188"/>
      <c r="O21" s="191"/>
      <c r="P21" s="192"/>
    </row>
    <row r="22" spans="1:16" ht="50.1" customHeight="1" x14ac:dyDescent="0.2">
      <c r="A22" s="189" t="str">
        <f>IF(RicusKrenHishtalmut!B25&gt;0,RicusKrenHishtalmut!B25," ")</f>
        <v xml:space="preserve"> </v>
      </c>
      <c r="B22" s="189" t="str">
        <f>IF(A22&lt;&gt;" ",RicusKrenHishtalmut!E25," ")</f>
        <v xml:space="preserve"> </v>
      </c>
      <c r="C22" s="188" t="str">
        <f>IF(A22&lt;&gt;" ",RicusKrenHishtalmut!F25," ")</f>
        <v xml:space="preserve"> </v>
      </c>
      <c r="D22" s="188" t="str">
        <f>IF(A22&lt;&gt;" ",RicusKrenHishtalmut!R25," ")</f>
        <v xml:space="preserve"> </v>
      </c>
      <c r="E22" s="188" t="str">
        <f>IF(A22&lt;&gt;" ",RicusKrenHishtalmut!M25," ")</f>
        <v xml:space="preserve"> </v>
      </c>
      <c r="F22" s="188" t="str">
        <f>IF(A22&lt;&gt;" ",RicusKrenHishtalmut!N25," ")</f>
        <v xml:space="preserve"> </v>
      </c>
      <c r="G22" s="190" t="str">
        <f>IF(A22&lt;&gt;" ",RicusKrenHishtalmut!P25," ")</f>
        <v xml:space="preserve"> </v>
      </c>
      <c r="H22" s="190" t="str">
        <f t="shared" si="0"/>
        <v xml:space="preserve"> </v>
      </c>
      <c r="I22" s="1033">
        <f>IFERROR(VLOOKUP($B22,HotzaotBafoalLehodeshDivoach!$D$6:$U$100,4,FALSE),0)</f>
        <v>0</v>
      </c>
      <c r="J22" s="1033">
        <f>IFERROR(VLOOKUP($B22,HotzaotBafoalLehodeshDivoach!$D$6:$U$100,6,FALSE),0)</f>
        <v>0</v>
      </c>
      <c r="K22" s="188" t="str">
        <f>IF(A22&lt;&gt;" ",RicusKrenHishtalmut!AP25," ")</f>
        <v xml:space="preserve"> </v>
      </c>
      <c r="L22" s="1001">
        <f>IFERROR(VLOOKUP(B22,PerutYitrot_group_by!$C$6:$F$100,4,FALSE),0)</f>
        <v>0</v>
      </c>
      <c r="M22" s="178"/>
      <c r="O22" s="191"/>
      <c r="P22" s="192"/>
    </row>
    <row r="23" spans="1:16" ht="50.1" customHeight="1" x14ac:dyDescent="0.2">
      <c r="A23" s="189" t="str">
        <f>IF(RicusKrenHishtalmut!B26&gt;0,RicusKrenHishtalmut!B26," ")</f>
        <v xml:space="preserve"> </v>
      </c>
      <c r="B23" s="189" t="str">
        <f>IF(A23&lt;&gt;" ",RicusKrenHishtalmut!E26," ")</f>
        <v xml:space="preserve"> </v>
      </c>
      <c r="C23" s="188" t="str">
        <f>IF(A23&lt;&gt;" ",RicusKrenHishtalmut!F26," ")</f>
        <v xml:space="preserve"> </v>
      </c>
      <c r="D23" s="188" t="str">
        <f>IF(A23&lt;&gt;" ",RicusKrenHishtalmut!R26," ")</f>
        <v xml:space="preserve"> </v>
      </c>
      <c r="E23" s="188" t="str">
        <f>IF(A23&lt;&gt;" ",RicusKrenHishtalmut!M26," ")</f>
        <v xml:space="preserve"> </v>
      </c>
      <c r="F23" s="188" t="str">
        <f>IF(A23&lt;&gt;" ",RicusKrenHishtalmut!N26," ")</f>
        <v xml:space="preserve"> </v>
      </c>
      <c r="G23" s="190" t="str">
        <f>IF(A23&lt;&gt;" ",RicusKrenHishtalmut!P26," ")</f>
        <v xml:space="preserve"> </v>
      </c>
      <c r="H23" s="190" t="str">
        <f t="shared" si="0"/>
        <v xml:space="preserve"> </v>
      </c>
      <c r="I23" s="1033">
        <f>IFERROR(VLOOKUP($B23,HotzaotBafoalLehodeshDivoach!$D$6:$U$100,4,FALSE),0)</f>
        <v>0</v>
      </c>
      <c r="J23" s="1033">
        <f>IFERROR(VLOOKUP($B23,HotzaotBafoalLehodeshDivoach!$D$6:$U$100,6,FALSE),0)</f>
        <v>0</v>
      </c>
      <c r="K23" s="188" t="str">
        <f>IF(A23&lt;&gt;" ",RicusKrenHishtalmut!AP26," ")</f>
        <v xml:space="preserve"> </v>
      </c>
      <c r="L23" s="1001">
        <f>IFERROR(VLOOKUP(B23,PerutYitrot_group_by!$C$6:$F$100,4,FALSE),0)</f>
        <v>0</v>
      </c>
      <c r="M23" s="178"/>
      <c r="O23" s="191"/>
      <c r="P23" s="192"/>
    </row>
    <row r="24" spans="1:16" ht="50.1" customHeight="1" x14ac:dyDescent="0.2">
      <c r="A24" s="189" t="str">
        <f>IF(RicusKrenHishtalmut!B27&gt;0,RicusKrenHishtalmut!B27," ")</f>
        <v xml:space="preserve"> </v>
      </c>
      <c r="B24" s="189" t="str">
        <f>IF(A24&lt;&gt;" ",RicusKrenHishtalmut!E27," ")</f>
        <v xml:space="preserve"> </v>
      </c>
      <c r="C24" s="188" t="str">
        <f>IF(A24&lt;&gt;" ",RicusKrenHishtalmut!F27," ")</f>
        <v xml:space="preserve"> </v>
      </c>
      <c r="D24" s="188" t="str">
        <f>IF(A24&lt;&gt;" ",RicusKrenHishtalmut!R27," ")</f>
        <v xml:space="preserve"> </v>
      </c>
      <c r="E24" s="188" t="str">
        <f>IF(A24&lt;&gt;" ",RicusKrenHishtalmut!M27," ")</f>
        <v xml:space="preserve"> </v>
      </c>
      <c r="F24" s="188" t="str">
        <f>IF(A24&lt;&gt;" ",RicusKrenHishtalmut!N27," ")</f>
        <v xml:space="preserve"> </v>
      </c>
      <c r="G24" s="190" t="str">
        <f>IF(A24&lt;&gt;" ",RicusKrenHishtalmut!P27," ")</f>
        <v xml:space="preserve"> </v>
      </c>
      <c r="H24" s="190" t="str">
        <f t="shared" si="0"/>
        <v xml:space="preserve"> </v>
      </c>
      <c r="I24" s="1033">
        <f>IFERROR(VLOOKUP($B24,HotzaotBafoalLehodeshDivoach!$D$6:$U$100,4,FALSE),0)</f>
        <v>0</v>
      </c>
      <c r="J24" s="1033">
        <f>IFERROR(VLOOKUP($B24,HotzaotBafoalLehodeshDivoach!$D$6:$U$100,6,FALSE),0)</f>
        <v>0</v>
      </c>
      <c r="K24" s="188" t="str">
        <f>IF(A24&lt;&gt;" ",RicusKrenHishtalmut!AP27," ")</f>
        <v xml:space="preserve"> </v>
      </c>
      <c r="L24" s="1001">
        <f>IFERROR(VLOOKUP(B24,PerutYitrot_group_by!$C$6:$F$100,4,FALSE),0)</f>
        <v>0</v>
      </c>
      <c r="M24" s="178"/>
      <c r="O24" s="191"/>
      <c r="P24" s="192"/>
    </row>
    <row r="25" spans="1:16" ht="50.1" customHeight="1" x14ac:dyDescent="0.2">
      <c r="A25" s="189" t="str">
        <f>IF(RicusKrenHishtalmut!B28&gt;0,RicusKrenHishtalmut!B28," ")</f>
        <v xml:space="preserve"> </v>
      </c>
      <c r="B25" s="189" t="str">
        <f>IF(A25&lt;&gt;" ",RicusKrenHishtalmut!E28," ")</f>
        <v xml:space="preserve"> </v>
      </c>
      <c r="C25" s="188" t="str">
        <f>IF(A25&lt;&gt;" ",RicusKrenHishtalmut!F28," ")</f>
        <v xml:space="preserve"> </v>
      </c>
      <c r="D25" s="188" t="str">
        <f>IF(A25&lt;&gt;" ",RicusKrenHishtalmut!R28," ")</f>
        <v xml:space="preserve"> </v>
      </c>
      <c r="E25" s="188" t="str">
        <f>IF(A25&lt;&gt;" ",RicusKrenHishtalmut!M28," ")</f>
        <v xml:space="preserve"> </v>
      </c>
      <c r="F25" s="188" t="str">
        <f>IF(A25&lt;&gt;" ",RicusKrenHishtalmut!N28," ")</f>
        <v xml:space="preserve"> </v>
      </c>
      <c r="G25" s="190" t="str">
        <f>IF(A25&lt;&gt;" ",RicusKrenHishtalmut!P28," ")</f>
        <v xml:space="preserve"> </v>
      </c>
      <c r="H25" s="190" t="str">
        <f t="shared" si="0"/>
        <v xml:space="preserve"> </v>
      </c>
      <c r="I25" s="1033">
        <f>IFERROR(VLOOKUP($B25,HotzaotBafoalLehodeshDivoach!$D$6:$U$100,4,FALSE),0)</f>
        <v>0</v>
      </c>
      <c r="J25" s="1033">
        <f>IFERROR(VLOOKUP($B25,HotzaotBafoalLehodeshDivoach!$D$6:$U$100,6,FALSE),0)</f>
        <v>0</v>
      </c>
      <c r="K25" s="188" t="str">
        <f>IF(A25&lt;&gt;" ",RicusKrenHishtalmut!AP28," ")</f>
        <v xml:space="preserve"> </v>
      </c>
      <c r="L25" s="1001">
        <f>IFERROR(VLOOKUP(B25,PerutYitrot_group_by!$C$6:$F$100,4,FALSE),0)</f>
        <v>0</v>
      </c>
      <c r="M25" s="178"/>
      <c r="O25" s="191"/>
      <c r="P25" s="192"/>
    </row>
    <row r="26" spans="1:16" ht="50.1" customHeight="1" x14ac:dyDescent="0.2">
      <c r="A26" s="189" t="str">
        <f>IF(RicusKrenHishtalmut!B29&gt;0,RicusKrenHishtalmut!B29," ")</f>
        <v xml:space="preserve"> </v>
      </c>
      <c r="B26" s="189" t="str">
        <f>IF(A26&lt;&gt;" ",RicusKrenHishtalmut!E29," ")</f>
        <v xml:space="preserve"> </v>
      </c>
      <c r="C26" s="188" t="str">
        <f>IF(A26&lt;&gt;" ",RicusKrenHishtalmut!F29," ")</f>
        <v xml:space="preserve"> </v>
      </c>
      <c r="D26" s="188" t="str">
        <f>IF(A26&lt;&gt;" ",RicusKrenHishtalmut!R29," ")</f>
        <v xml:space="preserve"> </v>
      </c>
      <c r="E26" s="188" t="str">
        <f>IF(A26&lt;&gt;" ",RicusKrenHishtalmut!M29," ")</f>
        <v xml:space="preserve"> </v>
      </c>
      <c r="F26" s="188" t="str">
        <f>IF(A26&lt;&gt;" ",RicusKrenHishtalmut!N29," ")</f>
        <v xml:space="preserve"> </v>
      </c>
      <c r="G26" s="190" t="str">
        <f>IF(A26&lt;&gt;" ",RicusKrenHishtalmut!P29," ")</f>
        <v xml:space="preserve"> </v>
      </c>
      <c r="H26" s="190" t="str">
        <f t="shared" si="0"/>
        <v xml:space="preserve"> </v>
      </c>
      <c r="I26" s="1033">
        <f>IFERROR(VLOOKUP($B26,HotzaotBafoalLehodeshDivoach!$D$6:$U$100,4,FALSE),0)</f>
        <v>0</v>
      </c>
      <c r="J26" s="1033">
        <f>IFERROR(VLOOKUP($B26,HotzaotBafoalLehodeshDivoach!$D$6:$U$100,6,FALSE),0)</f>
        <v>0</v>
      </c>
      <c r="K26" s="188" t="str">
        <f>IF(A26&lt;&gt;" ",RicusKrenHishtalmut!AP29," ")</f>
        <v xml:space="preserve"> </v>
      </c>
      <c r="L26" s="1001">
        <f>IFERROR(VLOOKUP(B26,PerutYitrot_group_by!$C$6:$F$100,4,FALSE),0)</f>
        <v>0</v>
      </c>
      <c r="M26" s="178"/>
    </row>
    <row r="27" spans="1:16" ht="50.1" customHeight="1" x14ac:dyDescent="0.2">
      <c r="A27" s="189" t="str">
        <f>IF(RicusKrenHishtalmut!B30&gt;0,RicusKrenHishtalmut!B30," ")</f>
        <v xml:space="preserve"> </v>
      </c>
      <c r="B27" s="189" t="str">
        <f>IF(A27&lt;&gt;" ",RicusKrenHishtalmut!E30," ")</f>
        <v xml:space="preserve"> </v>
      </c>
      <c r="C27" s="188" t="str">
        <f>IF(A27&lt;&gt;" ",RicusKrenHishtalmut!F30," ")</f>
        <v xml:space="preserve"> </v>
      </c>
      <c r="D27" s="188" t="str">
        <f>IF(A27&lt;&gt;" ",RicusKrenHishtalmut!R30," ")</f>
        <v xml:space="preserve"> </v>
      </c>
      <c r="E27" s="188" t="str">
        <f>IF(A27&lt;&gt;" ",RicusKrenHishtalmut!M30," ")</f>
        <v xml:space="preserve"> </v>
      </c>
      <c r="F27" s="188" t="str">
        <f>IF(A27&lt;&gt;" ",RicusKrenHishtalmut!N30," ")</f>
        <v xml:space="preserve"> </v>
      </c>
      <c r="G27" s="190" t="str">
        <f>IF(A27&lt;&gt;" ",RicusKrenHishtalmut!P30," ")</f>
        <v xml:space="preserve"> </v>
      </c>
      <c r="H27" s="190" t="str">
        <f t="shared" si="0"/>
        <v xml:space="preserve"> </v>
      </c>
      <c r="I27" s="1033">
        <f>IFERROR(VLOOKUP($B27,HotzaotBafoalLehodeshDivoach!$D$6:$U$100,4,FALSE),0)</f>
        <v>0</v>
      </c>
      <c r="J27" s="1033">
        <f>IFERROR(VLOOKUP($B27,HotzaotBafoalLehodeshDivoach!$D$6:$U$100,6,FALSE),0)</f>
        <v>0</v>
      </c>
      <c r="K27" s="188" t="str">
        <f>IF(A27&lt;&gt;" ",RicusKrenHishtalmut!AP30," ")</f>
        <v xml:space="preserve"> </v>
      </c>
      <c r="L27" s="1001">
        <f>IFERROR(VLOOKUP(B27,PerutYitrot_group_by!$C$6:$F$100,4,FALSE),0)</f>
        <v>0</v>
      </c>
      <c r="M27" s="178"/>
    </row>
    <row r="28" spans="1:16" ht="50.1" customHeight="1" x14ac:dyDescent="0.2">
      <c r="A28" s="189" t="str">
        <f>IF(RicusKrenHishtalmut!B31&gt;0,RicusKrenHishtalmut!B31," ")</f>
        <v xml:space="preserve"> </v>
      </c>
      <c r="B28" s="189" t="str">
        <f>IF(A28&lt;&gt;" ",RicusKrenHishtalmut!E31," ")</f>
        <v xml:space="preserve"> </v>
      </c>
      <c r="C28" s="188" t="str">
        <f>IF(A28&lt;&gt;" ",RicusKrenHishtalmut!F31," ")</f>
        <v xml:space="preserve"> </v>
      </c>
      <c r="D28" s="188" t="str">
        <f>IF(A28&lt;&gt;" ",RicusKrenHishtalmut!R31," ")</f>
        <v xml:space="preserve"> </v>
      </c>
      <c r="E28" s="188" t="str">
        <f>IF(A28&lt;&gt;" ",RicusKrenHishtalmut!M31," ")</f>
        <v xml:space="preserve"> </v>
      </c>
      <c r="F28" s="188" t="str">
        <f>IF(A28&lt;&gt;" ",RicusKrenHishtalmut!N31," ")</f>
        <v xml:space="preserve"> </v>
      </c>
      <c r="G28" s="190" t="str">
        <f>IF(A28&lt;&gt;" ",RicusKrenHishtalmut!P31," ")</f>
        <v xml:space="preserve"> </v>
      </c>
      <c r="H28" s="190" t="str">
        <f t="shared" si="0"/>
        <v xml:space="preserve"> </v>
      </c>
      <c r="I28" s="1033">
        <f>IFERROR(VLOOKUP($B28,HotzaotBafoalLehodeshDivoach!$D$6:$U$100,4,FALSE),0)</f>
        <v>0</v>
      </c>
      <c r="J28" s="1033">
        <f>IFERROR(VLOOKUP($B28,HotzaotBafoalLehodeshDivoach!$D$6:$U$100,6,FALSE),0)</f>
        <v>0</v>
      </c>
      <c r="K28" s="188" t="str">
        <f>IF(A28&lt;&gt;" ",RicusKrenHishtalmut!AP31," ")</f>
        <v xml:space="preserve"> </v>
      </c>
      <c r="L28" s="1001">
        <f>IFERROR(VLOOKUP(B28,PerutYitrot_group_by!$C$6:$F$100,4,FALSE),0)</f>
        <v>0</v>
      </c>
      <c r="M28" s="178"/>
    </row>
    <row r="29" spans="1:16" ht="50.1" customHeight="1" x14ac:dyDescent="0.2">
      <c r="A29" s="189" t="str">
        <f>IF(RicusKrenHishtalmut!B32&gt;0,RicusKrenHishtalmut!B32," ")</f>
        <v xml:space="preserve"> </v>
      </c>
      <c r="B29" s="189" t="str">
        <f>IF(A29&lt;&gt;" ",RicusKrenHishtalmut!E32," ")</f>
        <v xml:space="preserve"> </v>
      </c>
      <c r="C29" s="188" t="str">
        <f>IF(A29&lt;&gt;" ",RicusKrenHishtalmut!F32," ")</f>
        <v xml:space="preserve"> </v>
      </c>
      <c r="D29" s="188" t="str">
        <f>IF(A29&lt;&gt;" ",RicusKrenHishtalmut!R32," ")</f>
        <v xml:space="preserve"> </v>
      </c>
      <c r="E29" s="188" t="str">
        <f>IF(A29&lt;&gt;" ",RicusKrenHishtalmut!M32," ")</f>
        <v xml:space="preserve"> </v>
      </c>
      <c r="F29" s="188" t="str">
        <f>IF(A29&lt;&gt;" ",RicusKrenHishtalmut!N32," ")</f>
        <v xml:space="preserve"> </v>
      </c>
      <c r="G29" s="190" t="str">
        <f>IF(A29&lt;&gt;" ",RicusKrenHishtalmut!P32," ")</f>
        <v xml:space="preserve"> </v>
      </c>
      <c r="H29" s="190" t="str">
        <f t="shared" si="0"/>
        <v xml:space="preserve"> </v>
      </c>
      <c r="I29" s="1033">
        <f>IFERROR(VLOOKUP($B29,HotzaotBafoalLehodeshDivoach!$D$6:$U$100,4,FALSE),0)</f>
        <v>0</v>
      </c>
      <c r="J29" s="1033">
        <f>IFERROR(VLOOKUP($B29,HotzaotBafoalLehodeshDivoach!$D$6:$U$100,6,FALSE),0)</f>
        <v>0</v>
      </c>
      <c r="K29" s="188" t="str">
        <f>IF(A29&lt;&gt;" ",RicusKrenHishtalmut!AP32," ")</f>
        <v xml:space="preserve"> </v>
      </c>
      <c r="L29" s="1001">
        <f>IFERROR(VLOOKUP(B29,PerutYitrot_group_by!$C$6:$F$100,4,FALSE),0)</f>
        <v>0</v>
      </c>
      <c r="M29" s="178"/>
    </row>
    <row r="30" spans="1:16" ht="50.1" customHeight="1" x14ac:dyDescent="0.2">
      <c r="A30" s="189" t="str">
        <f>IF(RicusKrenHishtalmut!B33&gt;0,RicusKrenHishtalmut!B33," ")</f>
        <v xml:space="preserve"> </v>
      </c>
      <c r="B30" s="189" t="str">
        <f>IF(A30&lt;&gt;" ",RicusKrenHishtalmut!E33," ")</f>
        <v xml:space="preserve"> </v>
      </c>
      <c r="C30" s="188" t="str">
        <f>IF(A30&lt;&gt;" ",RicusKrenHishtalmut!F33," ")</f>
        <v xml:space="preserve"> </v>
      </c>
      <c r="D30" s="188" t="str">
        <f>IF(A30&lt;&gt;" ",RicusKrenHishtalmut!R33," ")</f>
        <v xml:space="preserve"> </v>
      </c>
      <c r="E30" s="188" t="str">
        <f>IF(A30&lt;&gt;" ",RicusKrenHishtalmut!M33," ")</f>
        <v xml:space="preserve"> </v>
      </c>
      <c r="F30" s="188" t="str">
        <f>IF(A30&lt;&gt;" ",RicusKrenHishtalmut!N33," ")</f>
        <v xml:space="preserve"> </v>
      </c>
      <c r="G30" s="190" t="str">
        <f>IF(A30&lt;&gt;" ",RicusKrenHishtalmut!P33," ")</f>
        <v xml:space="preserve"> </v>
      </c>
      <c r="H30" s="190" t="str">
        <f t="shared" si="0"/>
        <v xml:space="preserve"> </v>
      </c>
      <c r="I30" s="1033">
        <f>IFERROR(VLOOKUP($B30,HotzaotBafoalLehodeshDivoach!$D$6:$U$100,4,FALSE),0)</f>
        <v>0</v>
      </c>
      <c r="J30" s="1033">
        <f>IFERROR(VLOOKUP($B30,HotzaotBafoalLehodeshDivoach!$D$6:$U$100,6,FALSE),0)</f>
        <v>0</v>
      </c>
      <c r="K30" s="188" t="str">
        <f>IF(A30&lt;&gt;" ",RicusKrenHishtalmut!AP33," ")</f>
        <v xml:space="preserve"> </v>
      </c>
      <c r="L30" s="1001">
        <f>IFERROR(VLOOKUP(B30,PerutYitrot_group_by!$C$6:$F$100,4,FALSE),0)</f>
        <v>0</v>
      </c>
      <c r="M30" s="178"/>
    </row>
    <row r="31" spans="1:16" ht="50.1" customHeight="1" x14ac:dyDescent="0.2">
      <c r="A31" s="189" t="str">
        <f>IF(RicusKrenHishtalmut!B34&gt;0,RicusKrenHishtalmut!B34," ")</f>
        <v xml:space="preserve"> </v>
      </c>
      <c r="B31" s="189" t="str">
        <f>IF(A31&lt;&gt;" ",RicusKrenHishtalmut!E34," ")</f>
        <v xml:space="preserve"> </v>
      </c>
      <c r="C31" s="188" t="str">
        <f>IF(A31&lt;&gt;" ",RicusKrenHishtalmut!F34," ")</f>
        <v xml:space="preserve"> </v>
      </c>
      <c r="D31" s="188" t="str">
        <f>IF(A31&lt;&gt;" ",RicusKrenHishtalmut!R34," ")</f>
        <v xml:space="preserve"> </v>
      </c>
      <c r="E31" s="188" t="str">
        <f>IF(A31&lt;&gt;" ",RicusKrenHishtalmut!M34," ")</f>
        <v xml:space="preserve"> </v>
      </c>
      <c r="F31" s="188" t="str">
        <f>IF(A31&lt;&gt;" ",RicusKrenHishtalmut!N34," ")</f>
        <v xml:space="preserve"> </v>
      </c>
      <c r="G31" s="190" t="str">
        <f>IF(A31&lt;&gt;" ",RicusKrenHishtalmut!P34," ")</f>
        <v xml:space="preserve"> </v>
      </c>
      <c r="H31" s="190" t="str">
        <f t="shared" si="0"/>
        <v xml:space="preserve"> </v>
      </c>
      <c r="I31" s="1033">
        <f>IFERROR(VLOOKUP($B31,HotzaotBafoalLehodeshDivoach!$D$6:$U$100,4,FALSE),0)</f>
        <v>0</v>
      </c>
      <c r="J31" s="1033">
        <f>IFERROR(VLOOKUP($B31,HotzaotBafoalLehodeshDivoach!$D$6:$U$100,6,FALSE),0)</f>
        <v>0</v>
      </c>
      <c r="K31" s="188" t="str">
        <f>IF(A31&lt;&gt;" ",RicusKrenHishtalmut!AP34," ")</f>
        <v xml:space="preserve"> </v>
      </c>
      <c r="L31" s="1001">
        <f>IFERROR(VLOOKUP(B31,PerutYitrot_group_by!$C$6:$F$100,4,FALSE),0)</f>
        <v>0</v>
      </c>
      <c r="M31" s="178"/>
    </row>
    <row r="32" spans="1:16" ht="50.1" customHeight="1" x14ac:dyDescent="0.2">
      <c r="A32" s="189" t="str">
        <f>IF(RicusKrenHishtalmut!B35&gt;0,RicusKrenHishtalmut!B35," ")</f>
        <v xml:space="preserve"> </v>
      </c>
      <c r="B32" s="189" t="str">
        <f>IF(A32&lt;&gt;" ",RicusKrenHishtalmut!E35," ")</f>
        <v xml:space="preserve"> </v>
      </c>
      <c r="C32" s="188" t="str">
        <f>IF(A32&lt;&gt;" ",RicusKrenHishtalmut!F35," ")</f>
        <v xml:space="preserve"> </v>
      </c>
      <c r="D32" s="188" t="str">
        <f>IF(A32&lt;&gt;" ",RicusKrenHishtalmut!R35," ")</f>
        <v xml:space="preserve"> </v>
      </c>
      <c r="E32" s="188" t="str">
        <f>IF(A32&lt;&gt;" ",RicusKrenHishtalmut!M35," ")</f>
        <v xml:space="preserve"> </v>
      </c>
      <c r="F32" s="188" t="str">
        <f>IF(A32&lt;&gt;" ",RicusKrenHishtalmut!N35," ")</f>
        <v xml:space="preserve"> </v>
      </c>
      <c r="G32" s="190" t="str">
        <f>IF(A32&lt;&gt;" ",RicusKrenHishtalmut!P35," ")</f>
        <v xml:space="preserve"> </v>
      </c>
      <c r="H32" s="190" t="str">
        <f t="shared" si="0"/>
        <v xml:space="preserve"> </v>
      </c>
      <c r="I32" s="1033">
        <f>IFERROR(VLOOKUP($B32,HotzaotBafoalLehodeshDivoach!$D$6:$U$100,4,FALSE),0)</f>
        <v>0</v>
      </c>
      <c r="J32" s="1033">
        <f>IFERROR(VLOOKUP($B32,HotzaotBafoalLehodeshDivoach!$D$6:$U$100,6,FALSE),0)</f>
        <v>0</v>
      </c>
      <c r="K32" s="188" t="str">
        <f>IF(A32&lt;&gt;" ",RicusKrenHishtalmut!AP35," ")</f>
        <v xml:space="preserve"> </v>
      </c>
      <c r="L32" s="1001">
        <f>IFERROR(VLOOKUP(B32,PerutYitrot_group_by!$C$6:$F$100,4,FALSE),0)</f>
        <v>0</v>
      </c>
      <c r="M32" s="178"/>
    </row>
    <row r="33" spans="1:56" ht="50.1" customHeight="1" x14ac:dyDescent="0.2">
      <c r="A33" s="189" t="str">
        <f>IF(RicusKrenHishtalmut!B36&gt;0,RicusKrenHishtalmut!B36," ")</f>
        <v xml:space="preserve"> </v>
      </c>
      <c r="B33" s="189" t="str">
        <f>IF(A33&lt;&gt;" ",RicusKrenHishtalmut!E36," ")</f>
        <v xml:space="preserve"> </v>
      </c>
      <c r="C33" s="188" t="str">
        <f>IF(A33&lt;&gt;" ",RicusKrenHishtalmut!F36," ")</f>
        <v xml:space="preserve"> </v>
      </c>
      <c r="D33" s="188" t="str">
        <f>IF(A33&lt;&gt;" ",RicusKrenHishtalmut!R36," ")</f>
        <v xml:space="preserve"> </v>
      </c>
      <c r="E33" s="188" t="str">
        <f>IF(A33&lt;&gt;" ",RicusKrenHishtalmut!M36," ")</f>
        <v xml:space="preserve"> </v>
      </c>
      <c r="F33" s="188" t="str">
        <f>IF(A33&lt;&gt;" ",RicusKrenHishtalmut!N36," ")</f>
        <v xml:space="preserve"> </v>
      </c>
      <c r="G33" s="190" t="str">
        <f>IF(A33&lt;&gt;" ",RicusKrenHishtalmut!P36," ")</f>
        <v xml:space="preserve"> </v>
      </c>
      <c r="H33" s="190" t="str">
        <f t="shared" si="0"/>
        <v xml:space="preserve"> </v>
      </c>
      <c r="I33" s="1033">
        <f>IFERROR(VLOOKUP($B33,HotzaotBafoalLehodeshDivoach!$D$6:$U$100,4,FALSE),0)</f>
        <v>0</v>
      </c>
      <c r="J33" s="1033">
        <f>IFERROR(VLOOKUP($B33,HotzaotBafoalLehodeshDivoach!$D$6:$U$100,6,FALSE),0)</f>
        <v>0</v>
      </c>
      <c r="K33" s="188" t="str">
        <f>IF(A33&lt;&gt;" ",RicusKrenHishtalmut!AP36," ")</f>
        <v xml:space="preserve"> </v>
      </c>
      <c r="L33" s="1001">
        <f>IFERROR(VLOOKUP(B33,PerutYitrot_group_by!$C$6:$F$100,4,FALSE),0)</f>
        <v>0</v>
      </c>
      <c r="M33" s="178"/>
    </row>
    <row r="34" spans="1:56" ht="50.1" customHeight="1" x14ac:dyDescent="0.2">
      <c r="A34" s="189" t="str">
        <f>IF(RicusKrenHishtalmut!B37&gt;0,RicusKrenHishtalmut!B37," ")</f>
        <v xml:space="preserve"> </v>
      </c>
      <c r="B34" s="189" t="str">
        <f>IF(A34&lt;&gt;" ",RicusKrenHishtalmut!E37," ")</f>
        <v xml:space="preserve"> </v>
      </c>
      <c r="C34" s="188" t="str">
        <f>IF(A34&lt;&gt;" ",RicusKrenHishtalmut!F37," ")</f>
        <v xml:space="preserve"> </v>
      </c>
      <c r="D34" s="188" t="str">
        <f>IF(A34&lt;&gt;" ",RicusKrenHishtalmut!R37," ")</f>
        <v xml:space="preserve"> </v>
      </c>
      <c r="E34" s="188" t="str">
        <f>IF(A34&lt;&gt;" ",RicusKrenHishtalmut!M37," ")</f>
        <v xml:space="preserve"> </v>
      </c>
      <c r="F34" s="188" t="str">
        <f>IF(A34&lt;&gt;" ",RicusKrenHishtalmut!N37," ")</f>
        <v xml:space="preserve"> </v>
      </c>
      <c r="G34" s="190" t="str">
        <f>IF(A34&lt;&gt;" ",RicusKrenHishtalmut!P37," ")</f>
        <v xml:space="preserve"> </v>
      </c>
      <c r="H34" s="190" t="str">
        <f t="shared" si="0"/>
        <v xml:space="preserve"> </v>
      </c>
      <c r="I34" s="1033">
        <f>IFERROR(VLOOKUP($B34,HotzaotBafoalLehodeshDivoach!$D$6:$U$100,4,FALSE),0)</f>
        <v>0</v>
      </c>
      <c r="J34" s="1033">
        <f>IFERROR(VLOOKUP($B34,HotzaotBafoalLehodeshDivoach!$D$6:$U$100,6,FALSE),0)</f>
        <v>0</v>
      </c>
      <c r="K34" s="188" t="str">
        <f>IF(A34&lt;&gt;" ",RicusKrenHishtalmut!AP37," ")</f>
        <v xml:space="preserve"> </v>
      </c>
      <c r="L34" s="1001">
        <f>IFERROR(VLOOKUP(B34,PerutYitrot_group_by!$C$6:$F$100,4,FALSE),0)</f>
        <v>0</v>
      </c>
      <c r="M34" s="178"/>
    </row>
    <row r="35" spans="1:56" ht="50.1" customHeight="1" x14ac:dyDescent="0.2">
      <c r="A35" s="189" t="str">
        <f>IF(RicusKrenHishtalmut!B38&gt;0,RicusKrenHishtalmut!B38," ")</f>
        <v xml:space="preserve"> </v>
      </c>
      <c r="B35" s="189" t="str">
        <f>IF(A35&lt;&gt;" ",RicusKrenHishtalmut!E38," ")</f>
        <v xml:space="preserve"> </v>
      </c>
      <c r="C35" s="188" t="str">
        <f>IF(A35&lt;&gt;" ",RicusKrenHishtalmut!F38," ")</f>
        <v xml:space="preserve"> </v>
      </c>
      <c r="D35" s="188" t="str">
        <f>IF(A35&lt;&gt;" ",RicusKrenHishtalmut!R38," ")</f>
        <v xml:space="preserve"> </v>
      </c>
      <c r="E35" s="188" t="str">
        <f>IF(A35&lt;&gt;" ",RicusKrenHishtalmut!M38," ")</f>
        <v xml:space="preserve"> </v>
      </c>
      <c r="F35" s="188" t="str">
        <f>IF(A35&lt;&gt;" ",RicusKrenHishtalmut!N38," ")</f>
        <v xml:space="preserve"> </v>
      </c>
      <c r="G35" s="190" t="str">
        <f>IF(A35&lt;&gt;" ",RicusKrenHishtalmut!P38," ")</f>
        <v xml:space="preserve"> </v>
      </c>
      <c r="H35" s="190" t="str">
        <f t="shared" si="0"/>
        <v xml:space="preserve"> </v>
      </c>
      <c r="I35" s="1033">
        <f>IFERROR(VLOOKUP($B35,HotzaotBafoalLehodeshDivoach!$D$6:$U$100,4,FALSE),0)</f>
        <v>0</v>
      </c>
      <c r="J35" s="1033">
        <f>IFERROR(VLOOKUP($B35,HotzaotBafoalLehodeshDivoach!$D$6:$U$100,6,FALSE),0)</f>
        <v>0</v>
      </c>
      <c r="K35" s="188" t="str">
        <f>IF(A35&lt;&gt;" ",RicusKrenHishtalmut!AP38," ")</f>
        <v xml:space="preserve"> </v>
      </c>
      <c r="L35" s="1001">
        <f>IFERROR(VLOOKUP(B35,PerutYitrot_group_by!$C$6:$F$100,4,FALSE),0)</f>
        <v>0</v>
      </c>
      <c r="M35" s="178"/>
    </row>
    <row r="36" spans="1:56" ht="50.1" customHeight="1" x14ac:dyDescent="0.2">
      <c r="A36" s="189" t="str">
        <f>IF(RicusKrenHishtalmut!B39&gt;0,RicusKrenHishtalmut!B39," ")</f>
        <v xml:space="preserve"> </v>
      </c>
      <c r="B36" s="189" t="str">
        <f>IF(A36&lt;&gt;" ",RicusKrenHishtalmut!E39," ")</f>
        <v xml:space="preserve"> </v>
      </c>
      <c r="C36" s="188" t="str">
        <f>IF(A36&lt;&gt;" ",RicusKrenHishtalmut!F39," ")</f>
        <v xml:space="preserve"> </v>
      </c>
      <c r="D36" s="188" t="str">
        <f>IF(A36&lt;&gt;" ",RicusKrenHishtalmut!R39," ")</f>
        <v xml:space="preserve"> </v>
      </c>
      <c r="E36" s="188" t="str">
        <f>IF(A36&lt;&gt;" ",RicusKrenHishtalmut!M39," ")</f>
        <v xml:space="preserve"> </v>
      </c>
      <c r="F36" s="188" t="str">
        <f>IF(A36&lt;&gt;" ",RicusKrenHishtalmut!N39," ")</f>
        <v xml:space="preserve"> </v>
      </c>
      <c r="G36" s="190" t="str">
        <f>IF(A36&lt;&gt;" ",RicusKrenHishtalmut!P39," ")</f>
        <v xml:space="preserve"> </v>
      </c>
      <c r="H36" s="190" t="str">
        <f t="shared" si="0"/>
        <v xml:space="preserve"> </v>
      </c>
      <c r="I36" s="1033">
        <f>IFERROR(VLOOKUP($B36,HotzaotBafoalLehodeshDivoach!$D$6:$U$100,4,FALSE),0)</f>
        <v>0</v>
      </c>
      <c r="J36" s="1033">
        <f>IFERROR(VLOOKUP($B36,HotzaotBafoalLehodeshDivoach!$D$6:$U$100,6,FALSE),0)</f>
        <v>0</v>
      </c>
      <c r="K36" s="188" t="str">
        <f>IF(A36&lt;&gt;" ",RicusKrenHishtalmut!AP39," ")</f>
        <v xml:space="preserve"> </v>
      </c>
      <c r="L36" s="1001">
        <f>IFERROR(VLOOKUP(B36,PerutYitrot_group_by!$C$6:$F$100,4,FALSE),0)</f>
        <v>0</v>
      </c>
      <c r="M36" s="178"/>
    </row>
    <row r="37" spans="1:56" ht="50.1" customHeight="1" x14ac:dyDescent="0.2">
      <c r="A37" s="189" t="str">
        <f>IF(RicusKrenHishtalmut!B40&gt;0,RicusKrenHishtalmut!B40," ")</f>
        <v xml:space="preserve"> </v>
      </c>
      <c r="B37" s="189" t="str">
        <f>IF(A37&lt;&gt;" ",RicusKrenHishtalmut!E40," ")</f>
        <v xml:space="preserve"> </v>
      </c>
      <c r="C37" s="188" t="str">
        <f>IF(A37&lt;&gt;" ",RicusKrenHishtalmut!F40," ")</f>
        <v xml:space="preserve"> </v>
      </c>
      <c r="D37" s="188" t="str">
        <f>IF(A37&lt;&gt;" ",RicusKrenHishtalmut!R40," ")</f>
        <v xml:space="preserve"> </v>
      </c>
      <c r="E37" s="188" t="str">
        <f>IF(A37&lt;&gt;" ",RicusKrenHishtalmut!M40," ")</f>
        <v xml:space="preserve"> </v>
      </c>
      <c r="F37" s="188" t="str">
        <f>IF(A37&lt;&gt;" ",RicusKrenHishtalmut!N40," ")</f>
        <v xml:space="preserve"> </v>
      </c>
      <c r="G37" s="190" t="str">
        <f>IF(A37&lt;&gt;" ",RicusKrenHishtalmut!P40," ")</f>
        <v xml:space="preserve"> </v>
      </c>
      <c r="H37" s="190" t="str">
        <f t="shared" si="0"/>
        <v xml:space="preserve"> </v>
      </c>
      <c r="I37" s="1033">
        <f>IFERROR(VLOOKUP($B37,HotzaotBafoalLehodeshDivoach!$D$6:$U$100,4,FALSE),0)</f>
        <v>0</v>
      </c>
      <c r="J37" s="1033">
        <f>IFERROR(VLOOKUP($B37,HotzaotBafoalLehodeshDivoach!$D$6:$U$100,6,FALSE),0)</f>
        <v>0</v>
      </c>
      <c r="K37" s="188" t="str">
        <f>IF(A37&lt;&gt;" ",RicusKrenHishtalmut!AP40," ")</f>
        <v xml:space="preserve"> </v>
      </c>
      <c r="L37" s="1001">
        <f>IFERROR(VLOOKUP(B37,PerutYitrot_group_by!$C$6:$F$100,4,FALSE),0)</f>
        <v>0</v>
      </c>
      <c r="M37" s="178"/>
    </row>
    <row r="38" spans="1:56" ht="50.1" customHeight="1" x14ac:dyDescent="0.2">
      <c r="A38" s="189" t="str">
        <f>IF(RicusKrenHishtalmut!B41&gt;0,RicusKrenHishtalmut!B41," ")</f>
        <v xml:space="preserve"> </v>
      </c>
      <c r="B38" s="189" t="str">
        <f>IF(A38&lt;&gt;" ",RicusKrenHishtalmut!E41," ")</f>
        <v xml:space="preserve"> </v>
      </c>
      <c r="C38" s="188" t="str">
        <f>IF(A38&lt;&gt;" ",RicusKrenHishtalmut!F41," ")</f>
        <v xml:space="preserve"> </v>
      </c>
      <c r="D38" s="188" t="str">
        <f>IF(A38&lt;&gt;" ",RicusKrenHishtalmut!R41," ")</f>
        <v xml:space="preserve"> </v>
      </c>
      <c r="E38" s="188" t="str">
        <f>IF(A38&lt;&gt;" ",RicusKrenHishtalmut!M41," ")</f>
        <v xml:space="preserve"> </v>
      </c>
      <c r="F38" s="188" t="str">
        <f>IF(A38&lt;&gt;" ",RicusKrenHishtalmut!N41," ")</f>
        <v xml:space="preserve"> </v>
      </c>
      <c r="G38" s="190" t="str">
        <f>IF(A38&lt;&gt;" ",RicusKrenHishtalmut!P41," ")</f>
        <v xml:space="preserve"> </v>
      </c>
      <c r="H38" s="190" t="str">
        <f t="shared" si="0"/>
        <v xml:space="preserve"> </v>
      </c>
      <c r="I38" s="1033">
        <f>IFERROR(VLOOKUP($B38,HotzaotBafoalLehodeshDivoach!$D$6:$U$100,4,FALSE),0)</f>
        <v>0</v>
      </c>
      <c r="J38" s="1033">
        <f>IFERROR(VLOOKUP($B38,HotzaotBafoalLehodeshDivoach!$D$6:$U$100,6,FALSE),0)</f>
        <v>0</v>
      </c>
      <c r="K38" s="188" t="str">
        <f>IF(A38&lt;&gt;" ",RicusKrenHishtalmut!AP41," ")</f>
        <v xml:space="preserve"> </v>
      </c>
      <c r="L38" s="1001">
        <f>IFERROR(VLOOKUP(B38,PerutYitrot_group_by!$C$6:$F$100,4,FALSE),0)</f>
        <v>0</v>
      </c>
      <c r="M38" s="178"/>
    </row>
    <row r="39" spans="1:56" ht="50.1" customHeight="1" thickBot="1" x14ac:dyDescent="0.25">
      <c r="A39" s="189" t="str">
        <f>IF(RicusKrenHishtalmut!B42&gt;0,RicusKrenHishtalmut!B42," ")</f>
        <v xml:space="preserve"> </v>
      </c>
      <c r="B39" s="189"/>
      <c r="C39" s="193"/>
      <c r="D39" s="193"/>
      <c r="E39" s="188" t="str">
        <f>IF(A39&lt;&gt;" ",RicusKrenHishtalmut!M42," ")</f>
        <v xml:space="preserve"> </v>
      </c>
      <c r="F39" s="188" t="str">
        <f>IF(A39&lt;&gt;" ",RicusKrenHishtalmut!N42," ")</f>
        <v xml:space="preserve"> </v>
      </c>
      <c r="G39" s="194"/>
      <c r="H39" s="194"/>
      <c r="I39" s="1033">
        <f>IFERROR(VLOOKUP($B39,HotzaotBafoalLehodeshDivoach!$D$6:$U$100,4,FALSE),0)</f>
        <v>0</v>
      </c>
      <c r="J39" s="1033">
        <f>IFERROR(VLOOKUP($B39,HotzaotBafoalLehodeshDivoach!$D$6:$U$100,6,FALSE),0)</f>
        <v>0</v>
      </c>
      <c r="K39" s="188" t="str">
        <f>IF(A39&lt;&gt;" ",RicusKrenHishtalmut!AP42," ")</f>
        <v xml:space="preserve"> </v>
      </c>
      <c r="L39" s="1001">
        <f>IFERROR(VLOOKUP(B39,PerutYitrot_group_by!$C$6:$F$100,4,FALSE),0)</f>
        <v>0</v>
      </c>
      <c r="M39" s="193"/>
      <c r="O39" s="185"/>
      <c r="P39" s="185"/>
      <c r="Q39" s="185"/>
      <c r="R39" s="185"/>
      <c r="S39" s="185"/>
      <c r="T39" s="185"/>
      <c r="U39" s="185"/>
      <c r="V39" s="185"/>
      <c r="W39" s="185"/>
      <c r="X39" s="185"/>
      <c r="Y39" s="185"/>
      <c r="Z39" s="185"/>
      <c r="AA39" s="185"/>
      <c r="AB39" s="185"/>
      <c r="AC39" s="185"/>
      <c r="AD39" s="185"/>
      <c r="AE39" s="185"/>
      <c r="AF39" s="185"/>
      <c r="AG39" s="185"/>
      <c r="AH39" s="185"/>
      <c r="AI39" s="185"/>
      <c r="AJ39" s="185"/>
      <c r="AK39" s="185"/>
      <c r="AL39" s="185"/>
      <c r="AM39" s="185"/>
      <c r="AN39" s="185"/>
      <c r="AO39" s="185"/>
      <c r="AP39" s="185"/>
      <c r="AQ39" s="185"/>
      <c r="AR39" s="185"/>
      <c r="AS39" s="185"/>
      <c r="AT39" s="185"/>
      <c r="AU39" s="185"/>
      <c r="AV39" s="185"/>
      <c r="AW39" s="185"/>
      <c r="AX39" s="185"/>
      <c r="AY39" s="185"/>
      <c r="AZ39" s="185"/>
      <c r="BA39" s="185"/>
      <c r="BB39" s="185"/>
      <c r="BC39" s="185"/>
      <c r="BD39" s="185"/>
    </row>
    <row r="40" spans="1:56" s="198" customFormat="1" ht="35.1" customHeight="1" thickTop="1" thickBot="1" x14ac:dyDescent="0.3">
      <c r="A40" s="195"/>
      <c r="B40" s="1080" t="s">
        <v>249</v>
      </c>
      <c r="C40" s="1080"/>
      <c r="D40" s="1080"/>
      <c r="E40" s="1080"/>
      <c r="F40" s="1080"/>
      <c r="G40" s="1080"/>
      <c r="H40" s="195"/>
      <c r="I40" s="1034"/>
      <c r="J40" s="1034"/>
      <c r="K40" s="1050"/>
      <c r="L40" s="1050">
        <f>SUM(L3:L39)</f>
        <v>0</v>
      </c>
      <c r="M40" s="195"/>
      <c r="N40" s="196">
        <f>SUM(N3:N39)</f>
        <v>0</v>
      </c>
      <c r="O40" s="196">
        <f>SUM(O3:O39)</f>
        <v>0</v>
      </c>
      <c r="P40" s="197"/>
      <c r="Q40" s="197"/>
      <c r="R40" s="197"/>
      <c r="S40" s="197"/>
      <c r="T40" s="197"/>
      <c r="U40" s="197"/>
      <c r="V40" s="197"/>
      <c r="W40" s="197"/>
      <c r="X40" s="197"/>
      <c r="Y40" s="197"/>
      <c r="Z40" s="197"/>
      <c r="AA40" s="197"/>
      <c r="AB40" s="197"/>
      <c r="AC40" s="197"/>
      <c r="AD40" s="197"/>
      <c r="AE40" s="197"/>
      <c r="AF40" s="197"/>
      <c r="AG40" s="197"/>
      <c r="AH40" s="197"/>
      <c r="AI40" s="197"/>
      <c r="AJ40" s="197"/>
      <c r="AK40" s="197"/>
      <c r="AL40" s="197"/>
      <c r="AM40" s="197"/>
      <c r="AN40" s="197"/>
      <c r="AO40" s="197"/>
      <c r="AP40" s="197"/>
      <c r="AQ40" s="197"/>
      <c r="AR40" s="197"/>
      <c r="AS40" s="197"/>
      <c r="AT40" s="197"/>
      <c r="AU40" s="197"/>
      <c r="AV40" s="197"/>
      <c r="AW40" s="197"/>
      <c r="AX40" s="197"/>
      <c r="AY40" s="197"/>
      <c r="AZ40" s="197"/>
      <c r="BA40" s="197"/>
      <c r="BB40" s="197"/>
      <c r="BC40" s="197"/>
      <c r="BD40" s="197"/>
    </row>
    <row r="41" spans="1:56" ht="16.5" thickTop="1" x14ac:dyDescent="0.2">
      <c r="C41" s="185"/>
      <c r="D41" s="185"/>
      <c r="E41" s="185"/>
      <c r="F41" s="185"/>
      <c r="G41" s="199"/>
      <c r="H41" s="199"/>
      <c r="I41" s="1035"/>
      <c r="J41" s="1035"/>
      <c r="K41" s="1035"/>
      <c r="L41" s="215"/>
      <c r="M41" s="185"/>
      <c r="N41" s="185"/>
      <c r="O41" s="185"/>
      <c r="P41" s="185"/>
      <c r="Q41" s="185"/>
      <c r="R41" s="185"/>
      <c r="S41" s="185"/>
      <c r="T41" s="185"/>
      <c r="U41" s="185"/>
      <c r="V41" s="185"/>
      <c r="W41" s="185"/>
      <c r="X41" s="185"/>
      <c r="Y41" s="185"/>
      <c r="Z41" s="185"/>
      <c r="AA41" s="185"/>
      <c r="AB41" s="185"/>
      <c r="AC41" s="185"/>
      <c r="AD41" s="185"/>
      <c r="AE41" s="185"/>
      <c r="AF41" s="185"/>
      <c r="AG41" s="185"/>
      <c r="AH41" s="185"/>
      <c r="AI41" s="185"/>
      <c r="AJ41" s="185"/>
      <c r="AK41" s="185"/>
      <c r="AL41" s="185"/>
      <c r="AM41" s="185"/>
      <c r="AN41" s="185"/>
      <c r="AO41" s="185"/>
      <c r="AP41" s="185"/>
      <c r="AQ41" s="185"/>
      <c r="AR41" s="185"/>
      <c r="AS41" s="185"/>
      <c r="AT41" s="185"/>
      <c r="AU41" s="185"/>
      <c r="AV41" s="185"/>
      <c r="AW41" s="185"/>
      <c r="AX41" s="185"/>
      <c r="AY41" s="185"/>
      <c r="AZ41" s="185"/>
      <c r="BA41" s="185"/>
      <c r="BB41" s="185"/>
      <c r="BC41" s="185"/>
      <c r="BD41" s="185"/>
    </row>
    <row r="42" spans="1:56" ht="15.75" x14ac:dyDescent="0.2">
      <c r="C42" s="185"/>
      <c r="D42" s="185"/>
      <c r="E42" s="185"/>
      <c r="F42" s="185"/>
      <c r="G42" s="199"/>
      <c r="H42" s="199"/>
      <c r="I42" s="1035"/>
      <c r="J42" s="1035"/>
      <c r="K42" s="1035"/>
      <c r="L42" s="215"/>
      <c r="M42" s="185"/>
      <c r="N42" s="185"/>
      <c r="O42" s="185"/>
      <c r="P42" s="185"/>
      <c r="Q42" s="185"/>
      <c r="R42" s="185"/>
      <c r="S42" s="185"/>
      <c r="T42" s="185"/>
      <c r="U42" s="185"/>
      <c r="V42" s="185"/>
      <c r="W42" s="185"/>
      <c r="X42" s="185"/>
      <c r="Y42" s="185"/>
      <c r="Z42" s="185"/>
      <c r="AA42" s="185"/>
      <c r="AB42" s="185"/>
      <c r="AC42" s="185"/>
      <c r="AD42" s="185"/>
      <c r="AE42" s="185"/>
      <c r="AF42" s="185"/>
      <c r="AG42" s="185"/>
      <c r="AH42" s="185"/>
      <c r="AI42" s="185"/>
      <c r="AJ42" s="185"/>
      <c r="AK42" s="185"/>
      <c r="AL42" s="185"/>
      <c r="AM42" s="185"/>
      <c r="AN42" s="185"/>
      <c r="AO42" s="185"/>
      <c r="AP42" s="185"/>
      <c r="AQ42" s="185"/>
      <c r="AR42" s="185"/>
      <c r="AS42" s="185"/>
      <c r="AT42" s="185"/>
      <c r="AU42" s="185"/>
      <c r="AV42" s="185"/>
      <c r="AW42" s="185"/>
      <c r="AX42" s="185"/>
      <c r="AY42" s="185"/>
      <c r="AZ42" s="185"/>
      <c r="BA42" s="185"/>
      <c r="BB42" s="185"/>
      <c r="BC42" s="185"/>
      <c r="BD42" s="185"/>
    </row>
    <row r="43" spans="1:56" ht="15.75" x14ac:dyDescent="0.2">
      <c r="C43" s="185"/>
      <c r="D43" s="185"/>
      <c r="E43" s="185"/>
      <c r="F43" s="185"/>
      <c r="G43" s="199"/>
      <c r="H43" s="199"/>
      <c r="I43" s="1035"/>
      <c r="J43" s="1035"/>
      <c r="K43" s="1035"/>
      <c r="L43" s="215"/>
      <c r="M43" s="185"/>
      <c r="N43" s="185"/>
      <c r="O43" s="185"/>
      <c r="P43" s="185"/>
      <c r="Q43" s="185"/>
      <c r="R43" s="185"/>
      <c r="S43" s="185"/>
      <c r="T43" s="185"/>
      <c r="U43" s="185"/>
      <c r="V43" s="185"/>
      <c r="W43" s="185"/>
      <c r="X43" s="185"/>
      <c r="Y43" s="185"/>
      <c r="Z43" s="185"/>
      <c r="AA43" s="185"/>
      <c r="AB43" s="185"/>
      <c r="AC43" s="185"/>
      <c r="AD43" s="185"/>
      <c r="AE43" s="185"/>
      <c r="AF43" s="185"/>
      <c r="AG43" s="185"/>
      <c r="AH43" s="185"/>
      <c r="AI43" s="185"/>
      <c r="AJ43" s="185"/>
      <c r="AK43" s="185"/>
      <c r="AL43" s="185"/>
      <c r="AM43" s="185"/>
      <c r="AN43" s="185"/>
      <c r="AO43" s="185"/>
      <c r="AP43" s="185"/>
      <c r="AQ43" s="185"/>
      <c r="AR43" s="185"/>
      <c r="AS43" s="185"/>
      <c r="AT43" s="185"/>
      <c r="AU43" s="185"/>
      <c r="AV43" s="185"/>
      <c r="AW43" s="185"/>
      <c r="AX43" s="185"/>
      <c r="AY43" s="185"/>
      <c r="AZ43" s="185"/>
      <c r="BA43" s="185"/>
      <c r="BB43" s="185"/>
      <c r="BC43" s="185"/>
      <c r="BD43" s="185"/>
    </row>
    <row r="44" spans="1:56" ht="15.75" x14ac:dyDescent="0.2">
      <c r="C44" s="185"/>
      <c r="D44" s="185"/>
      <c r="E44" s="185"/>
      <c r="F44" s="185"/>
      <c r="G44" s="199"/>
      <c r="H44" s="199"/>
      <c r="I44" s="1035"/>
      <c r="J44" s="1035"/>
      <c r="K44" s="1035"/>
      <c r="L44" s="215"/>
      <c r="M44" s="185"/>
      <c r="N44" s="185"/>
      <c r="O44" s="185"/>
    </row>
    <row r="45" spans="1:56" ht="15.75" x14ac:dyDescent="0.2">
      <c r="C45" s="185"/>
      <c r="D45" s="185"/>
      <c r="E45" s="185"/>
      <c r="F45" s="185"/>
      <c r="G45" s="199"/>
      <c r="H45" s="199"/>
      <c r="I45" s="1035"/>
      <c r="J45" s="1035"/>
      <c r="K45" s="1035"/>
      <c r="L45" s="215"/>
      <c r="M45" s="185"/>
      <c r="N45" s="185"/>
      <c r="O45" s="185"/>
    </row>
    <row r="46" spans="1:56" ht="15.75" x14ac:dyDescent="0.2">
      <c r="C46" s="185"/>
      <c r="D46" s="185"/>
      <c r="E46" s="185"/>
      <c r="F46" s="185"/>
      <c r="G46" s="199"/>
      <c r="H46" s="199"/>
      <c r="I46" s="1035"/>
      <c r="J46" s="1035"/>
      <c r="K46" s="1035"/>
      <c r="L46" s="215"/>
      <c r="M46" s="185"/>
      <c r="N46" s="185"/>
      <c r="O46" s="185"/>
    </row>
    <row r="47" spans="1:56" ht="15.75" x14ac:dyDescent="0.2">
      <c r="C47" s="185"/>
      <c r="D47" s="185"/>
      <c r="E47" s="185"/>
      <c r="F47" s="185"/>
      <c r="G47" s="199"/>
      <c r="H47" s="199"/>
      <c r="I47" s="1035"/>
      <c r="J47" s="1035"/>
      <c r="K47" s="1035"/>
      <c r="L47" s="215"/>
      <c r="M47" s="185"/>
      <c r="N47" s="185"/>
      <c r="O47" s="185"/>
    </row>
    <row r="48" spans="1:56" ht="15.75" x14ac:dyDescent="0.2">
      <c r="C48" s="185"/>
      <c r="D48" s="185"/>
      <c r="E48" s="185"/>
      <c r="F48" s="185"/>
      <c r="G48" s="199"/>
      <c r="H48" s="199"/>
      <c r="I48" s="1035"/>
      <c r="J48" s="1035"/>
      <c r="K48" s="1035"/>
      <c r="L48" s="215"/>
      <c r="M48" s="185"/>
      <c r="N48" s="185"/>
      <c r="O48" s="185"/>
    </row>
    <row r="49" spans="3:15" ht="15.75" x14ac:dyDescent="0.2">
      <c r="C49" s="185"/>
      <c r="D49" s="185"/>
      <c r="E49" s="185"/>
      <c r="F49" s="185"/>
      <c r="G49" s="199"/>
      <c r="H49" s="199"/>
      <c r="I49" s="1035"/>
      <c r="J49" s="1035"/>
      <c r="K49" s="1035"/>
      <c r="L49" s="215"/>
      <c r="M49" s="185"/>
      <c r="N49" s="185"/>
      <c r="O49" s="185"/>
    </row>
    <row r="50" spans="3:15" ht="15.75" x14ac:dyDescent="0.2">
      <c r="C50" s="185"/>
      <c r="D50" s="185"/>
      <c r="E50" s="185"/>
      <c r="F50" s="185"/>
      <c r="G50" s="199"/>
      <c r="H50" s="199"/>
      <c r="I50" s="1035"/>
      <c r="J50" s="1035"/>
      <c r="K50" s="1035"/>
      <c r="L50" s="215"/>
      <c r="M50" s="185"/>
      <c r="N50" s="185"/>
      <c r="O50" s="185"/>
    </row>
    <row r="51" spans="3:15" ht="15.75" x14ac:dyDescent="0.2">
      <c r="C51" s="185"/>
      <c r="D51" s="185"/>
      <c r="E51" s="185"/>
      <c r="F51" s="185"/>
      <c r="G51" s="199"/>
      <c r="H51" s="199"/>
      <c r="I51" s="1035"/>
      <c r="J51" s="1035"/>
      <c r="K51" s="1035"/>
      <c r="L51" s="215"/>
      <c r="M51" s="185"/>
      <c r="N51" s="185"/>
      <c r="O51" s="185"/>
    </row>
    <row r="52" spans="3:15" ht="15.75" x14ac:dyDescent="0.2">
      <c r="C52" s="185"/>
      <c r="D52" s="185"/>
      <c r="E52" s="185"/>
      <c r="F52" s="185"/>
      <c r="G52" s="199"/>
      <c r="H52" s="199"/>
      <c r="I52" s="1035"/>
      <c r="J52" s="1035"/>
      <c r="K52" s="1035"/>
      <c r="L52" s="215"/>
      <c r="M52" s="185"/>
      <c r="N52" s="185"/>
      <c r="O52" s="185"/>
    </row>
    <row r="53" spans="3:15" ht="15.75" x14ac:dyDescent="0.2">
      <c r="C53" s="185"/>
      <c r="D53" s="185"/>
      <c r="E53" s="185"/>
      <c r="F53" s="185"/>
      <c r="G53" s="199"/>
      <c r="H53" s="199"/>
      <c r="I53" s="1035"/>
      <c r="J53" s="1035"/>
      <c r="K53" s="1035"/>
      <c r="L53" s="215"/>
      <c r="M53" s="185"/>
      <c r="N53" s="185"/>
      <c r="O53" s="185"/>
    </row>
    <row r="54" spans="3:15" ht="15.75" x14ac:dyDescent="0.2">
      <c r="C54" s="185"/>
      <c r="D54" s="185"/>
      <c r="E54" s="185"/>
      <c r="F54" s="185"/>
      <c r="G54" s="199"/>
      <c r="H54" s="199"/>
      <c r="I54" s="1035"/>
      <c r="J54" s="1035"/>
      <c r="K54" s="1035"/>
      <c r="L54" s="215"/>
      <c r="M54" s="185"/>
      <c r="N54" s="185"/>
      <c r="O54" s="185"/>
    </row>
    <row r="55" spans="3:15" ht="15.75" x14ac:dyDescent="0.2">
      <c r="C55" s="185"/>
      <c r="D55" s="185"/>
      <c r="E55" s="185"/>
      <c r="F55" s="185"/>
      <c r="G55" s="199"/>
      <c r="H55" s="199"/>
      <c r="I55" s="1035"/>
      <c r="J55" s="1035"/>
      <c r="K55" s="1035"/>
      <c r="L55" s="215"/>
      <c r="M55" s="185"/>
      <c r="N55" s="185"/>
      <c r="O55" s="185"/>
    </row>
    <row r="56" spans="3:15" ht="15.75" x14ac:dyDescent="0.2">
      <c r="C56" s="185"/>
      <c r="D56" s="185"/>
      <c r="E56" s="185"/>
      <c r="F56" s="185"/>
      <c r="G56" s="199"/>
      <c r="H56" s="199"/>
      <c r="I56" s="1035"/>
      <c r="J56" s="1035"/>
      <c r="K56" s="1035"/>
      <c r="L56" s="215"/>
      <c r="M56" s="185"/>
      <c r="N56" s="185"/>
      <c r="O56" s="185"/>
    </row>
    <row r="57" spans="3:15" ht="15.75" x14ac:dyDescent="0.2">
      <c r="C57" s="185"/>
      <c r="D57" s="185"/>
      <c r="E57" s="185"/>
      <c r="F57" s="185"/>
      <c r="G57" s="199"/>
      <c r="H57" s="199"/>
      <c r="I57" s="1035"/>
      <c r="J57" s="1035"/>
      <c r="K57" s="1035"/>
      <c r="L57" s="215"/>
      <c r="M57" s="185"/>
      <c r="N57" s="185"/>
      <c r="O57" s="185"/>
    </row>
    <row r="58" spans="3:15" ht="15.75" x14ac:dyDescent="0.2">
      <c r="C58" s="185"/>
      <c r="D58" s="185"/>
      <c r="E58" s="185"/>
      <c r="F58" s="185"/>
      <c r="G58" s="199"/>
      <c r="H58" s="199"/>
      <c r="I58" s="1035"/>
      <c r="J58" s="1035"/>
      <c r="K58" s="1035"/>
      <c r="L58" s="215"/>
      <c r="M58" s="185"/>
      <c r="N58" s="185"/>
      <c r="O58" s="185"/>
    </row>
    <row r="59" spans="3:15" ht="15.75" x14ac:dyDescent="0.2">
      <c r="C59" s="185"/>
      <c r="D59" s="185"/>
      <c r="E59" s="185"/>
      <c r="F59" s="185"/>
      <c r="G59" s="199"/>
      <c r="H59" s="199"/>
      <c r="I59" s="1035"/>
      <c r="J59" s="1035"/>
      <c r="K59" s="1035"/>
      <c r="L59" s="215"/>
      <c r="M59" s="185"/>
      <c r="N59" s="185"/>
      <c r="O59" s="185"/>
    </row>
    <row r="60" spans="3:15" ht="15.75" x14ac:dyDescent="0.2">
      <c r="C60" s="185"/>
      <c r="D60" s="185"/>
      <c r="E60" s="185"/>
      <c r="F60" s="185"/>
      <c r="G60" s="199"/>
      <c r="H60" s="199"/>
      <c r="I60" s="1035"/>
      <c r="J60" s="1035"/>
      <c r="K60" s="1035"/>
      <c r="L60" s="215"/>
      <c r="M60" s="185"/>
      <c r="N60" s="185"/>
      <c r="O60" s="185"/>
    </row>
    <row r="61" spans="3:15" ht="15.75" x14ac:dyDescent="0.2">
      <c r="C61" s="185"/>
      <c r="D61" s="185"/>
      <c r="E61" s="185"/>
      <c r="F61" s="185"/>
      <c r="G61" s="199"/>
      <c r="H61" s="199"/>
      <c r="I61" s="1035"/>
      <c r="J61" s="1035"/>
      <c r="K61" s="1035"/>
      <c r="L61" s="215"/>
      <c r="M61" s="185"/>
      <c r="N61" s="185"/>
      <c r="O61" s="185"/>
    </row>
    <row r="62" spans="3:15" ht="15.75" x14ac:dyDescent="0.2">
      <c r="C62" s="185"/>
      <c r="D62" s="185"/>
      <c r="E62" s="185"/>
      <c r="F62" s="185"/>
      <c r="G62" s="199"/>
      <c r="H62" s="199"/>
      <c r="I62" s="1035"/>
      <c r="J62" s="1035"/>
      <c r="K62" s="1035"/>
      <c r="L62" s="215"/>
      <c r="M62" s="185"/>
      <c r="N62" s="185"/>
      <c r="O62" s="185"/>
    </row>
    <row r="63" spans="3:15" x14ac:dyDescent="0.2">
      <c r="C63" s="185"/>
      <c r="D63" s="185"/>
      <c r="E63" s="185"/>
      <c r="F63" s="185"/>
      <c r="G63" s="185"/>
      <c r="H63" s="185"/>
      <c r="I63" s="1036"/>
      <c r="J63" s="1036"/>
      <c r="K63" s="1036"/>
      <c r="L63" s="217"/>
      <c r="M63" s="185"/>
      <c r="N63" s="185"/>
      <c r="O63" s="185"/>
    </row>
    <row r="64" spans="3:15" x14ac:dyDescent="0.2">
      <c r="C64" s="185"/>
      <c r="D64" s="185"/>
      <c r="E64" s="185"/>
      <c r="F64" s="185"/>
      <c r="G64" s="185"/>
      <c r="H64" s="185"/>
      <c r="I64" s="1036"/>
      <c r="J64" s="1036"/>
      <c r="K64" s="1036"/>
      <c r="L64" s="217"/>
      <c r="M64" s="185"/>
      <c r="N64" s="185"/>
      <c r="O64" s="185"/>
    </row>
    <row r="65" spans="3:15" x14ac:dyDescent="0.2">
      <c r="C65" s="185"/>
      <c r="D65" s="185"/>
      <c r="E65" s="185"/>
      <c r="F65" s="185"/>
      <c r="G65" s="185"/>
      <c r="H65" s="185"/>
      <c r="I65" s="1036"/>
      <c r="J65" s="1036"/>
      <c r="K65" s="1036"/>
      <c r="L65" s="217"/>
      <c r="M65" s="185"/>
      <c r="N65" s="185"/>
      <c r="O65" s="185"/>
    </row>
    <row r="66" spans="3:15" x14ac:dyDescent="0.2">
      <c r="C66" s="185"/>
      <c r="D66" s="185"/>
      <c r="E66" s="185"/>
      <c r="F66" s="185"/>
      <c r="G66" s="185"/>
      <c r="H66" s="185"/>
      <c r="I66" s="1036"/>
      <c r="J66" s="1036"/>
      <c r="K66" s="1036"/>
      <c r="L66" s="217"/>
      <c r="M66" s="185"/>
      <c r="N66" s="185"/>
      <c r="O66" s="185"/>
    </row>
    <row r="67" spans="3:15" x14ac:dyDescent="0.2">
      <c r="C67" s="185"/>
      <c r="D67" s="185"/>
      <c r="E67" s="185"/>
      <c r="F67" s="185"/>
      <c r="G67" s="185"/>
      <c r="H67" s="185"/>
      <c r="I67" s="1036"/>
      <c r="J67" s="1036"/>
      <c r="K67" s="1036"/>
      <c r="L67" s="217"/>
      <c r="M67" s="185"/>
      <c r="N67" s="185"/>
      <c r="O67" s="185"/>
    </row>
    <row r="68" spans="3:15" x14ac:dyDescent="0.2">
      <c r="C68" s="185"/>
      <c r="D68" s="185"/>
      <c r="E68" s="185"/>
      <c r="F68" s="185"/>
      <c r="G68" s="185"/>
      <c r="H68" s="185"/>
      <c r="I68" s="1036"/>
      <c r="J68" s="1036"/>
      <c r="K68" s="1036"/>
      <c r="L68" s="217"/>
      <c r="M68" s="185"/>
      <c r="N68" s="185"/>
      <c r="O68" s="185"/>
    </row>
    <row r="69" spans="3:15" x14ac:dyDescent="0.2">
      <c r="C69" s="185"/>
      <c r="D69" s="185"/>
      <c r="E69" s="185"/>
      <c r="F69" s="185"/>
      <c r="G69" s="185"/>
      <c r="H69" s="185"/>
      <c r="I69" s="1036"/>
      <c r="J69" s="1036"/>
      <c r="K69" s="1036"/>
      <c r="L69" s="217"/>
      <c r="M69" s="185"/>
      <c r="N69" s="185"/>
      <c r="O69" s="185"/>
    </row>
    <row r="70" spans="3:15" x14ac:dyDescent="0.2">
      <c r="C70" s="185"/>
      <c r="D70" s="185"/>
      <c r="E70" s="185"/>
      <c r="F70" s="185"/>
      <c r="G70" s="185"/>
      <c r="H70" s="185"/>
      <c r="I70" s="1036"/>
      <c r="J70" s="1036"/>
      <c r="K70" s="1036"/>
      <c r="L70" s="217"/>
      <c r="M70" s="185"/>
      <c r="N70" s="185"/>
      <c r="O70" s="185"/>
    </row>
    <row r="71" spans="3:15" x14ac:dyDescent="0.2">
      <c r="C71" s="185"/>
      <c r="D71" s="185"/>
      <c r="E71" s="185"/>
      <c r="F71" s="185"/>
      <c r="G71" s="185"/>
      <c r="H71" s="185"/>
      <c r="I71" s="1036"/>
      <c r="J71" s="1036"/>
      <c r="K71" s="1036"/>
      <c r="L71" s="217"/>
      <c r="M71" s="185"/>
      <c r="N71" s="185"/>
      <c r="O71" s="185"/>
    </row>
    <row r="72" spans="3:15" x14ac:dyDescent="0.2">
      <c r="C72" s="185"/>
      <c r="D72" s="185"/>
      <c r="E72" s="185"/>
      <c r="F72" s="185"/>
      <c r="G72" s="185"/>
      <c r="H72" s="185"/>
      <c r="I72" s="1036"/>
      <c r="J72" s="1036"/>
      <c r="K72" s="1036"/>
      <c r="L72" s="217"/>
      <c r="M72" s="185"/>
      <c r="N72" s="185"/>
      <c r="O72" s="185"/>
    </row>
    <row r="73" spans="3:15" x14ac:dyDescent="0.2">
      <c r="C73" s="185"/>
      <c r="D73" s="185"/>
      <c r="E73" s="185"/>
      <c r="F73" s="185"/>
      <c r="G73" s="185"/>
      <c r="H73" s="185"/>
      <c r="I73" s="1036"/>
      <c r="J73" s="1036"/>
      <c r="K73" s="1036"/>
      <c r="L73" s="217"/>
      <c r="M73" s="185"/>
      <c r="N73" s="185"/>
      <c r="O73" s="185"/>
    </row>
    <row r="74" spans="3:15" x14ac:dyDescent="0.2">
      <c r="C74" s="185"/>
      <c r="D74" s="185"/>
      <c r="E74" s="185"/>
      <c r="F74" s="185"/>
      <c r="G74" s="185"/>
      <c r="H74" s="185"/>
      <c r="I74" s="1036"/>
      <c r="J74" s="1036"/>
      <c r="K74" s="1036"/>
      <c r="L74" s="217"/>
      <c r="M74" s="185"/>
      <c r="N74" s="185"/>
      <c r="O74" s="185"/>
    </row>
    <row r="75" spans="3:15" x14ac:dyDescent="0.2">
      <c r="C75" s="185"/>
      <c r="D75" s="185"/>
      <c r="E75" s="185"/>
      <c r="F75" s="185"/>
      <c r="G75" s="185"/>
      <c r="H75" s="185"/>
      <c r="I75" s="1036"/>
      <c r="J75" s="1036"/>
      <c r="K75" s="1036"/>
      <c r="L75" s="217"/>
      <c r="M75" s="185"/>
      <c r="N75" s="185"/>
      <c r="O75" s="185"/>
    </row>
    <row r="76" spans="3:15" x14ac:dyDescent="0.2">
      <c r="C76" s="185"/>
      <c r="D76" s="185"/>
      <c r="E76" s="185"/>
      <c r="F76" s="185"/>
      <c r="G76" s="185"/>
      <c r="H76" s="185"/>
      <c r="I76" s="1036"/>
      <c r="J76" s="1036"/>
      <c r="K76" s="1036"/>
      <c r="L76" s="217"/>
      <c r="M76" s="185"/>
      <c r="N76" s="185"/>
      <c r="O76" s="185"/>
    </row>
    <row r="77" spans="3:15" x14ac:dyDescent="0.2">
      <c r="C77" s="185"/>
      <c r="D77" s="185"/>
      <c r="E77" s="185"/>
      <c r="F77" s="185"/>
      <c r="G77" s="185"/>
      <c r="H77" s="185"/>
      <c r="I77" s="1036"/>
      <c r="J77" s="1036"/>
      <c r="K77" s="1036"/>
      <c r="L77" s="217"/>
      <c r="M77" s="185"/>
      <c r="N77" s="185"/>
      <c r="O77" s="185"/>
    </row>
    <row r="78" spans="3:15" x14ac:dyDescent="0.2">
      <c r="C78" s="185"/>
      <c r="D78" s="185"/>
      <c r="E78" s="185"/>
      <c r="F78" s="185"/>
      <c r="G78" s="185"/>
      <c r="H78" s="185"/>
      <c r="I78" s="1036"/>
      <c r="J78" s="1036"/>
      <c r="K78" s="1036"/>
      <c r="L78" s="217"/>
      <c r="M78" s="185"/>
      <c r="N78" s="185"/>
      <c r="O78" s="185"/>
    </row>
    <row r="79" spans="3:15" x14ac:dyDescent="0.2">
      <c r="C79" s="185"/>
      <c r="D79" s="185"/>
      <c r="E79" s="185"/>
      <c r="F79" s="185"/>
      <c r="G79" s="185"/>
      <c r="H79" s="185"/>
      <c r="I79" s="1036"/>
      <c r="J79" s="1036"/>
      <c r="K79" s="1036"/>
      <c r="L79" s="217"/>
      <c r="M79" s="185"/>
      <c r="N79" s="185"/>
      <c r="O79" s="185"/>
    </row>
  </sheetData>
  <mergeCells count="1">
    <mergeCell ref="B40:G40"/>
  </mergeCells>
  <pageMargins left="0.7" right="0.7" top="0.75" bottom="0.75" header="0.3" footer="0.3"/>
  <pageSetup paperSize="9" scale="87" orientation="landscape" horizontalDpi="360" verticalDpi="360" r:id="rId1"/>
  <colBreaks count="2" manualBreakCount="2">
    <brk id="13" max="1048575" man="1"/>
    <brk id="16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27"/>
  <dimension ref="A1:P51"/>
  <sheetViews>
    <sheetView rightToLeft="1" workbookViewId="0">
      <selection activeCell="AL8" sqref="AL8"/>
    </sheetView>
  </sheetViews>
  <sheetFormatPr defaultRowHeight="12.75" x14ac:dyDescent="0.2"/>
  <cols>
    <col min="1" max="1" width="9.140625" style="931"/>
    <col min="2" max="3" width="14" style="931" customWidth="1"/>
    <col min="4" max="4" width="16.28515625" style="931" customWidth="1"/>
    <col min="5" max="6" width="9.5703125" style="931" customWidth="1"/>
    <col min="7" max="7" width="9" style="931" customWidth="1"/>
    <col min="8" max="8" width="11.7109375" style="931" customWidth="1"/>
    <col min="9" max="9" width="13.140625" style="931" customWidth="1"/>
    <col min="10" max="10" width="11.28515625" style="931" customWidth="1"/>
    <col min="12" max="16384" width="9.140625" style="931"/>
  </cols>
  <sheetData>
    <row r="1" spans="1:16" ht="35.25" x14ac:dyDescent="0.5">
      <c r="B1" s="928"/>
      <c r="C1" s="928"/>
      <c r="D1" s="973"/>
      <c r="E1" s="929"/>
      <c r="F1" s="929"/>
      <c r="G1" s="929"/>
      <c r="H1" s="929"/>
      <c r="I1" s="929"/>
      <c r="J1" s="929"/>
      <c r="L1" s="929"/>
      <c r="M1" s="930" t="s">
        <v>489</v>
      </c>
      <c r="N1" s="929"/>
      <c r="P1" s="929"/>
    </row>
    <row r="2" spans="1:16" ht="18.75" x14ac:dyDescent="0.3">
      <c r="B2" s="932"/>
      <c r="C2" s="932"/>
      <c r="D2" s="934"/>
      <c r="E2" s="933"/>
      <c r="F2" s="933"/>
      <c r="G2" s="936"/>
      <c r="H2" s="932"/>
      <c r="I2" s="933"/>
      <c r="J2" s="933" t="s">
        <v>491</v>
      </c>
      <c r="L2" s="937"/>
      <c r="M2" s="937"/>
      <c r="N2" s="937"/>
      <c r="O2" s="937"/>
      <c r="P2" s="937"/>
    </row>
    <row r="3" spans="1:16" ht="18.75" x14ac:dyDescent="0.3">
      <c r="B3" s="932"/>
      <c r="C3" s="932"/>
      <c r="D3" s="938"/>
      <c r="E3" s="937"/>
      <c r="F3" s="937"/>
      <c r="G3" s="937"/>
      <c r="H3" s="937"/>
      <c r="I3" s="937"/>
      <c r="J3" s="937"/>
      <c r="L3" s="937"/>
      <c r="M3" s="937"/>
      <c r="N3" s="937"/>
      <c r="O3" s="937"/>
      <c r="P3" s="937"/>
    </row>
    <row r="4" spans="1:16" ht="13.5" thickBot="1" x14ac:dyDescent="0.25">
      <c r="B4" s="940"/>
      <c r="C4" s="940"/>
      <c r="D4" s="942"/>
      <c r="E4" s="941"/>
      <c r="F4" s="941"/>
      <c r="G4" s="941"/>
      <c r="H4" s="941"/>
      <c r="I4" s="941"/>
      <c r="J4" s="941"/>
      <c r="L4" s="941"/>
      <c r="M4" s="941"/>
      <c r="N4" s="941"/>
      <c r="O4" s="941"/>
      <c r="P4" s="941"/>
    </row>
    <row r="5" spans="1:16" ht="75.75" thickBot="1" x14ac:dyDescent="0.25">
      <c r="A5" s="944" t="s">
        <v>0</v>
      </c>
      <c r="B5" s="944" t="s">
        <v>494</v>
      </c>
      <c r="C5" s="944" t="s">
        <v>513</v>
      </c>
      <c r="D5" s="945" t="s">
        <v>1052</v>
      </c>
      <c r="E5" s="948" t="s">
        <v>1056</v>
      </c>
      <c r="F5" s="949" t="s">
        <v>1063</v>
      </c>
      <c r="G5" s="949" t="s">
        <v>1064</v>
      </c>
      <c r="H5" s="949" t="s">
        <v>1021</v>
      </c>
      <c r="I5" s="951" t="s">
        <v>251</v>
      </c>
      <c r="J5" s="950" t="s">
        <v>1067</v>
      </c>
      <c r="K5" s="950" t="s">
        <v>250</v>
      </c>
      <c r="L5" s="951" t="s">
        <v>500</v>
      </c>
      <c r="M5" s="951" t="s">
        <v>311</v>
      </c>
      <c r="N5" s="951" t="s">
        <v>314</v>
      </c>
      <c r="O5" s="951" t="s">
        <v>1022</v>
      </c>
      <c r="P5" s="951" t="s">
        <v>1023</v>
      </c>
    </row>
    <row r="6" spans="1:16" ht="18.75" x14ac:dyDescent="0.2">
      <c r="B6" s="952" t="str">
        <f>IF(main!B9&gt;0,main!B9,"")</f>
        <v>1595222</v>
      </c>
      <c r="C6" s="953" t="str">
        <f>IF(main!C9&gt;0,main!C9,"")</f>
        <v/>
      </c>
      <c r="D6" s="953" t="str">
        <f>IF(main!E9&gt;0,main!E9,"")</f>
        <v/>
      </c>
      <c r="E6" s="953">
        <f>main!ED9</f>
        <v>0</v>
      </c>
      <c r="F6" s="953">
        <f>main!DX9</f>
        <v>0</v>
      </c>
      <c r="G6" s="953">
        <f>main!DY9</f>
        <v>0</v>
      </c>
      <c r="H6" s="953">
        <f>main!CR9+main!CS9</f>
        <v>0</v>
      </c>
      <c r="I6" s="952">
        <f>main!CT9</f>
        <v>0</v>
      </c>
      <c r="J6" s="952">
        <f>main!CU9</f>
        <v>0</v>
      </c>
      <c r="K6" s="952">
        <f>main!CV9</f>
        <v>0</v>
      </c>
      <c r="L6" s="952">
        <f>main!CX9</f>
        <v>0</v>
      </c>
      <c r="M6" s="952">
        <f>main!CY9</f>
        <v>0</v>
      </c>
      <c r="N6" s="952">
        <f>main!DB9</f>
        <v>0</v>
      </c>
      <c r="O6" s="952">
        <f>main!DN9</f>
        <v>0</v>
      </c>
      <c r="P6" s="952">
        <f>main!DO9</f>
        <v>0</v>
      </c>
    </row>
    <row r="7" spans="1:16" ht="18.75" x14ac:dyDescent="0.2">
      <c r="B7" s="952" t="str">
        <f>IF(main!B10&gt;0,main!B10,"")</f>
        <v>1394362</v>
      </c>
      <c r="C7" s="953" t="str">
        <f>IF(main!C10&gt;0,main!C10,"")</f>
        <v>קופת גמל</v>
      </c>
      <c r="D7" s="953" t="str">
        <f>IF(main!E10&gt;0,main!E10,"")</f>
        <v>ארם-קופת גמל לתגמולים של ארגון הרופאים עובדי מדינה</v>
      </c>
      <c r="E7" s="953">
        <f>main!ED10</f>
        <v>0</v>
      </c>
      <c r="F7" s="953">
        <f>main!DX10</f>
        <v>0</v>
      </c>
      <c r="G7" s="953">
        <f>main!DY10</f>
        <v>0</v>
      </c>
      <c r="H7" s="953">
        <f>main!CR10+main!CS10</f>
        <v>0</v>
      </c>
      <c r="I7" s="952">
        <f>main!CT10</f>
        <v>0</v>
      </c>
      <c r="J7" s="952">
        <f>main!CU10</f>
        <v>0</v>
      </c>
      <c r="K7" s="952">
        <f>main!CV10</f>
        <v>0</v>
      </c>
      <c r="L7" s="952">
        <f>main!CX10</f>
        <v>0</v>
      </c>
      <c r="M7" s="952">
        <f>main!CY10</f>
        <v>0</v>
      </c>
      <c r="N7" s="952">
        <f>main!DB10</f>
        <v>0</v>
      </c>
      <c r="O7" s="952">
        <f>main!DN10</f>
        <v>0</v>
      </c>
      <c r="P7" s="952">
        <f>main!DO10</f>
        <v>0</v>
      </c>
    </row>
    <row r="8" spans="1:16" ht="18.75" x14ac:dyDescent="0.2">
      <c r="B8" s="952" t="str">
        <f>IF(main!B11&gt;0,main!B11,"")</f>
        <v>1394370</v>
      </c>
      <c r="C8" s="953" t="str">
        <f>IF(main!C11&gt;0,main!C11,"")</f>
        <v>קופת גמל</v>
      </c>
      <c r="D8" s="953" t="str">
        <f>IF(main!E11&gt;0,main!E11,"")</f>
        <v>ארם-קופת גמל לתגמולים של ארגון הרופאים עובדי מדינה</v>
      </c>
      <c r="E8" s="953">
        <f>main!ED11</f>
        <v>0</v>
      </c>
      <c r="F8" s="953">
        <f>main!DX11</f>
        <v>0</v>
      </c>
      <c r="G8" s="953">
        <f>main!DY11</f>
        <v>0</v>
      </c>
      <c r="H8" s="953">
        <f>main!CR11+main!CS11</f>
        <v>0</v>
      </c>
      <c r="I8" s="952">
        <f>main!CT11</f>
        <v>0</v>
      </c>
      <c r="J8" s="952">
        <f>main!CU11</f>
        <v>0</v>
      </c>
      <c r="K8" s="952">
        <f>main!CV11</f>
        <v>0</v>
      </c>
      <c r="L8" s="952">
        <f>main!CX11</f>
        <v>0</v>
      </c>
      <c r="M8" s="952">
        <f>main!CY11</f>
        <v>0</v>
      </c>
      <c r="N8" s="952">
        <f>main!DB11</f>
        <v>0</v>
      </c>
      <c r="O8" s="952">
        <f>main!DN11</f>
        <v>0</v>
      </c>
      <c r="P8" s="952">
        <f>main!DO11</f>
        <v>0</v>
      </c>
    </row>
    <row r="9" spans="1:16" ht="18.75" x14ac:dyDescent="0.2">
      <c r="B9" s="952" t="str">
        <f>IF(main!B12&gt;0,main!B12,"")</f>
        <v>630251455</v>
      </c>
      <c r="C9" s="953" t="str">
        <f>IF(main!C12&gt;0,main!C12,"")</f>
        <v>קרן פנסיה</v>
      </c>
      <c r="D9" s="953" t="str">
        <f>IF(main!E12&gt;0,main!E12,"")</f>
        <v>מקפת אישית</v>
      </c>
      <c r="E9" s="953">
        <f>main!ED12</f>
        <v>713.34</v>
      </c>
      <c r="F9" s="953">
        <f>main!DX12</f>
        <v>423.25</v>
      </c>
      <c r="G9" s="953">
        <f>main!DY12</f>
        <v>211.62</v>
      </c>
      <c r="H9" s="953">
        <f>main!CR12+main!CS12</f>
        <v>0</v>
      </c>
      <c r="I9" s="952">
        <f>main!CT12</f>
        <v>0</v>
      </c>
      <c r="J9" s="952">
        <f>main!CU12</f>
        <v>0</v>
      </c>
      <c r="K9" s="952">
        <f>main!CV12</f>
        <v>0</v>
      </c>
      <c r="L9" s="952">
        <f>main!CX12</f>
        <v>0</v>
      </c>
      <c r="M9" s="952">
        <f>main!CY12</f>
        <v>0</v>
      </c>
      <c r="N9" s="952">
        <f>main!DB12</f>
        <v>0</v>
      </c>
      <c r="O9" s="952">
        <f>main!DN12</f>
        <v>0</v>
      </c>
      <c r="P9" s="952">
        <f>main!DO12</f>
        <v>0</v>
      </c>
    </row>
    <row r="10" spans="1:16" ht="18.75" x14ac:dyDescent="0.2">
      <c r="B10" s="952" t="str">
        <f>IF(main!B13&gt;0,main!B13,"")</f>
        <v>20047373</v>
      </c>
      <c r="C10" s="953" t="str">
        <f>IF(main!C13&gt;0,main!C13,"")</f>
        <v>קופת גמל</v>
      </c>
      <c r="D10" s="953" t="str">
        <f>IF(main!E13&gt;0,main!E13,"")</f>
        <v>מנורה מבטחים אמיר כללי</v>
      </c>
      <c r="E10" s="953">
        <f>main!ED13</f>
        <v>0</v>
      </c>
      <c r="F10" s="953">
        <f>main!DX13</f>
        <v>0</v>
      </c>
      <c r="G10" s="953">
        <f>main!DY13</f>
        <v>0</v>
      </c>
      <c r="H10" s="953">
        <f>main!CR13+main!CS13</f>
        <v>0</v>
      </c>
      <c r="I10" s="952">
        <f>main!CT13</f>
        <v>0</v>
      </c>
      <c r="J10" s="952">
        <f>main!CU13</f>
        <v>0</v>
      </c>
      <c r="K10" s="952">
        <f>main!CV13</f>
        <v>0</v>
      </c>
      <c r="L10" s="952">
        <f>main!CX13</f>
        <v>0</v>
      </c>
      <c r="M10" s="952">
        <f>main!CY13</f>
        <v>0</v>
      </c>
      <c r="N10" s="952">
        <f>main!DB13</f>
        <v>0</v>
      </c>
      <c r="O10" s="952">
        <f>main!DN13</f>
        <v>0</v>
      </c>
      <c r="P10" s="952">
        <f>main!DO13</f>
        <v>0</v>
      </c>
    </row>
    <row r="11" spans="1:16" ht="18.75" x14ac:dyDescent="0.2">
      <c r="B11" s="952" t="str">
        <f>IF(main!B14&gt;0,main!B14,"")</f>
        <v>2296587</v>
      </c>
      <c r="C11" s="953" t="str">
        <f>IF(main!C14&gt;0,main!C14,"")</f>
        <v>קופת גמל</v>
      </c>
      <c r="D11" s="953" t="str">
        <f>IF(main!E14&gt;0,main!E14,"")</f>
        <v>מנורה מבטחים תגמולים</v>
      </c>
      <c r="E11" s="953">
        <f>main!ED14</f>
        <v>0</v>
      </c>
      <c r="F11" s="953">
        <f>main!DX14</f>
        <v>0</v>
      </c>
      <c r="G11" s="953">
        <f>main!DY14</f>
        <v>0</v>
      </c>
      <c r="H11" s="953">
        <f>main!CR14+main!CS14</f>
        <v>0</v>
      </c>
      <c r="I11" s="952">
        <f>main!CT14</f>
        <v>0</v>
      </c>
      <c r="J11" s="952">
        <f>main!CU14</f>
        <v>0</v>
      </c>
      <c r="K11" s="952">
        <f>main!CV14</f>
        <v>0</v>
      </c>
      <c r="L11" s="952">
        <f>main!CX14</f>
        <v>0</v>
      </c>
      <c r="M11" s="952">
        <f>main!CY14</f>
        <v>0</v>
      </c>
      <c r="N11" s="952">
        <f>main!DB14</f>
        <v>0</v>
      </c>
      <c r="O11" s="952">
        <f>main!DN14</f>
        <v>0</v>
      </c>
      <c r="P11" s="952">
        <f>main!DO14</f>
        <v>0</v>
      </c>
    </row>
    <row r="12" spans="1:16" ht="18.75" x14ac:dyDescent="0.2">
      <c r="B12" s="952" t="str">
        <f>IF(main!B15&gt;0,main!B15,"")</f>
        <v>56078603</v>
      </c>
      <c r="C12" s="953" t="str">
        <f>IF(main!C15&gt;0,main!C15,"")</f>
        <v>קרן פנסיה</v>
      </c>
      <c r="D12" s="953" t="str">
        <f>IF(main!E15&gt;0,main!E15,"")</f>
        <v>מבטחים החדשה פלוס</v>
      </c>
      <c r="E12" s="953">
        <f>main!ED15</f>
        <v>0</v>
      </c>
      <c r="F12" s="953">
        <f>main!DX15</f>
        <v>0</v>
      </c>
      <c r="G12" s="953">
        <f>main!DY15</f>
        <v>0</v>
      </c>
      <c r="H12" s="953">
        <f>main!CR15+main!CS15</f>
        <v>0</v>
      </c>
      <c r="I12" s="952">
        <f>main!CT15</f>
        <v>0</v>
      </c>
      <c r="J12" s="952">
        <f>main!CU15</f>
        <v>0</v>
      </c>
      <c r="K12" s="952">
        <f>main!CV15</f>
        <v>0</v>
      </c>
      <c r="L12" s="952">
        <f>main!CX15</f>
        <v>0</v>
      </c>
      <c r="M12" s="952">
        <f>main!CY15</f>
        <v>0</v>
      </c>
      <c r="N12" s="952">
        <f>main!DB15</f>
        <v>0</v>
      </c>
      <c r="O12" s="952">
        <f>main!DN15</f>
        <v>0</v>
      </c>
      <c r="P12" s="952">
        <f>main!DO15</f>
        <v>0</v>
      </c>
    </row>
    <row r="13" spans="1:16" ht="18.75" x14ac:dyDescent="0.2">
      <c r="B13" s="952" t="str">
        <f>IF(main!B16&gt;0,main!B16,"")</f>
        <v>4355788</v>
      </c>
      <c r="C13" s="953" t="str">
        <f>IF(main!C16&gt;0,main!C16,"")</f>
        <v>קופת גמל</v>
      </c>
      <c r="D13" s="953" t="str">
        <f>IF(main!E16&gt;0,main!E16,"")</f>
        <v>אלטשולר שחם גמל</v>
      </c>
      <c r="E13" s="953">
        <f>main!ED16</f>
        <v>0</v>
      </c>
      <c r="F13" s="953">
        <f>main!DX16</f>
        <v>0</v>
      </c>
      <c r="G13" s="953">
        <f>main!DY16</f>
        <v>0</v>
      </c>
      <c r="H13" s="953">
        <f>main!CR16+main!CS16</f>
        <v>1</v>
      </c>
      <c r="I13" s="952">
        <f>main!CT16</f>
        <v>0</v>
      </c>
      <c r="J13" s="952">
        <f>main!CU16</f>
        <v>0</v>
      </c>
      <c r="K13" s="952">
        <f>main!CV16</f>
        <v>0</v>
      </c>
      <c r="L13" s="952">
        <f>main!CX16</f>
        <v>0</v>
      </c>
      <c r="M13" s="952">
        <f>main!CY16</f>
        <v>0</v>
      </c>
      <c r="N13" s="952">
        <f>main!DB16</f>
        <v>0</v>
      </c>
      <c r="O13" s="952">
        <f>main!DN16</f>
        <v>0</v>
      </c>
      <c r="P13" s="952">
        <f>main!DO16</f>
        <v>0</v>
      </c>
    </row>
    <row r="14" spans="1:16" ht="18.75" x14ac:dyDescent="0.2">
      <c r="B14" s="952" t="str">
        <f>IF(main!B17&gt;0,main!B17,"")</f>
        <v>69002</v>
      </c>
      <c r="C14" s="953" t="str">
        <f>IF(main!C17&gt;0,main!C17,"")</f>
        <v>קרן פנסיה</v>
      </c>
      <c r="D14" s="953" t="str">
        <f>IF(main!E17&gt;0,main!E17,"")</f>
        <v>תשורה מקיפה</v>
      </c>
      <c r="E14" s="953">
        <f>main!ED17</f>
        <v>0</v>
      </c>
      <c r="F14" s="953">
        <f>main!DX17</f>
        <v>0</v>
      </c>
      <c r="G14" s="953">
        <f>main!DY17</f>
        <v>0</v>
      </c>
      <c r="H14" s="953">
        <f>main!CR17+main!CS17</f>
        <v>0</v>
      </c>
      <c r="I14" s="952">
        <f>main!CT17</f>
        <v>0</v>
      </c>
      <c r="J14" s="952">
        <f>main!CU17</f>
        <v>0</v>
      </c>
      <c r="K14" s="952">
        <f>main!CV17</f>
        <v>0</v>
      </c>
      <c r="L14" s="952">
        <f>main!CX17</f>
        <v>0</v>
      </c>
      <c r="M14" s="952">
        <f>main!CY17</f>
        <v>0</v>
      </c>
      <c r="N14" s="952">
        <f>main!DB17</f>
        <v>0</v>
      </c>
      <c r="O14" s="952">
        <f>main!DN17</f>
        <v>0</v>
      </c>
      <c r="P14" s="952">
        <f>main!DO17</f>
        <v>0</v>
      </c>
    </row>
    <row r="15" spans="1:16" ht="18.75" x14ac:dyDescent="0.2">
      <c r="B15" s="952" t="str">
        <f>IF(main!B18&gt;0,main!B18,"")</f>
        <v>911245475</v>
      </c>
      <c r="C15" s="953" t="str">
        <f>IF(main!C18&gt;0,main!C18,"")</f>
        <v>פוליסת ביטוח חיים משולב חיסכון</v>
      </c>
      <c r="D15" s="953" t="str">
        <f>IF(main!E18&gt;0,main!E18,"")</f>
        <v xml:space="preserve">הראל מגוון עסקי למנהלים                           </v>
      </c>
      <c r="E15" s="953">
        <f>main!ED18</f>
        <v>0</v>
      </c>
      <c r="F15" s="953">
        <f>main!DX18</f>
        <v>0</v>
      </c>
      <c r="G15" s="953">
        <f>main!DY18</f>
        <v>0</v>
      </c>
      <c r="H15" s="953">
        <f>main!CR18+main!CS18</f>
        <v>0</v>
      </c>
      <c r="I15" s="952">
        <f>main!CT18</f>
        <v>0</v>
      </c>
      <c r="J15" s="952">
        <f>main!CU18</f>
        <v>0</v>
      </c>
      <c r="K15" s="952">
        <f>main!CV18</f>
        <v>0</v>
      </c>
      <c r="L15" s="952">
        <f>main!CX18</f>
        <v>0</v>
      </c>
      <c r="M15" s="952">
        <f>main!CY18</f>
        <v>0</v>
      </c>
      <c r="N15" s="952">
        <f>main!DB18</f>
        <v>0</v>
      </c>
      <c r="O15" s="952">
        <f>main!DN18</f>
        <v>0</v>
      </c>
      <c r="P15" s="952">
        <f>main!DO18</f>
        <v>0</v>
      </c>
    </row>
    <row r="16" spans="1:16" ht="75" x14ac:dyDescent="0.2">
      <c r="B16" s="952" t="str">
        <f>IF(main!B19&gt;0,main!B19,"")</f>
        <v>922972106</v>
      </c>
      <c r="C16" s="953" t="str">
        <f>IF(main!C19&gt;0,main!C19,"")</f>
        <v>פוליסת ביטוח חיים משולב חיסכון</v>
      </c>
      <c r="D16" s="953" t="str">
        <f>IF(main!E19&gt;0,main!E19,"")</f>
        <v xml:space="preserve">מגוון לשכירים קצבה לא משלמת                       </v>
      </c>
      <c r="E16" s="953">
        <f>main!ED19</f>
        <v>0</v>
      </c>
      <c r="F16" s="953">
        <f>main!DX19</f>
        <v>0</v>
      </c>
      <c r="G16" s="953">
        <f>main!DY19</f>
        <v>0</v>
      </c>
      <c r="H16" s="953">
        <f>main!CR19+main!CS19</f>
        <v>0</v>
      </c>
      <c r="I16" s="952">
        <f>main!CT19</f>
        <v>0</v>
      </c>
      <c r="J16" s="952">
        <f>main!CU19</f>
        <v>0</v>
      </c>
      <c r="K16" s="952">
        <f>main!CV19</f>
        <v>0</v>
      </c>
      <c r="L16" s="952">
        <f>main!CX19</f>
        <v>0</v>
      </c>
      <c r="M16" s="952">
        <f>main!CY19</f>
        <v>0</v>
      </c>
      <c r="N16" s="952">
        <f>main!DB19</f>
        <v>0</v>
      </c>
      <c r="O16" s="952">
        <f>main!DN19</f>
        <v>0</v>
      </c>
      <c r="P16" s="952">
        <f>main!DO19</f>
        <v>0</v>
      </c>
    </row>
    <row r="17" spans="2:16" ht="75" x14ac:dyDescent="0.2">
      <c r="B17" s="952" t="str">
        <f>IF(main!B20&gt;0,main!B20,"")</f>
        <v>411113798</v>
      </c>
      <c r="C17" s="953" t="str">
        <f>IF(main!C20&gt;0,main!C20,"")</f>
        <v>פוליסת ביטוח חיים משולב חיסכון</v>
      </c>
      <c r="D17" s="953" t="str">
        <f>IF(main!E20&gt;0,main!E20,"")</f>
        <v>יותר</v>
      </c>
      <c r="E17" s="953">
        <f>main!ED20</f>
        <v>0</v>
      </c>
      <c r="F17" s="953">
        <f>main!DX20</f>
        <v>0</v>
      </c>
      <c r="G17" s="953">
        <f>main!DY20</f>
        <v>0</v>
      </c>
      <c r="H17" s="953">
        <f>main!CR20+main!CS20</f>
        <v>0</v>
      </c>
      <c r="I17" s="952">
        <f>main!CT20</f>
        <v>0</v>
      </c>
      <c r="J17" s="952">
        <f>main!CU20</f>
        <v>0</v>
      </c>
      <c r="K17" s="952">
        <f>main!CV20</f>
        <v>0</v>
      </c>
      <c r="L17" s="952">
        <f>main!CX20</f>
        <v>0</v>
      </c>
      <c r="M17" s="952">
        <f>main!CY20</f>
        <v>0</v>
      </c>
      <c r="N17" s="952">
        <f>main!DB20</f>
        <v>0</v>
      </c>
      <c r="O17" s="952">
        <f>main!DN20</f>
        <v>109.12</v>
      </c>
      <c r="P17" s="952">
        <f>main!DO20</f>
        <v>0</v>
      </c>
    </row>
    <row r="18" spans="2:16" ht="75" x14ac:dyDescent="0.2">
      <c r="B18" s="952" t="str">
        <f>IF(main!B21&gt;0,main!B21,"")</f>
        <v>411138484</v>
      </c>
      <c r="C18" s="953" t="str">
        <f>IF(main!C21&gt;0,main!C21,"")</f>
        <v>פוליסת ביטוח חיים משולב חיסכון</v>
      </c>
      <c r="D18" s="953" t="str">
        <f>IF(main!E21&gt;0,main!E21,"")</f>
        <v>יותר הון</v>
      </c>
      <c r="E18" s="953">
        <f>main!ED21</f>
        <v>0</v>
      </c>
      <c r="F18" s="953">
        <f>main!DX21</f>
        <v>0</v>
      </c>
      <c r="G18" s="953">
        <f>main!DY21</f>
        <v>0</v>
      </c>
      <c r="H18" s="953">
        <f>main!CR21+main!CS21</f>
        <v>0</v>
      </c>
      <c r="I18" s="952">
        <f>main!CT21</f>
        <v>0</v>
      </c>
      <c r="J18" s="952">
        <f>main!CU21</f>
        <v>0</v>
      </c>
      <c r="K18" s="952">
        <f>main!CV21</f>
        <v>0</v>
      </c>
      <c r="L18" s="952">
        <f>main!CX21</f>
        <v>0</v>
      </c>
      <c r="M18" s="952">
        <f>main!CY21</f>
        <v>0</v>
      </c>
      <c r="N18" s="952">
        <f>main!DB21</f>
        <v>0</v>
      </c>
      <c r="O18" s="952">
        <f>main!DN21</f>
        <v>0</v>
      </c>
      <c r="P18" s="952">
        <f>main!DO21</f>
        <v>0</v>
      </c>
    </row>
    <row r="19" spans="2:16" ht="75" x14ac:dyDescent="0.2">
      <c r="B19" s="952" t="str">
        <f>IF(main!B22&gt;0,main!B22,"")</f>
        <v>323406232</v>
      </c>
      <c r="C19" s="953" t="str">
        <f>IF(main!C22&gt;0,main!C22,"")</f>
        <v>פוליסת ביטוח חיים משולב חיסכון</v>
      </c>
      <c r="D19" s="953" t="str">
        <f>IF(main!E22&gt;0,main!E22,"")</f>
        <v>יותר</v>
      </c>
      <c r="E19" s="953">
        <f>main!ED22</f>
        <v>0</v>
      </c>
      <c r="F19" s="953">
        <f>main!DX22</f>
        <v>0</v>
      </c>
      <c r="G19" s="953">
        <f>main!DY22</f>
        <v>0</v>
      </c>
      <c r="H19" s="953">
        <f>main!CR22+main!CS22</f>
        <v>0</v>
      </c>
      <c r="I19" s="952">
        <f>main!CT22</f>
        <v>0</v>
      </c>
      <c r="J19" s="952">
        <f>main!CU22</f>
        <v>0</v>
      </c>
      <c r="K19" s="952">
        <f>main!CV22</f>
        <v>0</v>
      </c>
      <c r="L19" s="952">
        <f>main!CX22</f>
        <v>0</v>
      </c>
      <c r="M19" s="952">
        <f>main!CY22</f>
        <v>0</v>
      </c>
      <c r="N19" s="952">
        <f>main!DB22</f>
        <v>0</v>
      </c>
      <c r="O19" s="952">
        <f>main!DN22</f>
        <v>0</v>
      </c>
      <c r="P19" s="952">
        <f>main!DO22</f>
        <v>166.41</v>
      </c>
    </row>
    <row r="20" spans="2:16" ht="75" x14ac:dyDescent="0.2">
      <c r="B20" s="952" t="str">
        <f>IF(main!B23&gt;0,main!B23,"")</f>
        <v>730141236</v>
      </c>
      <c r="C20" s="953" t="str">
        <f>IF(main!C23&gt;0,main!C23,"")</f>
        <v>פוליסת ביטוח חיים משולב חיסכון</v>
      </c>
      <c r="D20" s="953" t="str">
        <f>IF(main!E23&gt;0,main!E23,"")</f>
        <v>יותר</v>
      </c>
      <c r="E20" s="953">
        <f>main!ED23</f>
        <v>0</v>
      </c>
      <c r="F20" s="953">
        <f>main!DX23</f>
        <v>0</v>
      </c>
      <c r="G20" s="953">
        <f>main!DY23</f>
        <v>0</v>
      </c>
      <c r="H20" s="953">
        <f>main!CR23+main!CS23</f>
        <v>0</v>
      </c>
      <c r="I20" s="952">
        <f>main!CT23</f>
        <v>0</v>
      </c>
      <c r="J20" s="952">
        <f>main!CU23</f>
        <v>0</v>
      </c>
      <c r="K20" s="952">
        <f>main!CV23</f>
        <v>0</v>
      </c>
      <c r="L20" s="952">
        <f>main!CX23</f>
        <v>0</v>
      </c>
      <c r="M20" s="952">
        <f>main!CY23</f>
        <v>0</v>
      </c>
      <c r="N20" s="952">
        <f>main!DB23</f>
        <v>0</v>
      </c>
      <c r="O20" s="952">
        <f>main!DN23</f>
        <v>0</v>
      </c>
      <c r="P20" s="952">
        <f>main!DO23</f>
        <v>0</v>
      </c>
    </row>
    <row r="21" spans="2:16" ht="75" x14ac:dyDescent="0.2">
      <c r="B21" s="952" t="str">
        <f>IF(main!B24&gt;0,main!B24,"")</f>
        <v>323158955</v>
      </c>
      <c r="C21" s="953" t="str">
        <f>IF(main!C24&gt;0,main!C24,"")</f>
        <v>פוליסת ביטוח חיים משולב חיסכון</v>
      </c>
      <c r="D21" s="953" t="str">
        <f>IF(main!E24&gt;0,main!E24,"")</f>
        <v>יותר</v>
      </c>
      <c r="E21" s="953">
        <f>main!ED24</f>
        <v>0</v>
      </c>
      <c r="F21" s="953">
        <f>main!DX24</f>
        <v>0</v>
      </c>
      <c r="G21" s="953">
        <f>main!DY24</f>
        <v>0</v>
      </c>
      <c r="H21" s="953">
        <f>main!CR24+main!CS24</f>
        <v>0</v>
      </c>
      <c r="I21" s="952">
        <f>main!CT24</f>
        <v>0</v>
      </c>
      <c r="J21" s="952">
        <f>main!CU24</f>
        <v>0</v>
      </c>
      <c r="K21" s="952">
        <f>main!CV24</f>
        <v>0</v>
      </c>
      <c r="L21" s="952">
        <f>main!CX24</f>
        <v>0</v>
      </c>
      <c r="M21" s="952">
        <f>main!CY24</f>
        <v>0</v>
      </c>
      <c r="N21" s="952">
        <f>main!DB24</f>
        <v>0</v>
      </c>
      <c r="O21" s="952">
        <f>main!DN24</f>
        <v>2519.2199999999998</v>
      </c>
      <c r="P21" s="952">
        <f>main!DO24</f>
        <v>0</v>
      </c>
    </row>
    <row r="22" spans="2:16" ht="75" x14ac:dyDescent="0.2">
      <c r="B22" s="952" t="str">
        <f>IF(main!B25&gt;0,main!B25,"")</f>
        <v>323405593</v>
      </c>
      <c r="C22" s="953" t="str">
        <f>IF(main!C25&gt;0,main!C25,"")</f>
        <v>פוליסת ביטוח חיים משולב חיסכון</v>
      </c>
      <c r="D22" s="953" t="str">
        <f>IF(main!E25&gt;0,main!E25,"")</f>
        <v>יותר</v>
      </c>
      <c r="E22" s="953">
        <f>main!ED25</f>
        <v>0</v>
      </c>
      <c r="F22" s="953">
        <f>main!DX25</f>
        <v>0</v>
      </c>
      <c r="G22" s="953">
        <f>main!DY25</f>
        <v>0</v>
      </c>
      <c r="H22" s="953">
        <f>main!CR25+main!CS25</f>
        <v>0</v>
      </c>
      <c r="I22" s="952">
        <f>main!CT25</f>
        <v>0</v>
      </c>
      <c r="J22" s="952">
        <f>main!CU25</f>
        <v>0</v>
      </c>
      <c r="K22" s="952">
        <f>main!CV25</f>
        <v>0</v>
      </c>
      <c r="L22" s="952">
        <f>main!CX25</f>
        <v>0</v>
      </c>
      <c r="M22" s="952">
        <f>main!CY25</f>
        <v>0</v>
      </c>
      <c r="N22" s="952">
        <f>main!DB25</f>
        <v>0</v>
      </c>
      <c r="O22" s="952">
        <f>main!DN25</f>
        <v>0</v>
      </c>
      <c r="P22" s="952">
        <f>main!DO25</f>
        <v>0</v>
      </c>
    </row>
    <row r="23" spans="2:16" ht="18.75" x14ac:dyDescent="0.2">
      <c r="B23" s="952" t="str">
        <f>IF(main!B26&gt;0,main!B26,"")</f>
        <v>056078603</v>
      </c>
      <c r="C23" s="953" t="str">
        <f>IF(main!C26&gt;0,main!C26,"")</f>
        <v>קרן פנסיה</v>
      </c>
      <c r="D23" s="953" t="str">
        <f>IF(main!E26&gt;0,main!E26,"")</f>
        <v>מקיפה</v>
      </c>
      <c r="E23" s="953">
        <f>main!ED26</f>
        <v>0</v>
      </c>
      <c r="F23" s="953">
        <f>main!DX26</f>
        <v>0</v>
      </c>
      <c r="G23" s="953">
        <f>main!DY26</f>
        <v>0</v>
      </c>
      <c r="H23" s="953">
        <f>main!CR26+main!CS26</f>
        <v>0</v>
      </c>
      <c r="I23" s="952">
        <f>main!CT26</f>
        <v>0</v>
      </c>
      <c r="J23" s="952">
        <f>main!CU26</f>
        <v>0</v>
      </c>
      <c r="K23" s="952">
        <f>main!CV26</f>
        <v>0</v>
      </c>
      <c r="L23" s="952">
        <f>main!CX26</f>
        <v>0</v>
      </c>
      <c r="M23" s="952">
        <f>main!CY26</f>
        <v>0</v>
      </c>
      <c r="N23" s="952">
        <f>main!DB26</f>
        <v>0</v>
      </c>
      <c r="O23" s="952">
        <f>main!DN26</f>
        <v>0</v>
      </c>
      <c r="P23" s="952">
        <f>main!DO26</f>
        <v>0</v>
      </c>
    </row>
    <row r="24" spans="2:16" ht="18.75" x14ac:dyDescent="0.2">
      <c r="B24" s="952" t="str">
        <f>IF(main!B27&gt;0,main!B27,"")</f>
        <v/>
      </c>
      <c r="C24" s="953" t="str">
        <f>IF(main!C27&gt;0,main!C27,"")</f>
        <v/>
      </c>
      <c r="D24" s="953" t="str">
        <f>IF(main!E27&gt;0,main!E27,"")</f>
        <v/>
      </c>
      <c r="E24" s="953">
        <f>main!ED27</f>
        <v>0</v>
      </c>
      <c r="F24" s="953">
        <f>main!DX27</f>
        <v>0</v>
      </c>
      <c r="G24" s="953">
        <f>main!DY27</f>
        <v>0</v>
      </c>
      <c r="H24" s="953">
        <f>main!CR27+main!CS27</f>
        <v>0</v>
      </c>
      <c r="I24" s="952">
        <f>main!CT27</f>
        <v>0</v>
      </c>
      <c r="J24" s="952">
        <f>main!CU27</f>
        <v>0</v>
      </c>
      <c r="K24" s="952">
        <f>main!CV27</f>
        <v>0</v>
      </c>
      <c r="L24" s="952">
        <f>main!CX27</f>
        <v>0</v>
      </c>
      <c r="M24" s="952">
        <f>main!CY27</f>
        <v>0</v>
      </c>
      <c r="N24" s="952">
        <f>main!DB27</f>
        <v>0</v>
      </c>
      <c r="O24" s="952">
        <f>main!DN27</f>
        <v>0</v>
      </c>
      <c r="P24" s="952">
        <f>main!DO27</f>
        <v>0</v>
      </c>
    </row>
    <row r="25" spans="2:16" ht="18.75" x14ac:dyDescent="0.2">
      <c r="B25" s="952" t="str">
        <f>IF(main!B28&gt;0,main!B28,"")</f>
        <v/>
      </c>
      <c r="C25" s="953" t="str">
        <f>IF(main!C28&gt;0,main!C28,"")</f>
        <v/>
      </c>
      <c r="D25" s="953" t="str">
        <f>IF(main!E28&gt;0,main!E28,"")</f>
        <v/>
      </c>
      <c r="E25" s="953">
        <f>main!ED28</f>
        <v>0</v>
      </c>
      <c r="F25" s="953">
        <f>main!DX28</f>
        <v>0</v>
      </c>
      <c r="G25" s="953">
        <f>main!DY28</f>
        <v>0</v>
      </c>
      <c r="H25" s="953">
        <f>main!CR28+main!CS28</f>
        <v>0</v>
      </c>
      <c r="I25" s="952">
        <f>main!CT28</f>
        <v>0</v>
      </c>
      <c r="J25" s="952">
        <f>main!CU28</f>
        <v>0</v>
      </c>
      <c r="K25" s="952">
        <f>main!CV28</f>
        <v>0</v>
      </c>
      <c r="L25" s="952">
        <f>main!CX28</f>
        <v>0</v>
      </c>
      <c r="M25" s="952">
        <f>main!CY28</f>
        <v>0</v>
      </c>
      <c r="N25" s="952">
        <f>main!DB28</f>
        <v>0</v>
      </c>
      <c r="O25" s="952">
        <f>main!DN28</f>
        <v>0</v>
      </c>
      <c r="P25" s="952">
        <f>main!DO28</f>
        <v>0</v>
      </c>
    </row>
    <row r="26" spans="2:16" ht="18.75" x14ac:dyDescent="0.2">
      <c r="B26" s="952" t="str">
        <f>IF(main!B29&gt;0,main!B29,"")</f>
        <v/>
      </c>
      <c r="C26" s="953" t="str">
        <f>IF(main!C29&gt;0,main!C29,"")</f>
        <v/>
      </c>
      <c r="D26" s="953" t="str">
        <f>IF(main!E29&gt;0,main!E29,"")</f>
        <v/>
      </c>
      <c r="E26" s="953">
        <f>main!ED29</f>
        <v>0</v>
      </c>
      <c r="F26" s="953">
        <f>main!DX29</f>
        <v>0</v>
      </c>
      <c r="G26" s="953">
        <f>main!DY29</f>
        <v>0</v>
      </c>
      <c r="H26" s="953">
        <f>main!CR29+main!CS29</f>
        <v>0</v>
      </c>
      <c r="I26" s="952">
        <f>main!CT29</f>
        <v>0</v>
      </c>
      <c r="J26" s="952">
        <f>main!CU29</f>
        <v>0</v>
      </c>
      <c r="K26" s="952">
        <f>main!CV29</f>
        <v>0</v>
      </c>
      <c r="L26" s="952">
        <f>main!CX29</f>
        <v>0</v>
      </c>
      <c r="M26" s="952">
        <f>main!CY29</f>
        <v>0</v>
      </c>
      <c r="N26" s="952">
        <f>main!DB29</f>
        <v>0</v>
      </c>
      <c r="O26" s="952">
        <f>main!DN29</f>
        <v>0</v>
      </c>
      <c r="P26" s="952">
        <f>main!DO29</f>
        <v>0</v>
      </c>
    </row>
    <row r="27" spans="2:16" ht="18.75" x14ac:dyDescent="0.2">
      <c r="B27" s="952" t="str">
        <f>IF(main!B30&gt;0,main!B30,"")</f>
        <v/>
      </c>
      <c r="C27" s="953" t="str">
        <f>IF(main!C30&gt;0,main!C30,"")</f>
        <v/>
      </c>
      <c r="D27" s="953" t="str">
        <f>IF(main!E30&gt;0,main!E30,"")</f>
        <v/>
      </c>
      <c r="E27" s="953">
        <f>main!ED30</f>
        <v>0</v>
      </c>
      <c r="F27" s="953">
        <f>main!DX30</f>
        <v>0</v>
      </c>
      <c r="G27" s="953">
        <f>main!DY30</f>
        <v>0</v>
      </c>
      <c r="H27" s="953">
        <f>main!CR30+main!CS30</f>
        <v>0</v>
      </c>
      <c r="I27" s="952">
        <f>main!CT30</f>
        <v>0</v>
      </c>
      <c r="J27" s="952">
        <f>main!CU30</f>
        <v>0</v>
      </c>
      <c r="K27" s="952">
        <f>main!CV30</f>
        <v>0</v>
      </c>
      <c r="L27" s="952">
        <f>main!CX30</f>
        <v>0</v>
      </c>
      <c r="M27" s="952">
        <f>main!CY30</f>
        <v>0</v>
      </c>
      <c r="N27" s="952">
        <f>main!DB30</f>
        <v>0</v>
      </c>
      <c r="O27" s="952">
        <f>main!DN30</f>
        <v>0</v>
      </c>
      <c r="P27" s="952">
        <f>main!DO30</f>
        <v>0</v>
      </c>
    </row>
    <row r="28" spans="2:16" ht="18.75" x14ac:dyDescent="0.2">
      <c r="B28" s="952" t="str">
        <f>IF(main!B31&gt;0,main!B31,"")</f>
        <v/>
      </c>
      <c r="C28" s="953" t="str">
        <f>IF(main!C31&gt;0,main!C31,"")</f>
        <v/>
      </c>
      <c r="D28" s="953" t="str">
        <f>IF(main!E31&gt;0,main!E31,"")</f>
        <v/>
      </c>
      <c r="E28" s="953">
        <f>main!ED31</f>
        <v>0</v>
      </c>
      <c r="F28" s="953">
        <f>main!DX31</f>
        <v>0</v>
      </c>
      <c r="G28" s="953">
        <f>main!DY31</f>
        <v>0</v>
      </c>
      <c r="H28" s="953">
        <f>main!CR31+main!CS31</f>
        <v>0</v>
      </c>
      <c r="I28" s="952">
        <f>main!CT31</f>
        <v>0</v>
      </c>
      <c r="J28" s="952">
        <f>main!CU31</f>
        <v>0</v>
      </c>
      <c r="K28" s="952">
        <f>main!CV31</f>
        <v>0</v>
      </c>
      <c r="L28" s="952">
        <f>main!CX31</f>
        <v>0</v>
      </c>
      <c r="M28" s="952">
        <f>main!CY31</f>
        <v>0</v>
      </c>
      <c r="N28" s="952">
        <f>main!DB31</f>
        <v>0</v>
      </c>
      <c r="O28" s="952">
        <f>main!DN31</f>
        <v>0</v>
      </c>
      <c r="P28" s="952">
        <f>main!DO31</f>
        <v>0</v>
      </c>
    </row>
    <row r="29" spans="2:16" ht="18.75" x14ac:dyDescent="0.2">
      <c r="B29" s="952" t="str">
        <f>IF(main!B32&gt;0,main!B32,"")</f>
        <v/>
      </c>
      <c r="C29" s="953" t="str">
        <f>IF(main!C32&gt;0,main!C32,"")</f>
        <v/>
      </c>
      <c r="D29" s="953" t="str">
        <f>IF(main!E32&gt;0,main!E32,"")</f>
        <v/>
      </c>
      <c r="E29" s="953">
        <f>main!ED32</f>
        <v>0</v>
      </c>
      <c r="F29" s="953">
        <f>main!DX32</f>
        <v>0</v>
      </c>
      <c r="G29" s="953">
        <f>main!DY32</f>
        <v>0</v>
      </c>
      <c r="H29" s="953">
        <f>main!CR32+main!CS32</f>
        <v>0</v>
      </c>
      <c r="I29" s="952">
        <f>main!CT32</f>
        <v>0</v>
      </c>
      <c r="J29" s="952">
        <f>main!CU32</f>
        <v>0</v>
      </c>
      <c r="K29" s="952">
        <f>main!CV32</f>
        <v>0</v>
      </c>
      <c r="L29" s="952">
        <f>main!CX32</f>
        <v>0</v>
      </c>
      <c r="M29" s="952">
        <f>main!CY32</f>
        <v>0</v>
      </c>
      <c r="N29" s="952">
        <f>main!DB32</f>
        <v>0</v>
      </c>
      <c r="O29" s="952">
        <f>main!DN32</f>
        <v>0</v>
      </c>
      <c r="P29" s="952">
        <f>main!DO32</f>
        <v>0</v>
      </c>
    </row>
    <row r="30" spans="2:16" ht="18.75" x14ac:dyDescent="0.2">
      <c r="B30" s="952" t="str">
        <f>IF(main!B33&gt;0,main!B33,"")</f>
        <v/>
      </c>
      <c r="C30" s="953" t="str">
        <f>IF(main!C33&gt;0,main!C33,"")</f>
        <v/>
      </c>
      <c r="D30" s="953" t="str">
        <f>IF(main!E33&gt;0,main!E33,"")</f>
        <v/>
      </c>
      <c r="E30" s="953">
        <f>main!ED33</f>
        <v>0</v>
      </c>
      <c r="F30" s="953">
        <f>main!DX33</f>
        <v>0</v>
      </c>
      <c r="G30" s="953">
        <f>main!DY33</f>
        <v>0</v>
      </c>
      <c r="H30" s="953">
        <f>main!CR33+main!CS33</f>
        <v>0</v>
      </c>
      <c r="I30" s="952">
        <f>main!CT33</f>
        <v>0</v>
      </c>
      <c r="J30" s="952">
        <f>main!CU33</f>
        <v>0</v>
      </c>
      <c r="K30" s="952">
        <f>main!CV33</f>
        <v>0</v>
      </c>
      <c r="L30" s="952">
        <f>main!CX33</f>
        <v>0</v>
      </c>
      <c r="M30" s="952">
        <f>main!CY33</f>
        <v>0</v>
      </c>
      <c r="N30" s="952">
        <f>main!DB33</f>
        <v>0</v>
      </c>
      <c r="O30" s="952">
        <f>main!DN33</f>
        <v>0</v>
      </c>
      <c r="P30" s="952">
        <f>main!DO33</f>
        <v>0</v>
      </c>
    </row>
    <row r="31" spans="2:16" ht="18.75" x14ac:dyDescent="0.2">
      <c r="B31" s="952" t="str">
        <f>IF(main!B34&gt;0,main!B34,"")</f>
        <v/>
      </c>
      <c r="C31" s="953" t="str">
        <f>IF(main!C34&gt;0,main!C34,"")</f>
        <v/>
      </c>
      <c r="D31" s="953" t="str">
        <f>IF(main!E34&gt;0,main!E34,"")</f>
        <v/>
      </c>
      <c r="E31" s="953">
        <f>main!ED34</f>
        <v>0</v>
      </c>
      <c r="F31" s="953">
        <f>main!DX34</f>
        <v>0</v>
      </c>
      <c r="G31" s="953">
        <f>main!DY34</f>
        <v>0</v>
      </c>
      <c r="H31" s="953">
        <f>main!CR34+main!CS34</f>
        <v>0</v>
      </c>
      <c r="I31" s="952">
        <f>main!CT34</f>
        <v>0</v>
      </c>
      <c r="J31" s="952">
        <f>main!CU34</f>
        <v>0</v>
      </c>
      <c r="K31" s="952">
        <f>main!CV34</f>
        <v>0</v>
      </c>
      <c r="L31" s="952">
        <f>main!CX34</f>
        <v>0</v>
      </c>
      <c r="M31" s="952">
        <f>main!CY34</f>
        <v>0</v>
      </c>
      <c r="N31" s="952">
        <f>main!DB34</f>
        <v>0</v>
      </c>
      <c r="O31" s="952">
        <f>main!DN34</f>
        <v>0</v>
      </c>
      <c r="P31" s="952">
        <f>main!DO34</f>
        <v>0</v>
      </c>
    </row>
    <row r="32" spans="2:16" ht="18.75" x14ac:dyDescent="0.2">
      <c r="B32" s="952" t="str">
        <f>IF(main!B35&gt;0,main!B35,"")</f>
        <v/>
      </c>
      <c r="C32" s="953" t="str">
        <f>IF(main!C35&gt;0,main!C35,"")</f>
        <v/>
      </c>
      <c r="D32" s="953" t="str">
        <f>IF(main!E35&gt;0,main!E35,"")</f>
        <v/>
      </c>
      <c r="E32" s="953">
        <f>main!ED35</f>
        <v>0</v>
      </c>
      <c r="F32" s="953">
        <f>main!DX35</f>
        <v>0</v>
      </c>
      <c r="G32" s="953">
        <f>main!DY35</f>
        <v>0</v>
      </c>
      <c r="H32" s="953">
        <f>main!CR35+main!CS35</f>
        <v>0</v>
      </c>
      <c r="I32" s="952">
        <f>main!CT35</f>
        <v>0</v>
      </c>
      <c r="J32" s="952">
        <f>main!CU35</f>
        <v>0</v>
      </c>
      <c r="K32" s="952">
        <f>main!CV35</f>
        <v>0</v>
      </c>
      <c r="L32" s="952">
        <f>main!CX35</f>
        <v>0</v>
      </c>
      <c r="M32" s="952">
        <f>main!CY35</f>
        <v>0</v>
      </c>
      <c r="N32" s="952">
        <f>main!DB35</f>
        <v>0</v>
      </c>
      <c r="O32" s="952">
        <f>main!DN35</f>
        <v>0</v>
      </c>
      <c r="P32" s="952">
        <f>main!DO35</f>
        <v>0</v>
      </c>
    </row>
    <row r="33" spans="2:16" ht="18.75" x14ac:dyDescent="0.2">
      <c r="B33" s="952" t="str">
        <f>IF(main!B36&gt;0,main!B36,"")</f>
        <v/>
      </c>
      <c r="C33" s="953" t="str">
        <f>IF(main!C36&gt;0,main!C36,"")</f>
        <v/>
      </c>
      <c r="D33" s="953" t="str">
        <f>IF(main!E36&gt;0,main!E36,"")</f>
        <v/>
      </c>
      <c r="E33" s="953">
        <f>main!ED36</f>
        <v>0</v>
      </c>
      <c r="F33" s="953">
        <f>main!DX36</f>
        <v>0</v>
      </c>
      <c r="G33" s="953">
        <f>main!DY36</f>
        <v>0</v>
      </c>
      <c r="H33" s="953">
        <f>main!CR36+main!CS36</f>
        <v>0</v>
      </c>
      <c r="I33" s="952">
        <f>main!CT36</f>
        <v>0</v>
      </c>
      <c r="J33" s="952">
        <f>main!CU36</f>
        <v>0</v>
      </c>
      <c r="K33" s="952">
        <f>main!CV36</f>
        <v>0</v>
      </c>
      <c r="L33" s="952">
        <f>main!CX36</f>
        <v>0</v>
      </c>
      <c r="M33" s="952">
        <f>main!CY36</f>
        <v>0</v>
      </c>
      <c r="N33" s="952">
        <f>main!DB36</f>
        <v>0</v>
      </c>
      <c r="O33" s="952">
        <f>main!DN36</f>
        <v>0</v>
      </c>
      <c r="P33" s="952">
        <f>main!DO36</f>
        <v>0</v>
      </c>
    </row>
    <row r="34" spans="2:16" ht="18.75" x14ac:dyDescent="0.2">
      <c r="B34" s="952" t="str">
        <f>IF(main!B37&gt;0,main!B37,"")</f>
        <v/>
      </c>
      <c r="C34" s="953" t="str">
        <f>IF(main!C37&gt;0,main!C37,"")</f>
        <v/>
      </c>
      <c r="D34" s="953" t="str">
        <f>IF(main!E37&gt;0,main!E37,"")</f>
        <v/>
      </c>
      <c r="E34" s="953">
        <f>main!ED37</f>
        <v>0</v>
      </c>
      <c r="F34" s="953">
        <f>main!DX37</f>
        <v>0</v>
      </c>
      <c r="G34" s="953">
        <f>main!DY37</f>
        <v>0</v>
      </c>
      <c r="H34" s="953">
        <f>main!CR37+main!CS37</f>
        <v>0</v>
      </c>
      <c r="I34" s="952">
        <f>main!CT37</f>
        <v>0</v>
      </c>
      <c r="J34" s="952">
        <f>main!CU37</f>
        <v>0</v>
      </c>
      <c r="K34" s="952">
        <f>main!CV37</f>
        <v>0</v>
      </c>
      <c r="L34" s="952">
        <f>main!CX37</f>
        <v>0</v>
      </c>
      <c r="M34" s="952">
        <f>main!CY37</f>
        <v>0</v>
      </c>
      <c r="N34" s="952">
        <f>main!DB37</f>
        <v>0</v>
      </c>
      <c r="O34" s="952">
        <f>main!DN37</f>
        <v>0</v>
      </c>
      <c r="P34" s="952">
        <f>main!DO37</f>
        <v>0</v>
      </c>
    </row>
    <row r="35" spans="2:16" ht="18.75" x14ac:dyDescent="0.2">
      <c r="B35" s="952" t="str">
        <f>IF(main!B38&gt;0,main!B38,"")</f>
        <v/>
      </c>
      <c r="C35" s="953" t="str">
        <f>IF(main!C38&gt;0,main!C38,"")</f>
        <v/>
      </c>
      <c r="D35" s="953" t="str">
        <f>IF(main!E38&gt;0,main!E38,"")</f>
        <v/>
      </c>
      <c r="E35" s="953">
        <f>main!ED38</f>
        <v>0</v>
      </c>
      <c r="F35" s="953">
        <f>main!DX38</f>
        <v>0</v>
      </c>
      <c r="G35" s="953">
        <f>main!DY38</f>
        <v>0</v>
      </c>
      <c r="H35" s="953">
        <f>main!CR38+main!CS38</f>
        <v>0</v>
      </c>
      <c r="I35" s="952">
        <f>main!CT38</f>
        <v>0</v>
      </c>
      <c r="J35" s="952">
        <f>main!CU38</f>
        <v>0</v>
      </c>
      <c r="K35" s="952">
        <f>main!CV38</f>
        <v>0</v>
      </c>
      <c r="L35" s="952">
        <f>main!CX38</f>
        <v>0</v>
      </c>
      <c r="M35" s="952">
        <f>main!CY38</f>
        <v>0</v>
      </c>
      <c r="N35" s="952">
        <f>main!DB38</f>
        <v>0</v>
      </c>
      <c r="O35" s="952">
        <f>main!DN38</f>
        <v>0</v>
      </c>
      <c r="P35" s="952">
        <f>main!DO38</f>
        <v>0</v>
      </c>
    </row>
    <row r="36" spans="2:16" ht="18.75" x14ac:dyDescent="0.2">
      <c r="B36" s="952" t="str">
        <f>IF(main!B39&gt;0,main!B39,"")</f>
        <v/>
      </c>
      <c r="C36" s="953" t="str">
        <f>IF(main!C39&gt;0,main!C39,"")</f>
        <v/>
      </c>
      <c r="D36" s="953" t="str">
        <f>IF(main!E39&gt;0,main!E39,"")</f>
        <v/>
      </c>
      <c r="E36" s="953">
        <f>main!ED39</f>
        <v>0</v>
      </c>
      <c r="F36" s="953">
        <f>main!DX39</f>
        <v>0</v>
      </c>
      <c r="G36" s="953">
        <f>main!DY39</f>
        <v>0</v>
      </c>
      <c r="H36" s="953">
        <f>main!CR39+main!CS39</f>
        <v>0</v>
      </c>
      <c r="I36" s="952">
        <f>main!CT39</f>
        <v>0</v>
      </c>
      <c r="J36" s="952">
        <f>main!CU39</f>
        <v>0</v>
      </c>
      <c r="K36" s="952">
        <f>main!CV39</f>
        <v>0</v>
      </c>
      <c r="L36" s="952">
        <f>main!CX39</f>
        <v>0</v>
      </c>
      <c r="M36" s="952">
        <f>main!CY39</f>
        <v>0</v>
      </c>
      <c r="N36" s="952">
        <f>main!DB39</f>
        <v>0</v>
      </c>
      <c r="O36" s="952">
        <f>main!DN39</f>
        <v>0</v>
      </c>
      <c r="P36" s="952">
        <f>main!DO39</f>
        <v>0</v>
      </c>
    </row>
    <row r="37" spans="2:16" ht="18.75" x14ac:dyDescent="0.2">
      <c r="B37" s="952" t="str">
        <f>IF(main!B40&gt;0,main!B40,"")</f>
        <v/>
      </c>
      <c r="C37" s="953" t="str">
        <f>IF(main!C40&gt;0,main!C40,"")</f>
        <v/>
      </c>
      <c r="D37" s="953" t="str">
        <f>IF(main!E40&gt;0,main!E40,"")</f>
        <v/>
      </c>
      <c r="E37" s="953">
        <f>main!ED40</f>
        <v>0</v>
      </c>
      <c r="F37" s="953">
        <f>main!DX40</f>
        <v>0</v>
      </c>
      <c r="G37" s="953">
        <f>main!DY40</f>
        <v>0</v>
      </c>
      <c r="H37" s="953">
        <f>main!CR40+main!CS40</f>
        <v>0</v>
      </c>
      <c r="I37" s="952">
        <f>main!CT40</f>
        <v>0</v>
      </c>
      <c r="J37" s="952">
        <f>main!CU40</f>
        <v>0</v>
      </c>
      <c r="K37" s="952">
        <f>main!CV40</f>
        <v>0</v>
      </c>
      <c r="L37" s="952">
        <f>main!CX40</f>
        <v>0</v>
      </c>
      <c r="M37" s="952">
        <f>main!CY40</f>
        <v>0</v>
      </c>
      <c r="N37" s="952">
        <f>main!DB40</f>
        <v>0</v>
      </c>
      <c r="O37" s="952">
        <f>main!DN40</f>
        <v>0</v>
      </c>
      <c r="P37" s="952">
        <f>main!DO40</f>
        <v>0</v>
      </c>
    </row>
    <row r="38" spans="2:16" ht="18.75" x14ac:dyDescent="0.2">
      <c r="B38" s="952" t="str">
        <f>IF(main!B41&gt;0,main!B41,"")</f>
        <v/>
      </c>
      <c r="C38" s="953" t="str">
        <f>IF(main!C41&gt;0,main!C41,"")</f>
        <v/>
      </c>
      <c r="D38" s="953" t="str">
        <f>IF(main!E41&gt;0,main!E41,"")</f>
        <v/>
      </c>
      <c r="E38" s="953">
        <f>main!ED41</f>
        <v>0</v>
      </c>
      <c r="F38" s="953">
        <f>main!DX41</f>
        <v>0</v>
      </c>
      <c r="G38" s="953">
        <f>main!DY41</f>
        <v>0</v>
      </c>
      <c r="H38" s="953">
        <f>main!CR41+main!CS41</f>
        <v>0</v>
      </c>
      <c r="I38" s="952">
        <f>main!CT41</f>
        <v>0</v>
      </c>
      <c r="J38" s="952">
        <f>main!CU41</f>
        <v>0</v>
      </c>
      <c r="K38" s="952">
        <f>main!CV41</f>
        <v>0</v>
      </c>
      <c r="L38" s="952">
        <f>main!CX41</f>
        <v>0</v>
      </c>
      <c r="M38" s="952">
        <f>main!CY41</f>
        <v>0</v>
      </c>
      <c r="N38" s="952">
        <f>main!DB41</f>
        <v>0</v>
      </c>
      <c r="O38" s="952">
        <f>main!DN41</f>
        <v>0</v>
      </c>
      <c r="P38" s="952">
        <f>main!DO41</f>
        <v>0</v>
      </c>
    </row>
    <row r="39" spans="2:16" ht="18.75" x14ac:dyDescent="0.2">
      <c r="B39" s="952" t="str">
        <f>IF(main!B42&gt;0,main!B42,"")</f>
        <v/>
      </c>
      <c r="C39" s="953" t="str">
        <f>IF(main!C42&gt;0,main!C42,"")</f>
        <v/>
      </c>
      <c r="D39" s="953" t="str">
        <f>IF(main!E42&gt;0,main!E42,"")</f>
        <v/>
      </c>
      <c r="E39" s="953">
        <f>main!ED42</f>
        <v>0</v>
      </c>
      <c r="F39" s="953">
        <f>main!DX42</f>
        <v>0</v>
      </c>
      <c r="G39" s="953">
        <f>main!DY42</f>
        <v>0</v>
      </c>
      <c r="H39" s="953">
        <f>main!CR42+main!CS42</f>
        <v>0</v>
      </c>
      <c r="I39" s="952">
        <f>main!CT42</f>
        <v>0</v>
      </c>
      <c r="J39" s="952">
        <f>main!CU42</f>
        <v>0</v>
      </c>
      <c r="K39" s="952">
        <f>main!CV42</f>
        <v>0</v>
      </c>
      <c r="L39" s="952">
        <f>main!CX42</f>
        <v>0</v>
      </c>
      <c r="M39" s="952">
        <f>main!CY42</f>
        <v>0</v>
      </c>
      <c r="N39" s="952">
        <f>main!DB42</f>
        <v>0</v>
      </c>
      <c r="O39" s="952">
        <f>main!DN42</f>
        <v>0</v>
      </c>
      <c r="P39" s="952">
        <f>main!DO42</f>
        <v>0</v>
      </c>
    </row>
    <row r="40" spans="2:16" ht="18.75" x14ac:dyDescent="0.2">
      <c r="B40" s="952" t="str">
        <f>IF(main!B43&gt;0,main!B43,"")</f>
        <v/>
      </c>
      <c r="C40" s="953" t="str">
        <f>IF(main!C43&gt;0,main!C43,"")</f>
        <v/>
      </c>
      <c r="D40" s="953" t="str">
        <f>IF(main!E43&gt;0,main!E43,"")</f>
        <v/>
      </c>
      <c r="E40" s="953">
        <f>main!ED43</f>
        <v>0</v>
      </c>
      <c r="F40" s="953">
        <f>main!DX43</f>
        <v>0</v>
      </c>
      <c r="G40" s="953">
        <f>main!DY43</f>
        <v>0</v>
      </c>
      <c r="H40" s="953">
        <f>main!CR43+main!CS43</f>
        <v>0</v>
      </c>
      <c r="I40" s="952">
        <f>main!CT43</f>
        <v>0</v>
      </c>
      <c r="J40" s="952">
        <f>main!CU43</f>
        <v>0</v>
      </c>
      <c r="K40" s="952">
        <f>main!CV43</f>
        <v>0</v>
      </c>
      <c r="L40" s="952">
        <f>main!CX43</f>
        <v>0</v>
      </c>
      <c r="M40" s="952">
        <f>main!CY43</f>
        <v>0</v>
      </c>
      <c r="N40" s="952">
        <f>main!DB43</f>
        <v>0</v>
      </c>
      <c r="O40" s="952">
        <f>main!DN43</f>
        <v>0</v>
      </c>
      <c r="P40" s="952">
        <f>main!DO43</f>
        <v>0</v>
      </c>
    </row>
    <row r="41" spans="2:16" ht="18.75" x14ac:dyDescent="0.2">
      <c r="B41" s="952" t="str">
        <f>IF(main!B44&gt;0,main!B44,"")</f>
        <v/>
      </c>
      <c r="C41" s="953" t="str">
        <f>IF(main!C44&gt;0,main!C44,"")</f>
        <v/>
      </c>
      <c r="D41" s="953" t="str">
        <f>IF(main!E44&gt;0,main!E44,"")</f>
        <v/>
      </c>
      <c r="E41" s="953">
        <f>main!ED44</f>
        <v>0</v>
      </c>
      <c r="F41" s="953">
        <f>main!DX44</f>
        <v>0</v>
      </c>
      <c r="G41" s="953">
        <f>main!DY44</f>
        <v>0</v>
      </c>
      <c r="H41" s="953">
        <f>main!CR44+main!CS44</f>
        <v>0</v>
      </c>
      <c r="I41" s="952">
        <f>main!CT44</f>
        <v>0</v>
      </c>
      <c r="J41" s="952">
        <f>main!CU44</f>
        <v>0</v>
      </c>
      <c r="K41" s="952">
        <f>main!CV44</f>
        <v>0</v>
      </c>
      <c r="L41" s="952">
        <f>main!CX44</f>
        <v>0</v>
      </c>
      <c r="M41" s="952">
        <f>main!CY44</f>
        <v>0</v>
      </c>
      <c r="N41" s="952">
        <f>main!DB44</f>
        <v>0</v>
      </c>
      <c r="O41" s="952">
        <f>main!DN44</f>
        <v>0</v>
      </c>
      <c r="P41" s="952">
        <f>main!DO44</f>
        <v>0</v>
      </c>
    </row>
    <row r="42" spans="2:16" ht="18.75" x14ac:dyDescent="0.2">
      <c r="B42" s="952" t="str">
        <f>IF(main!B45&gt;0,main!B45,"")</f>
        <v/>
      </c>
      <c r="C42" s="953" t="str">
        <f>IF(main!C45&gt;0,main!C45,"")</f>
        <v/>
      </c>
      <c r="D42" s="953" t="str">
        <f>IF(main!E45&gt;0,main!E45,"")</f>
        <v/>
      </c>
      <c r="E42" s="953">
        <f>main!ED45</f>
        <v>0</v>
      </c>
      <c r="F42" s="953">
        <f>main!DX45</f>
        <v>0</v>
      </c>
      <c r="G42" s="953">
        <f>main!DY45</f>
        <v>0</v>
      </c>
      <c r="H42" s="953">
        <f>main!CR45+main!CS45</f>
        <v>0</v>
      </c>
      <c r="I42" s="952">
        <f>main!CT45</f>
        <v>0</v>
      </c>
      <c r="J42" s="952">
        <f>main!CU45</f>
        <v>0</v>
      </c>
      <c r="K42" s="952">
        <f>main!CV45</f>
        <v>0</v>
      </c>
      <c r="L42" s="952">
        <f>main!CX45</f>
        <v>0</v>
      </c>
      <c r="M42" s="952">
        <f>main!CY45</f>
        <v>0</v>
      </c>
      <c r="N42" s="952">
        <f>main!DB45</f>
        <v>0</v>
      </c>
      <c r="O42" s="952">
        <f>main!DN45</f>
        <v>0</v>
      </c>
      <c r="P42" s="952">
        <f>main!DO45</f>
        <v>0</v>
      </c>
    </row>
    <row r="43" spans="2:16" ht="18.75" x14ac:dyDescent="0.2">
      <c r="B43" s="952" t="str">
        <f>IF(main!B46&gt;0,main!B46,"")</f>
        <v/>
      </c>
      <c r="C43" s="953" t="str">
        <f>IF(main!C46&gt;0,main!C46,"")</f>
        <v/>
      </c>
      <c r="D43" s="953" t="str">
        <f>IF(main!E46&gt;0,main!E46,"")</f>
        <v/>
      </c>
      <c r="E43" s="953">
        <f>main!ED46</f>
        <v>0</v>
      </c>
      <c r="F43" s="953">
        <f>main!DX46</f>
        <v>0</v>
      </c>
      <c r="G43" s="953">
        <f>main!DY46</f>
        <v>0</v>
      </c>
      <c r="H43" s="953">
        <f>main!CR46+main!CS46</f>
        <v>0</v>
      </c>
      <c r="I43" s="952">
        <f>main!CT46</f>
        <v>0</v>
      </c>
      <c r="J43" s="952">
        <f>main!CU46</f>
        <v>0</v>
      </c>
      <c r="K43" s="952">
        <f>main!CV46</f>
        <v>0</v>
      </c>
      <c r="L43" s="952">
        <f>main!CX46</f>
        <v>0</v>
      </c>
      <c r="M43" s="952">
        <f>main!CY46</f>
        <v>0</v>
      </c>
      <c r="N43" s="952">
        <f>main!DB46</f>
        <v>0</v>
      </c>
      <c r="O43" s="952">
        <f>main!DN46</f>
        <v>0</v>
      </c>
      <c r="P43" s="952">
        <f>main!DO46</f>
        <v>0</v>
      </c>
    </row>
    <row r="44" spans="2:16" ht="18.75" x14ac:dyDescent="0.2">
      <c r="B44" s="952" t="str">
        <f>IF(main!B47&gt;0,main!B47,"")</f>
        <v/>
      </c>
      <c r="C44" s="953" t="str">
        <f>IF(main!C47&gt;0,main!C47,"")</f>
        <v/>
      </c>
      <c r="D44" s="953" t="str">
        <f>IF(main!E47&gt;0,main!E47,"")</f>
        <v/>
      </c>
      <c r="E44" s="953">
        <f>main!ED47</f>
        <v>0</v>
      </c>
      <c r="F44" s="953">
        <f>main!DX47</f>
        <v>0</v>
      </c>
      <c r="G44" s="953">
        <f>main!DY47</f>
        <v>0</v>
      </c>
      <c r="H44" s="953">
        <f>main!CR47+main!CS47</f>
        <v>0</v>
      </c>
      <c r="I44" s="952">
        <f>main!CT47</f>
        <v>0</v>
      </c>
      <c r="J44" s="952">
        <f>main!CU47</f>
        <v>0</v>
      </c>
      <c r="K44" s="952">
        <f>main!CV47</f>
        <v>0</v>
      </c>
      <c r="L44" s="952">
        <f>main!CX47</f>
        <v>0</v>
      </c>
      <c r="M44" s="952">
        <f>main!CY47</f>
        <v>0</v>
      </c>
      <c r="N44" s="952">
        <f>main!DB47</f>
        <v>0</v>
      </c>
      <c r="O44" s="952">
        <f>main!DN47</f>
        <v>0</v>
      </c>
      <c r="P44" s="952">
        <f>main!DO47</f>
        <v>0</v>
      </c>
    </row>
    <row r="45" spans="2:16" ht="18.75" x14ac:dyDescent="0.2">
      <c r="B45" s="952" t="str">
        <f>IF(main!B48&gt;0,main!B48,"")</f>
        <v/>
      </c>
      <c r="C45" s="953" t="str">
        <f>IF(main!C48&gt;0,main!C48,"")</f>
        <v/>
      </c>
      <c r="D45" s="953" t="str">
        <f>IF(main!E48&gt;0,main!E48,"")</f>
        <v/>
      </c>
      <c r="E45" s="953">
        <f>main!ED48</f>
        <v>0</v>
      </c>
      <c r="F45" s="953">
        <f>main!DX48</f>
        <v>0</v>
      </c>
      <c r="G45" s="953">
        <f>main!DY48</f>
        <v>0</v>
      </c>
      <c r="H45" s="953">
        <f>main!CR48+main!CS48</f>
        <v>0</v>
      </c>
      <c r="I45" s="952">
        <f>main!CT48</f>
        <v>0</v>
      </c>
      <c r="J45" s="952">
        <f>main!CU48</f>
        <v>0</v>
      </c>
      <c r="K45" s="952">
        <f>main!CV48</f>
        <v>0</v>
      </c>
      <c r="L45" s="952">
        <f>main!CX48</f>
        <v>0</v>
      </c>
      <c r="M45" s="952">
        <f>main!CY48</f>
        <v>0</v>
      </c>
      <c r="N45" s="952">
        <f>main!DB48</f>
        <v>0</v>
      </c>
      <c r="O45" s="952">
        <f>main!DN48</f>
        <v>0</v>
      </c>
      <c r="P45" s="952">
        <f>main!DO48</f>
        <v>0</v>
      </c>
    </row>
    <row r="46" spans="2:16" ht="18.75" x14ac:dyDescent="0.2">
      <c r="B46" s="952" t="str">
        <f>IF(main!B49&gt;0,main!B49,"")</f>
        <v/>
      </c>
      <c r="C46" s="953" t="str">
        <f>IF(main!C49&gt;0,main!C49,"")</f>
        <v/>
      </c>
      <c r="D46" s="953" t="str">
        <f>IF(main!E49&gt;0,main!E49,"")</f>
        <v/>
      </c>
      <c r="E46" s="953">
        <f>main!ED49</f>
        <v>0</v>
      </c>
      <c r="F46" s="953">
        <f>main!DX49</f>
        <v>0</v>
      </c>
      <c r="G46" s="953">
        <f>main!DY49</f>
        <v>0</v>
      </c>
      <c r="H46" s="953">
        <f>main!CR49+main!CS49</f>
        <v>0</v>
      </c>
      <c r="I46" s="952">
        <f>main!CT49</f>
        <v>0</v>
      </c>
      <c r="J46" s="952">
        <f>main!CU49</f>
        <v>0</v>
      </c>
      <c r="K46" s="952">
        <f>main!CV49</f>
        <v>0</v>
      </c>
      <c r="L46" s="952">
        <f>main!CX49</f>
        <v>0</v>
      </c>
      <c r="M46" s="952">
        <f>main!CY49</f>
        <v>0</v>
      </c>
      <c r="N46" s="952">
        <f>main!DB49</f>
        <v>0</v>
      </c>
      <c r="O46" s="952">
        <f>main!DN49</f>
        <v>0</v>
      </c>
      <c r="P46" s="952">
        <f>main!DO49</f>
        <v>0</v>
      </c>
    </row>
    <row r="47" spans="2:16" ht="18.75" x14ac:dyDescent="0.2">
      <c r="B47" s="952" t="str">
        <f>IF(main!B50&gt;0,main!B50,"")</f>
        <v/>
      </c>
      <c r="C47" s="953" t="str">
        <f>IF(main!C50&gt;0,main!C50,"")</f>
        <v/>
      </c>
      <c r="D47" s="953" t="str">
        <f>IF(main!E50&gt;0,main!E50,"")</f>
        <v/>
      </c>
      <c r="E47" s="953">
        <f>main!ED50</f>
        <v>0</v>
      </c>
      <c r="F47" s="953">
        <f>main!DX50</f>
        <v>0</v>
      </c>
      <c r="G47" s="953">
        <f>main!DY50</f>
        <v>0</v>
      </c>
      <c r="H47" s="953">
        <f>main!CR50+main!CS50</f>
        <v>0</v>
      </c>
      <c r="I47" s="952">
        <f>main!CT50</f>
        <v>0</v>
      </c>
      <c r="J47" s="952">
        <f>main!CU50</f>
        <v>0</v>
      </c>
      <c r="K47" s="952">
        <f>main!CV50</f>
        <v>0</v>
      </c>
      <c r="L47" s="952">
        <f>main!CX50</f>
        <v>0</v>
      </c>
      <c r="M47" s="952">
        <f>main!CY50</f>
        <v>0</v>
      </c>
      <c r="N47" s="952">
        <f>main!DB50</f>
        <v>0</v>
      </c>
      <c r="O47" s="952">
        <f>main!DN50</f>
        <v>0</v>
      </c>
      <c r="P47" s="952">
        <f>main!DO50</f>
        <v>0</v>
      </c>
    </row>
    <row r="48" spans="2:16" ht="18.75" x14ac:dyDescent="0.2">
      <c r="B48" s="952" t="str">
        <f>IF(main!B51&gt;0,main!B51,"")</f>
        <v/>
      </c>
      <c r="C48" s="953" t="str">
        <f>IF(main!C51&gt;0,main!C51,"")</f>
        <v/>
      </c>
      <c r="D48" s="953" t="str">
        <f>IF(main!E51&gt;0,main!E51,"")</f>
        <v/>
      </c>
      <c r="E48" s="953">
        <f>main!ED51</f>
        <v>0</v>
      </c>
      <c r="F48" s="953">
        <f>main!DX51</f>
        <v>0</v>
      </c>
      <c r="G48" s="953">
        <f>main!DY51</f>
        <v>0</v>
      </c>
      <c r="H48" s="953">
        <f>main!CR51+main!CS51</f>
        <v>0</v>
      </c>
      <c r="I48" s="952">
        <f>main!CT51</f>
        <v>0</v>
      </c>
      <c r="J48" s="952">
        <f>main!CU51</f>
        <v>0</v>
      </c>
      <c r="K48" s="952">
        <f>main!CV51</f>
        <v>0</v>
      </c>
      <c r="L48" s="952">
        <f>main!CX51</f>
        <v>0</v>
      </c>
      <c r="M48" s="952">
        <f>main!CY51</f>
        <v>0</v>
      </c>
      <c r="N48" s="952">
        <f>main!DB51</f>
        <v>0</v>
      </c>
      <c r="O48" s="952">
        <f>main!DN51</f>
        <v>0</v>
      </c>
      <c r="P48" s="952">
        <f>main!DO51</f>
        <v>0</v>
      </c>
    </row>
    <row r="49" spans="2:16" ht="19.5" thickBot="1" x14ac:dyDescent="0.25">
      <c r="B49" s="952" t="str">
        <f>IF(main!B52&gt;0,main!B52,"")</f>
        <v/>
      </c>
      <c r="C49" s="953" t="str">
        <f>IF(main!C52&gt;0,main!C52,"")</f>
        <v/>
      </c>
      <c r="D49" s="953" t="str">
        <f>IF(main!E52&gt;0,main!E52,"")</f>
        <v/>
      </c>
      <c r="E49" s="953">
        <f>main!ED52</f>
        <v>0</v>
      </c>
      <c r="F49" s="953">
        <f>main!DX52</f>
        <v>0</v>
      </c>
      <c r="G49" s="953">
        <f>main!DY52</f>
        <v>0</v>
      </c>
      <c r="H49" s="953">
        <f>main!CR52+main!CS52</f>
        <v>0</v>
      </c>
      <c r="I49" s="952">
        <f>main!CT52</f>
        <v>0</v>
      </c>
      <c r="J49" s="952">
        <f>main!CU52</f>
        <v>0</v>
      </c>
      <c r="K49" s="952">
        <f>main!CV52</f>
        <v>0</v>
      </c>
      <c r="L49" s="952">
        <f>main!CX52</f>
        <v>0</v>
      </c>
      <c r="M49" s="952">
        <f>main!CY52</f>
        <v>0</v>
      </c>
      <c r="N49" s="952">
        <f>main!DB52</f>
        <v>0</v>
      </c>
      <c r="O49" s="952">
        <f>main!DN52</f>
        <v>0</v>
      </c>
      <c r="P49" s="952">
        <f>main!DO52</f>
        <v>0</v>
      </c>
    </row>
    <row r="50" spans="2:16" ht="29.25" thickTop="1" thickBot="1" x14ac:dyDescent="0.25">
      <c r="B50" s="954"/>
      <c r="C50" s="974"/>
      <c r="D50" s="956"/>
      <c r="E50" s="960">
        <f>SUM(E6:E49)</f>
        <v>713.34</v>
      </c>
      <c r="F50" s="960"/>
      <c r="G50" s="960">
        <f>SUM(G6:G49)</f>
        <v>211.62</v>
      </c>
      <c r="H50" s="960">
        <f>SUM(H6:H49)</f>
        <v>1</v>
      </c>
      <c r="I50" s="960">
        <f>SUM(I6:I49)</f>
        <v>0</v>
      </c>
      <c r="J50" s="960">
        <f t="shared" ref="J50:N50" si="0">SUM(J6:J49)</f>
        <v>0</v>
      </c>
      <c r="K50" s="960">
        <f t="shared" si="0"/>
        <v>0</v>
      </c>
      <c r="L50" s="960">
        <f t="shared" si="0"/>
        <v>0</v>
      </c>
      <c r="M50" s="960">
        <f t="shared" si="0"/>
        <v>0</v>
      </c>
      <c r="N50" s="960">
        <f t="shared" si="0"/>
        <v>0</v>
      </c>
      <c r="O50" s="960">
        <f>SUM(O6:O49)</f>
        <v>2628.3399999999997</v>
      </c>
      <c r="P50" s="960">
        <f>SUM(P6:P49)</f>
        <v>166.41</v>
      </c>
    </row>
    <row r="51" spans="2:16" ht="19.5" thickTop="1" x14ac:dyDescent="0.2">
      <c r="B51" s="961"/>
      <c r="C51" s="961"/>
      <c r="D51" s="961"/>
      <c r="E51" s="962"/>
      <c r="F51" s="962"/>
      <c r="G51" s="962"/>
      <c r="H51" s="962"/>
      <c r="I51" s="962"/>
      <c r="J51" s="962"/>
      <c r="L51" s="964"/>
      <c r="M51" s="964"/>
      <c r="N51" s="964"/>
      <c r="O51" s="965">
        <v>0</v>
      </c>
      <c r="P51" s="962"/>
    </row>
  </sheetData>
  <pageMargins left="0.11811023622047245" right="0.19685039370078741" top="0.74803149606299213" bottom="0.74803149606299213" header="0.31496062992125984" footer="0.31496062992125984"/>
  <pageSetup paperSize="9" orientation="landscape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13">
    <tabColor indexed="52"/>
  </sheetPr>
  <dimension ref="A1:I159"/>
  <sheetViews>
    <sheetView rightToLeft="1" zoomScaleNormal="100" workbookViewId="0">
      <pane ySplit="3" topLeftCell="A4" activePane="bottomLeft" state="frozen"/>
      <selection activeCell="AL8" sqref="AL8"/>
      <selection pane="bottomLeft" activeCell="AL8" sqref="AL8"/>
    </sheetView>
  </sheetViews>
  <sheetFormatPr defaultRowHeight="12.75" x14ac:dyDescent="0.2"/>
  <cols>
    <col min="1" max="1" width="5.5703125" style="213" customWidth="1"/>
    <col min="2" max="2" width="118.7109375" style="178" customWidth="1"/>
    <col min="3" max="3" width="9.140625" style="178"/>
    <col min="4" max="4" width="10.140625" style="178" bestFit="1" customWidth="1"/>
    <col min="5" max="5" width="16.140625" style="178" bestFit="1" customWidth="1"/>
    <col min="6" max="16384" width="9.140625" style="178"/>
  </cols>
  <sheetData>
    <row r="1" spans="1:9" s="185" customFormat="1" x14ac:dyDescent="0.2">
      <c r="A1" s="200"/>
    </row>
    <row r="2" spans="1:9" s="202" customFormat="1" x14ac:dyDescent="0.2">
      <c r="A2" s="201"/>
    </row>
    <row r="3" spans="1:9" ht="30" customHeight="1" x14ac:dyDescent="0.2">
      <c r="A3" s="186" t="s">
        <v>522</v>
      </c>
      <c r="B3" s="187" t="s">
        <v>502</v>
      </c>
      <c r="D3" s="203" t="s">
        <v>523</v>
      </c>
      <c r="E3" s="203" t="s">
        <v>524</v>
      </c>
      <c r="F3" s="204"/>
      <c r="G3" s="204"/>
      <c r="H3" s="204"/>
      <c r="I3" s="204"/>
    </row>
    <row r="4" spans="1:9" s="207" customFormat="1" ht="25.15" customHeight="1" x14ac:dyDescent="0.25">
      <c r="A4" s="205" t="s">
        <v>525</v>
      </c>
      <c r="B4" s="206" t="s">
        <v>526</v>
      </c>
      <c r="D4" s="208">
        <v>0</v>
      </c>
      <c r="E4" s="209">
        <v>0</v>
      </c>
      <c r="F4" s="210"/>
      <c r="G4" s="210"/>
      <c r="H4" s="210"/>
      <c r="I4" s="210"/>
    </row>
    <row r="5" spans="1:9" s="207" customFormat="1" ht="25.15" customHeight="1" x14ac:dyDescent="0.25">
      <c r="A5" s="205" t="s">
        <v>527</v>
      </c>
      <c r="B5" s="206" t="s">
        <v>528</v>
      </c>
      <c r="D5" s="210"/>
      <c r="E5" s="210"/>
      <c r="F5" s="210"/>
      <c r="G5" s="210"/>
      <c r="H5" s="210"/>
      <c r="I5" s="210"/>
    </row>
    <row r="6" spans="1:9" s="207" customFormat="1" ht="25.15" customHeight="1" x14ac:dyDescent="0.25">
      <c r="A6" s="205" t="s">
        <v>529</v>
      </c>
      <c r="B6" s="206" t="s">
        <v>530</v>
      </c>
    </row>
    <row r="7" spans="1:9" s="207" customFormat="1" ht="25.15" customHeight="1" x14ac:dyDescent="0.25">
      <c r="A7" s="205" t="s">
        <v>512</v>
      </c>
      <c r="B7" s="206" t="s">
        <v>531</v>
      </c>
    </row>
    <row r="8" spans="1:9" s="207" customFormat="1" ht="25.15" customHeight="1" x14ac:dyDescent="0.25">
      <c r="A8" s="205" t="s">
        <v>532</v>
      </c>
      <c r="B8" s="206" t="s">
        <v>533</v>
      </c>
    </row>
    <row r="9" spans="1:9" s="207" customFormat="1" ht="25.15" customHeight="1" x14ac:dyDescent="0.25">
      <c r="A9" s="205" t="s">
        <v>511</v>
      </c>
      <c r="B9" s="206" t="s">
        <v>534</v>
      </c>
    </row>
    <row r="10" spans="1:9" s="207" customFormat="1" ht="25.15" customHeight="1" x14ac:dyDescent="0.25">
      <c r="A10" s="205" t="s">
        <v>535</v>
      </c>
      <c r="B10" s="206" t="s">
        <v>536</v>
      </c>
    </row>
    <row r="11" spans="1:9" s="207" customFormat="1" ht="25.15" customHeight="1" x14ac:dyDescent="0.25">
      <c r="A11" s="205" t="str">
        <f>IF('דווח ביטוחים'!R6&lt;&gt;"",'דווח ביטוחים'!R6,"")</f>
        <v xml:space="preserve"> </v>
      </c>
      <c r="B11" s="206"/>
    </row>
    <row r="12" spans="1:9" s="207" customFormat="1" ht="25.15" customHeight="1" x14ac:dyDescent="0.25">
      <c r="A12" s="205" t="str">
        <f>IF('דווח ביטוחים'!R7&lt;&gt;"",'דווח ביטוחים'!R7,"")</f>
        <v xml:space="preserve"> </v>
      </c>
      <c r="B12" s="206"/>
    </row>
    <row r="13" spans="1:9" s="207" customFormat="1" ht="25.15" customHeight="1" x14ac:dyDescent="0.25">
      <c r="A13" s="205" t="str">
        <f>IF('דווח ביטוחים'!R8&lt;&gt;"",'דווח ביטוחים'!R8,"")</f>
        <v xml:space="preserve"> </v>
      </c>
      <c r="B13" s="206"/>
    </row>
    <row r="14" spans="1:9" s="207" customFormat="1" ht="25.15" customHeight="1" x14ac:dyDescent="0.25">
      <c r="A14" s="205" t="str">
        <f>IF('דווח ביטוחים'!R9&lt;&gt;"",'דווח ביטוחים'!R9,"")</f>
        <v xml:space="preserve"> </v>
      </c>
      <c r="B14" s="206"/>
    </row>
    <row r="15" spans="1:9" s="207" customFormat="1" ht="25.15" customHeight="1" x14ac:dyDescent="0.25">
      <c r="A15" s="205" t="str">
        <f>IF('דווח ביטוחים'!R10&lt;&gt;"",'דווח ביטוחים'!R10,"")</f>
        <v xml:space="preserve"> </v>
      </c>
      <c r="B15" s="206"/>
    </row>
    <row r="16" spans="1:9" s="207" customFormat="1" ht="25.15" customHeight="1" x14ac:dyDescent="0.25">
      <c r="A16" s="205" t="str">
        <f>IF('דווח ביטוחים'!R11&lt;&gt;"",'דווח ביטוחים'!R11,"")</f>
        <v xml:space="preserve"> </v>
      </c>
      <c r="B16" s="206"/>
    </row>
    <row r="17" spans="1:2" s="207" customFormat="1" ht="25.15" customHeight="1" x14ac:dyDescent="0.25">
      <c r="A17" s="205" t="str">
        <f>IF('דווח ביטוחים'!R12&lt;&gt;"",'דווח ביטוחים'!R12,"")</f>
        <v xml:space="preserve"> </v>
      </c>
      <c r="B17" s="206"/>
    </row>
    <row r="18" spans="1:2" s="207" customFormat="1" ht="25.15" customHeight="1" x14ac:dyDescent="0.25">
      <c r="A18" s="205" t="str">
        <f>IF('דווח ביטוחים'!R13&lt;&gt;"",'דווח ביטוחים'!R13,"")</f>
        <v xml:space="preserve"> </v>
      </c>
      <c r="B18" s="206"/>
    </row>
    <row r="19" spans="1:2" s="207" customFormat="1" ht="25.15" customHeight="1" x14ac:dyDescent="0.25">
      <c r="A19" s="205" t="str">
        <f>IF('דווח ביטוחים'!R14&lt;&gt;"",'דווח ביטוחים'!R14,"")</f>
        <v xml:space="preserve"> </v>
      </c>
      <c r="B19" s="206"/>
    </row>
    <row r="20" spans="1:2" s="207" customFormat="1" ht="25.15" customHeight="1" x14ac:dyDescent="0.25">
      <c r="A20" s="205" t="str">
        <f>IF('דווח ביטוחים'!R15&lt;&gt;"",'דווח ביטוחים'!R15,"")</f>
        <v xml:space="preserve"> </v>
      </c>
      <c r="B20" s="206"/>
    </row>
    <row r="21" spans="1:2" s="207" customFormat="1" ht="25.15" customHeight="1" x14ac:dyDescent="0.25">
      <c r="A21" s="205" t="str">
        <f>IF('דווח ביטוחים'!R16&lt;&gt;"",'דווח ביטוחים'!R16,"")</f>
        <v xml:space="preserve"> </v>
      </c>
      <c r="B21" s="206"/>
    </row>
    <row r="22" spans="1:2" s="207" customFormat="1" ht="25.15" customHeight="1" x14ac:dyDescent="0.25">
      <c r="A22" s="205" t="str">
        <f>IF('דווח ביטוחים'!R17&lt;&gt;"",'דווח ביטוחים'!R17,"")</f>
        <v xml:space="preserve"> </v>
      </c>
      <c r="B22" s="206"/>
    </row>
    <row r="23" spans="1:2" s="207" customFormat="1" ht="25.15" customHeight="1" x14ac:dyDescent="0.25">
      <c r="A23" s="205" t="str">
        <f>IF('דווח ביטוחים'!R18&lt;&gt;"",'דווח ביטוחים'!R18,"")</f>
        <v xml:space="preserve"> </v>
      </c>
      <c r="B23" s="206"/>
    </row>
    <row r="24" spans="1:2" s="207" customFormat="1" ht="25.15" customHeight="1" x14ac:dyDescent="0.25">
      <c r="A24" s="205" t="str">
        <f>IF('דווח ביטוחים'!R19&lt;&gt;"",'דווח ביטוחים'!R19,"")</f>
        <v xml:space="preserve"> </v>
      </c>
      <c r="B24" s="206"/>
    </row>
    <row r="25" spans="1:2" s="207" customFormat="1" ht="25.15" customHeight="1" x14ac:dyDescent="0.25">
      <c r="A25" s="205" t="str">
        <f>IF('דווח ביטוחים'!R20&lt;&gt;"",'דווח ביטוחים'!R20,"")</f>
        <v xml:space="preserve"> </v>
      </c>
      <c r="B25" s="206"/>
    </row>
    <row r="26" spans="1:2" s="207" customFormat="1" ht="25.15" customHeight="1" x14ac:dyDescent="0.25">
      <c r="A26" s="205" t="str">
        <f>IF('דווח ביטוחים'!R21&lt;&gt;"",'דווח ביטוחים'!R21,"")</f>
        <v xml:space="preserve"> </v>
      </c>
      <c r="B26" s="206"/>
    </row>
    <row r="27" spans="1:2" s="207" customFormat="1" ht="25.15" customHeight="1" x14ac:dyDescent="0.25">
      <c r="A27" s="205" t="str">
        <f>IF('דווח ביטוחים'!R22&lt;&gt;"",'דווח ביטוחים'!R22,"")</f>
        <v xml:space="preserve"> </v>
      </c>
      <c r="B27" s="206"/>
    </row>
    <row r="28" spans="1:2" s="207" customFormat="1" ht="25.15" customHeight="1" x14ac:dyDescent="0.25">
      <c r="A28" s="205" t="str">
        <f>IF('דווח ביטוחים'!R23&lt;&gt;"",'דווח ביטוחים'!R23,"")</f>
        <v xml:space="preserve"> </v>
      </c>
      <c r="B28" s="206"/>
    </row>
    <row r="29" spans="1:2" s="207" customFormat="1" ht="25.15" customHeight="1" x14ac:dyDescent="0.25">
      <c r="A29" s="205" t="str">
        <f>IF('דווח ביטוחים'!R24&lt;&gt;"",'דווח ביטוחים'!R24,"")</f>
        <v xml:space="preserve"> </v>
      </c>
      <c r="B29" s="206"/>
    </row>
    <row r="30" spans="1:2" s="207" customFormat="1" ht="25.15" customHeight="1" x14ac:dyDescent="0.25">
      <c r="A30" s="205" t="str">
        <f>IF('דווח ביטוחים'!R25&lt;&gt;"",'דווח ביטוחים'!R25,"")</f>
        <v xml:space="preserve"> </v>
      </c>
      <c r="B30" s="206"/>
    </row>
    <row r="31" spans="1:2" s="207" customFormat="1" ht="25.15" customHeight="1" x14ac:dyDescent="0.25">
      <c r="A31" s="205" t="str">
        <f>IF('דווח ביטוחים'!R26&lt;&gt;"",'דווח ביטוחים'!R26,"")</f>
        <v xml:space="preserve"> </v>
      </c>
      <c r="B31" s="206"/>
    </row>
    <row r="32" spans="1:2" s="207" customFormat="1" ht="25.15" customHeight="1" x14ac:dyDescent="0.25">
      <c r="A32" s="205" t="str">
        <f>IF('דווח ביטוחים'!R27&lt;&gt;"",'דווח ביטוחים'!R27,"")</f>
        <v xml:space="preserve"> </v>
      </c>
      <c r="B32" s="206"/>
    </row>
    <row r="33" spans="1:2" s="207" customFormat="1" ht="25.15" customHeight="1" x14ac:dyDescent="0.25">
      <c r="A33" s="205" t="str">
        <f>IF('דווח ביטוחים'!R28&lt;&gt;"",'דווח ביטוחים'!R28,"")</f>
        <v xml:space="preserve"> </v>
      </c>
      <c r="B33" s="206"/>
    </row>
    <row r="34" spans="1:2" s="207" customFormat="1" ht="25.15" customHeight="1" x14ac:dyDescent="0.25">
      <c r="A34" s="205" t="str">
        <f>IF('דווח ביטוחים'!R29&lt;&gt;"",'דווח ביטוחים'!R29,"")</f>
        <v xml:space="preserve"> </v>
      </c>
      <c r="B34" s="206"/>
    </row>
    <row r="35" spans="1:2" s="207" customFormat="1" ht="25.15" customHeight="1" x14ac:dyDescent="0.25">
      <c r="A35" s="205" t="str">
        <f>IF('דווח ביטוחים'!R30&lt;&gt;"",'דווח ביטוחים'!R30,"")</f>
        <v xml:space="preserve"> </v>
      </c>
      <c r="B35" s="206"/>
    </row>
    <row r="36" spans="1:2" s="207" customFormat="1" ht="25.15" customHeight="1" x14ac:dyDescent="0.25">
      <c r="A36" s="205" t="str">
        <f>IF('דווח ביטוחים'!R31&lt;&gt;"",'דווח ביטוחים'!R31,"")</f>
        <v xml:space="preserve"> </v>
      </c>
      <c r="B36" s="206"/>
    </row>
    <row r="37" spans="1:2" s="207" customFormat="1" ht="25.15" customHeight="1" x14ac:dyDescent="0.25">
      <c r="A37" s="205" t="str">
        <f>IF('דווח ביטוחים'!R32&lt;&gt;"",'דווח ביטוחים'!R32,"")</f>
        <v xml:space="preserve"> </v>
      </c>
      <c r="B37" s="206"/>
    </row>
    <row r="38" spans="1:2" s="207" customFormat="1" ht="25.15" customHeight="1" x14ac:dyDescent="0.25">
      <c r="A38" s="205" t="str">
        <f>IF('דווח ביטוחים'!R33&lt;&gt;"",'דווח ביטוחים'!R33,"")</f>
        <v xml:space="preserve"> </v>
      </c>
      <c r="B38" s="206"/>
    </row>
    <row r="39" spans="1:2" s="207" customFormat="1" ht="25.15" customHeight="1" x14ac:dyDescent="0.25">
      <c r="A39" s="205" t="str">
        <f>IF('דווח ביטוחים'!R34&lt;&gt;"",'דווח ביטוחים'!R34,"")</f>
        <v xml:space="preserve"> </v>
      </c>
      <c r="B39" s="206"/>
    </row>
    <row r="40" spans="1:2" s="207" customFormat="1" ht="25.15" customHeight="1" x14ac:dyDescent="0.25">
      <c r="A40" s="205" t="str">
        <f>IF('דווח ביטוחים'!R35&lt;&gt;"",'דווח ביטוחים'!R35,"")</f>
        <v xml:space="preserve"> </v>
      </c>
      <c r="B40" s="206"/>
    </row>
    <row r="41" spans="1:2" s="207" customFormat="1" ht="25.15" customHeight="1" x14ac:dyDescent="0.25">
      <c r="A41" s="205" t="str">
        <f>IF('דווח ביטוחים'!R36&lt;&gt;"",'דווח ביטוחים'!R36,"")</f>
        <v xml:space="preserve"> </v>
      </c>
      <c r="B41" s="206"/>
    </row>
    <row r="42" spans="1:2" s="207" customFormat="1" ht="25.15" customHeight="1" x14ac:dyDescent="0.25">
      <c r="A42" s="205" t="str">
        <f>IF('דווח ביטוחים'!R37&lt;&gt;"",'דווח ביטוחים'!R37,"")</f>
        <v xml:space="preserve"> </v>
      </c>
      <c r="B42" s="206"/>
    </row>
    <row r="43" spans="1:2" s="207" customFormat="1" ht="25.15" customHeight="1" x14ac:dyDescent="0.25">
      <c r="A43" s="205" t="str">
        <f>IF('דווח ביטוחים'!R38&lt;&gt;"",'דווח ביטוחים'!R38,"")</f>
        <v xml:space="preserve"> </v>
      </c>
      <c r="B43" s="206"/>
    </row>
    <row r="44" spans="1:2" s="207" customFormat="1" ht="25.15" customHeight="1" x14ac:dyDescent="0.25">
      <c r="A44" s="205" t="str">
        <f>IF('דווח ביטוחים'!R39&lt;&gt;"",'דווח ביטוחים'!R39,"")</f>
        <v xml:space="preserve"> </v>
      </c>
      <c r="B44" s="206"/>
    </row>
    <row r="45" spans="1:2" s="207" customFormat="1" ht="25.15" customHeight="1" x14ac:dyDescent="0.25">
      <c r="A45" s="205" t="str">
        <f>IF('דווח ביטוחים'!R40&lt;&gt;"",'דווח ביטוחים'!R40,"")</f>
        <v xml:space="preserve"> </v>
      </c>
      <c r="B45" s="206"/>
    </row>
    <row r="46" spans="1:2" s="207" customFormat="1" ht="25.15" customHeight="1" x14ac:dyDescent="0.25">
      <c r="A46" s="205" t="str">
        <f>IF('דווח ביטוחים'!R41&lt;&gt;"",'דווח ביטוחים'!R41,"")</f>
        <v xml:space="preserve"> </v>
      </c>
      <c r="B46" s="206"/>
    </row>
    <row r="47" spans="1:2" s="207" customFormat="1" ht="25.15" customHeight="1" x14ac:dyDescent="0.25">
      <c r="A47" s="205" t="str">
        <f>IF('דווח ביטוחים'!R42&lt;&gt;"",'דווח ביטוחים'!R42,"")</f>
        <v xml:space="preserve"> </v>
      </c>
      <c r="B47" s="206"/>
    </row>
    <row r="48" spans="1:2" s="207" customFormat="1" ht="25.15" customHeight="1" x14ac:dyDescent="0.25">
      <c r="A48" s="205" t="str">
        <f>IF('דווח ביטוחים'!R43&lt;&gt;"",'דווח ביטוחים'!R43,"")</f>
        <v xml:space="preserve"> </v>
      </c>
      <c r="B48" s="206"/>
    </row>
    <row r="49" spans="1:2" s="207" customFormat="1" ht="25.15" customHeight="1" x14ac:dyDescent="0.25">
      <c r="A49" s="205" t="str">
        <f>IF('דווח ביטוחים'!R44&lt;&gt;"",'דווח ביטוחים'!R44,"")</f>
        <v xml:space="preserve"> </v>
      </c>
      <c r="B49" s="206"/>
    </row>
    <row r="50" spans="1:2" s="207" customFormat="1" ht="25.15" customHeight="1" x14ac:dyDescent="0.25">
      <c r="A50" s="205" t="str">
        <f>IF('דווח ביטוחים'!R45&lt;&gt;"",'דווח ביטוחים'!R45,"")</f>
        <v xml:space="preserve"> </v>
      </c>
      <c r="B50" s="206"/>
    </row>
    <row r="51" spans="1:2" s="207" customFormat="1" ht="25.15" customHeight="1" x14ac:dyDescent="0.25">
      <c r="A51" s="205" t="str">
        <f>IF('דווח ביטוחים'!R46&lt;&gt;"",'דווח ביטוחים'!R46,"")</f>
        <v xml:space="preserve"> </v>
      </c>
      <c r="B51" s="206"/>
    </row>
    <row r="52" spans="1:2" s="207" customFormat="1" ht="25.15" customHeight="1" x14ac:dyDescent="0.25">
      <c r="A52" s="205" t="str">
        <f>IF('דווח ביטוחים'!R47&lt;&gt;"",'דווח ביטוחים'!R47,"")</f>
        <v xml:space="preserve"> </v>
      </c>
      <c r="B52" s="206"/>
    </row>
    <row r="53" spans="1:2" s="207" customFormat="1" ht="25.15" customHeight="1" x14ac:dyDescent="0.25">
      <c r="A53" s="205" t="str">
        <f>IF('דווח ביטוחים'!R48&lt;&gt;"",'דווח ביטוחים'!R48,"")</f>
        <v xml:space="preserve"> </v>
      </c>
      <c r="B53" s="206"/>
    </row>
    <row r="54" spans="1:2" s="207" customFormat="1" ht="25.15" customHeight="1" x14ac:dyDescent="0.25">
      <c r="A54" s="205" t="str">
        <f>IF('דווח ביטוחים'!R49&lt;&gt;"",'דווח ביטוחים'!R49,"")</f>
        <v xml:space="preserve"> </v>
      </c>
      <c r="B54" s="206"/>
    </row>
    <row r="55" spans="1:2" s="207" customFormat="1" ht="25.15" customHeight="1" x14ac:dyDescent="0.25">
      <c r="A55" s="205" t="str">
        <f>IF('דווח ביטוחים'!R50&lt;&gt;"",'דווח ביטוחים'!R50,"")</f>
        <v/>
      </c>
      <c r="B55" s="206"/>
    </row>
    <row r="56" spans="1:2" s="207" customFormat="1" ht="25.15" customHeight="1" x14ac:dyDescent="0.25">
      <c r="A56" s="205" t="str">
        <f>IF('דווח ביטוחים'!R51&lt;&gt;"",'דווח ביטוחים'!R51,"")</f>
        <v/>
      </c>
      <c r="B56" s="206"/>
    </row>
    <row r="57" spans="1:2" s="207" customFormat="1" ht="25.15" customHeight="1" x14ac:dyDescent="0.25">
      <c r="A57" s="205" t="str">
        <f>IF('דווח ביטוחים'!R52&lt;&gt;"",'דווח ביטוחים'!R52,"")</f>
        <v/>
      </c>
      <c r="B57" s="206"/>
    </row>
    <row r="58" spans="1:2" s="207" customFormat="1" ht="25.15" customHeight="1" x14ac:dyDescent="0.25">
      <c r="A58" s="205" t="str">
        <f>IF('דווח ביטוחים'!R53&lt;&gt;"",'דווח ביטוחים'!R53,"")</f>
        <v/>
      </c>
      <c r="B58" s="206"/>
    </row>
    <row r="59" spans="1:2" s="207" customFormat="1" ht="25.15" customHeight="1" x14ac:dyDescent="0.25">
      <c r="A59" s="205" t="str">
        <f>IF('דווח ביטוחים'!R54&lt;&gt;"",'דווח ביטוחים'!R54,"")</f>
        <v/>
      </c>
      <c r="B59" s="206"/>
    </row>
    <row r="60" spans="1:2" s="207" customFormat="1" ht="25.15" customHeight="1" x14ac:dyDescent="0.25">
      <c r="A60" s="205" t="str">
        <f>IF('דווח ביטוחים'!R55&lt;&gt;"",'דווח ביטוחים'!R55,"")</f>
        <v/>
      </c>
      <c r="B60" s="206"/>
    </row>
    <row r="61" spans="1:2" s="207" customFormat="1" ht="25.15" customHeight="1" x14ac:dyDescent="0.25">
      <c r="A61" s="205" t="str">
        <f>IF('דווח ביטוחים'!R56&lt;&gt;"",'דווח ביטוחים'!R56,"")</f>
        <v/>
      </c>
      <c r="B61" s="206"/>
    </row>
    <row r="62" spans="1:2" s="207" customFormat="1" ht="25.15" customHeight="1" x14ac:dyDescent="0.25">
      <c r="A62" s="205" t="str">
        <f>IF('דווח ביטוחים'!R57&lt;&gt;"",'דווח ביטוחים'!R57,"")</f>
        <v/>
      </c>
      <c r="B62" s="206"/>
    </row>
    <row r="63" spans="1:2" s="207" customFormat="1" ht="25.15" customHeight="1" x14ac:dyDescent="0.25">
      <c r="A63" s="205" t="str">
        <f>IF('דווח ביטוחים'!R58&lt;&gt;"",'דווח ביטוחים'!R58,"")</f>
        <v/>
      </c>
      <c r="B63" s="206"/>
    </row>
    <row r="64" spans="1:2" s="207" customFormat="1" ht="25.15" customHeight="1" x14ac:dyDescent="0.25">
      <c r="A64" s="205" t="str">
        <f>IF('דווח ביטוחים'!R59&lt;&gt;"",'דווח ביטוחים'!R59,"")</f>
        <v/>
      </c>
      <c r="B64" s="206"/>
    </row>
    <row r="65" spans="1:2" s="207" customFormat="1" ht="25.15" customHeight="1" x14ac:dyDescent="0.25">
      <c r="A65" s="205" t="str">
        <f>IF('דווח ביטוחים'!R60&lt;&gt;"",'דווח ביטוחים'!R60,"")</f>
        <v/>
      </c>
      <c r="B65" s="206"/>
    </row>
    <row r="66" spans="1:2" s="207" customFormat="1" ht="25.15" customHeight="1" x14ac:dyDescent="0.25">
      <c r="A66" s="205" t="str">
        <f>IF('דווח ביטוחים'!R61&lt;&gt;"",'דווח ביטוחים'!R61,"")</f>
        <v/>
      </c>
      <c r="B66" s="206"/>
    </row>
    <row r="67" spans="1:2" s="207" customFormat="1" ht="25.15" customHeight="1" x14ac:dyDescent="0.25">
      <c r="A67" s="205" t="str">
        <f>IF('דווח ביטוחים'!R62&lt;&gt;"",'דווח ביטוחים'!R62,"")</f>
        <v/>
      </c>
      <c r="B67" s="206"/>
    </row>
    <row r="68" spans="1:2" s="207" customFormat="1" ht="25.15" customHeight="1" x14ac:dyDescent="0.25">
      <c r="A68" s="205" t="str">
        <f>IF('דווח ביטוחים'!R63&lt;&gt;"",'דווח ביטוחים'!R63,"")</f>
        <v/>
      </c>
      <c r="B68" s="206"/>
    </row>
    <row r="69" spans="1:2" s="207" customFormat="1" ht="25.15" customHeight="1" x14ac:dyDescent="0.25">
      <c r="A69" s="205" t="str">
        <f>IF('דווח ביטוחים'!R64&lt;&gt;"",'דווח ביטוחים'!R64,"")</f>
        <v/>
      </c>
    </row>
    <row r="70" spans="1:2" s="207" customFormat="1" ht="25.15" customHeight="1" x14ac:dyDescent="0.25">
      <c r="A70" s="205" t="str">
        <f>IF('דווח ביטוחים'!R65&lt;&gt;"",'דווח ביטוחים'!R65,"")</f>
        <v/>
      </c>
    </row>
    <row r="71" spans="1:2" s="207" customFormat="1" ht="25.15" customHeight="1" x14ac:dyDescent="0.25">
      <c r="A71" s="205" t="str">
        <f>IF('דווח ביטוחים'!R66&lt;&gt;"",'דווח ביטוחים'!R66,"")</f>
        <v/>
      </c>
    </row>
    <row r="72" spans="1:2" s="207" customFormat="1" ht="25.15" customHeight="1" x14ac:dyDescent="0.25">
      <c r="A72" s="205" t="str">
        <f>IF('דווח ביטוחים'!R67&lt;&gt;"",'דווח ביטוחים'!R67,"")</f>
        <v/>
      </c>
    </row>
    <row r="73" spans="1:2" s="207" customFormat="1" ht="25.15" customHeight="1" x14ac:dyDescent="0.25">
      <c r="A73" s="205" t="str">
        <f>IF('דווח ביטוחים'!R68&lt;&gt;"",'דווח ביטוחים'!R68,"")</f>
        <v/>
      </c>
    </row>
    <row r="74" spans="1:2" s="207" customFormat="1" ht="25.15" customHeight="1" x14ac:dyDescent="0.25">
      <c r="A74" s="205" t="str">
        <f>IF('דווח ביטוחים'!R69&lt;&gt;"",'דווח ביטוחים'!R69,"")</f>
        <v/>
      </c>
    </row>
    <row r="75" spans="1:2" s="207" customFormat="1" ht="25.15" customHeight="1" x14ac:dyDescent="0.25">
      <c r="A75" s="205" t="str">
        <f>IF('דווח ביטוחים'!R70&lt;&gt;"",'דווח ביטוחים'!R70,"")</f>
        <v/>
      </c>
    </row>
    <row r="76" spans="1:2" s="207" customFormat="1" ht="25.15" customHeight="1" x14ac:dyDescent="0.25">
      <c r="A76" s="205" t="str">
        <f>IF('דווח ביטוחים'!R71&lt;&gt;"",'דווח ביטוחים'!R71,"")</f>
        <v/>
      </c>
    </row>
    <row r="77" spans="1:2" s="207" customFormat="1" ht="25.15" customHeight="1" x14ac:dyDescent="0.25">
      <c r="A77" s="205" t="str">
        <f>IF('דווח ביטוחים'!R72&lt;&gt;"",'דווח ביטוחים'!R72,"")</f>
        <v/>
      </c>
    </row>
    <row r="78" spans="1:2" s="207" customFormat="1" ht="25.15" customHeight="1" x14ac:dyDescent="0.25">
      <c r="A78" s="205" t="str">
        <f>IF('דווח ביטוחים'!R73&lt;&gt;"",'דווח ביטוחים'!R73,"")</f>
        <v/>
      </c>
    </row>
    <row r="79" spans="1:2" s="207" customFormat="1" ht="25.15" customHeight="1" x14ac:dyDescent="0.25">
      <c r="A79" s="205" t="str">
        <f>IF('דווח ביטוחים'!R74&lt;&gt;"",'דווח ביטוחים'!R74,"")</f>
        <v/>
      </c>
    </row>
    <row r="80" spans="1:2" s="207" customFormat="1" ht="25.15" customHeight="1" x14ac:dyDescent="0.25">
      <c r="A80" s="205" t="str">
        <f>IF('דווח ביטוחים'!R75&lt;&gt;"",'דווח ביטוחים'!R75,"")</f>
        <v/>
      </c>
    </row>
    <row r="81" spans="1:1" s="207" customFormat="1" ht="25.15" customHeight="1" x14ac:dyDescent="0.25">
      <c r="A81" s="205" t="str">
        <f>IF('דווח ביטוחים'!R76&lt;&gt;"",'דווח ביטוחים'!R76,"")</f>
        <v/>
      </c>
    </row>
    <row r="82" spans="1:1" s="207" customFormat="1" ht="25.15" customHeight="1" x14ac:dyDescent="0.25">
      <c r="A82" s="205" t="str">
        <f>IF('דווח ביטוחים'!R77&lt;&gt;"",'דווח ביטוחים'!R77,"")</f>
        <v/>
      </c>
    </row>
    <row r="83" spans="1:1" s="207" customFormat="1" ht="25.15" customHeight="1" x14ac:dyDescent="0.25">
      <c r="A83" s="205" t="str">
        <f>IF('דווח ביטוחים'!R78&lt;&gt;"",'דווח ביטוחים'!R78,"")</f>
        <v/>
      </c>
    </row>
    <row r="84" spans="1:1" s="207" customFormat="1" ht="25.15" customHeight="1" x14ac:dyDescent="0.25">
      <c r="A84" s="205" t="str">
        <f>IF('דווח ביטוחים'!R79&lt;&gt;"",'דווח ביטוחים'!R79,"")</f>
        <v/>
      </c>
    </row>
    <row r="85" spans="1:1" s="207" customFormat="1" ht="25.15" customHeight="1" x14ac:dyDescent="0.25">
      <c r="A85" s="205" t="str">
        <f>IF('דווח ביטוחים'!R80&lt;&gt;"",'דווח ביטוחים'!R80,"")</f>
        <v/>
      </c>
    </row>
    <row r="86" spans="1:1" s="212" customFormat="1" ht="25.15" customHeight="1" x14ac:dyDescent="0.2">
      <c r="A86" s="205" t="str">
        <f>IF('דווח ביטוחים'!R81&lt;&gt;"",'דווח ביטוחים'!R81,"")</f>
        <v/>
      </c>
    </row>
    <row r="87" spans="1:1" s="212" customFormat="1" ht="25.15" customHeight="1" x14ac:dyDescent="0.2">
      <c r="A87" s="205" t="str">
        <f>IF('דווח ביטוחים'!R82&lt;&gt;"",'דווח ביטוחים'!R82,"")</f>
        <v/>
      </c>
    </row>
    <row r="88" spans="1:1" s="212" customFormat="1" ht="25.15" customHeight="1" x14ac:dyDescent="0.2">
      <c r="A88" s="205" t="str">
        <f>IF('דווח ביטוחים'!R83&lt;&gt;"",'דווח ביטוחים'!R83,"")</f>
        <v/>
      </c>
    </row>
    <row r="89" spans="1:1" s="212" customFormat="1" ht="25.15" customHeight="1" x14ac:dyDescent="0.2">
      <c r="A89" s="205" t="str">
        <f>IF('דווח ביטוחים'!R84&lt;&gt;"",'דווח ביטוחים'!R84,"")</f>
        <v/>
      </c>
    </row>
    <row r="90" spans="1:1" s="212" customFormat="1" ht="25.15" customHeight="1" x14ac:dyDescent="0.2">
      <c r="A90" s="205" t="str">
        <f>IF('דווח ביטוחים'!R85&lt;&gt;"",'דווח ביטוחים'!R85,"")</f>
        <v/>
      </c>
    </row>
    <row r="91" spans="1:1" s="212" customFormat="1" ht="25.15" customHeight="1" x14ac:dyDescent="0.2">
      <c r="A91" s="205" t="str">
        <f>IF('דווח ביטוחים'!R86&lt;&gt;"",'דווח ביטוחים'!R86,"")</f>
        <v/>
      </c>
    </row>
    <row r="92" spans="1:1" s="212" customFormat="1" ht="25.15" customHeight="1" x14ac:dyDescent="0.2">
      <c r="A92" s="205" t="str">
        <f>IF('דווח ביטוחים'!R87&lt;&gt;"",'דווח ביטוחים'!R87,"")</f>
        <v/>
      </c>
    </row>
    <row r="93" spans="1:1" s="212" customFormat="1" ht="25.15" customHeight="1" x14ac:dyDescent="0.2">
      <c r="A93" s="205" t="str">
        <f>IF('דווח ביטוחים'!R88&lt;&gt;"",'דווח ביטוחים'!R88,"")</f>
        <v/>
      </c>
    </row>
    <row r="94" spans="1:1" s="212" customFormat="1" ht="25.15" customHeight="1" x14ac:dyDescent="0.2">
      <c r="A94" s="205" t="str">
        <f>IF('דווח ביטוחים'!R89&lt;&gt;"",'דווח ביטוחים'!R89,"")</f>
        <v/>
      </c>
    </row>
    <row r="95" spans="1:1" s="212" customFormat="1" ht="25.15" customHeight="1" x14ac:dyDescent="0.2">
      <c r="A95" s="205" t="str">
        <f>IF('דווח ביטוחים'!R90&lt;&gt;"",'דווח ביטוחים'!R90,"")</f>
        <v/>
      </c>
    </row>
    <row r="96" spans="1:1" s="212" customFormat="1" ht="25.15" customHeight="1" x14ac:dyDescent="0.2">
      <c r="A96" s="205" t="str">
        <f>IF('דווח ביטוחים'!R91&lt;&gt;"",'דווח ביטוחים'!R91,"")</f>
        <v/>
      </c>
    </row>
    <row r="97" spans="1:1" s="212" customFormat="1" ht="25.15" customHeight="1" x14ac:dyDescent="0.2">
      <c r="A97" s="205" t="str">
        <f>IF('דווח ביטוחים'!R92&lt;&gt;"",'דווח ביטוחים'!R92,"")</f>
        <v/>
      </c>
    </row>
    <row r="98" spans="1:1" s="212" customFormat="1" ht="25.15" customHeight="1" x14ac:dyDescent="0.2">
      <c r="A98" s="205" t="str">
        <f>IF('דווח ביטוחים'!R93&lt;&gt;"",'דווח ביטוחים'!R93,"")</f>
        <v/>
      </c>
    </row>
    <row r="99" spans="1:1" s="212" customFormat="1" ht="25.15" customHeight="1" x14ac:dyDescent="0.2">
      <c r="A99" s="205" t="str">
        <f>IF('דווח ביטוחים'!R94&lt;&gt;"",'דווח ביטוחים'!R94,"")</f>
        <v/>
      </c>
    </row>
    <row r="100" spans="1:1" s="212" customFormat="1" ht="25.15" customHeight="1" x14ac:dyDescent="0.2">
      <c r="A100" s="205" t="str">
        <f>IF('דווח ביטוחים'!R95&lt;&gt;"",'דווח ביטוחים'!R95,"")</f>
        <v/>
      </c>
    </row>
    <row r="101" spans="1:1" s="212" customFormat="1" ht="25.15" customHeight="1" x14ac:dyDescent="0.2">
      <c r="A101" s="205" t="str">
        <f>IF('דווח ביטוחים'!R96&lt;&gt;"",'דווח ביטוחים'!R96,"")</f>
        <v/>
      </c>
    </row>
    <row r="102" spans="1:1" s="212" customFormat="1" ht="25.15" customHeight="1" x14ac:dyDescent="0.2">
      <c r="A102" s="205" t="str">
        <f>IF('דווח ביטוחים'!R97&lt;&gt;"",'דווח ביטוחים'!R97,"")</f>
        <v/>
      </c>
    </row>
    <row r="103" spans="1:1" s="212" customFormat="1" ht="25.15" customHeight="1" x14ac:dyDescent="0.2">
      <c r="A103" s="205" t="str">
        <f>IF('דווח ביטוחים'!R98&lt;&gt;"",'דווח ביטוחים'!R98,"")</f>
        <v/>
      </c>
    </row>
    <row r="104" spans="1:1" s="212" customFormat="1" ht="25.15" customHeight="1" x14ac:dyDescent="0.2">
      <c r="A104" s="205" t="str">
        <f>IF('דווח ביטוחים'!R99&lt;&gt;"",'דווח ביטוחים'!R99,"")</f>
        <v/>
      </c>
    </row>
    <row r="105" spans="1:1" s="212" customFormat="1" ht="25.15" customHeight="1" x14ac:dyDescent="0.2">
      <c r="A105" s="205" t="str">
        <f>IF('דווח ביטוחים'!R100&lt;&gt;"",'דווח ביטוחים'!R100,"")</f>
        <v/>
      </c>
    </row>
    <row r="106" spans="1:1" s="212" customFormat="1" ht="25.15" customHeight="1" x14ac:dyDescent="0.2">
      <c r="A106" s="205" t="str">
        <f>IF('דווח ביטוחים'!R101&lt;&gt;"",'דווח ביטוחים'!R101,"")</f>
        <v/>
      </c>
    </row>
    <row r="107" spans="1:1" s="212" customFormat="1" ht="25.15" customHeight="1" x14ac:dyDescent="0.2">
      <c r="A107" s="205" t="str">
        <f>IF('דווח ביטוחים'!R102&lt;&gt;"",'דווח ביטוחים'!R102,"")</f>
        <v/>
      </c>
    </row>
    <row r="108" spans="1:1" s="212" customFormat="1" ht="25.15" customHeight="1" x14ac:dyDescent="0.2">
      <c r="A108" s="205" t="str">
        <f>IF('דווח ביטוחים'!R103&lt;&gt;"",'דווח ביטוחים'!R103,"")</f>
        <v/>
      </c>
    </row>
    <row r="109" spans="1:1" s="212" customFormat="1" ht="25.15" customHeight="1" x14ac:dyDescent="0.2">
      <c r="A109" s="205" t="str">
        <f>IF('דווח ביטוחים'!R104&lt;&gt;"",'דווח ביטוחים'!R104,"")</f>
        <v/>
      </c>
    </row>
    <row r="110" spans="1:1" s="212" customFormat="1" ht="25.15" customHeight="1" x14ac:dyDescent="0.2">
      <c r="A110" s="205" t="str">
        <f>IF('דווח ביטוחים'!R105&lt;&gt;"",'דווח ביטוחים'!R105,"")</f>
        <v/>
      </c>
    </row>
    <row r="111" spans="1:1" s="212" customFormat="1" ht="25.15" customHeight="1" x14ac:dyDescent="0.2">
      <c r="A111" s="205" t="str">
        <f>IF('דווח ביטוחים'!R106&lt;&gt;"",'דווח ביטוחים'!R106,"")</f>
        <v/>
      </c>
    </row>
    <row r="112" spans="1:1" s="212" customFormat="1" ht="25.15" customHeight="1" x14ac:dyDescent="0.2">
      <c r="A112" s="205" t="str">
        <f>IF('דווח ביטוחים'!R107&lt;&gt;"",'דווח ביטוחים'!R107,"")</f>
        <v/>
      </c>
    </row>
    <row r="113" spans="1:1" s="212" customFormat="1" ht="25.15" customHeight="1" x14ac:dyDescent="0.2">
      <c r="A113" s="205" t="str">
        <f>IF('דווח ביטוחים'!R108&lt;&gt;"",'דווח ביטוחים'!R108,"")</f>
        <v/>
      </c>
    </row>
    <row r="114" spans="1:1" s="212" customFormat="1" ht="25.15" customHeight="1" x14ac:dyDescent="0.2">
      <c r="A114" s="205" t="str">
        <f>IF('דווח ביטוחים'!R109&lt;&gt;"",'דווח ביטוחים'!R109,"")</f>
        <v/>
      </c>
    </row>
    <row r="115" spans="1:1" s="212" customFormat="1" ht="25.15" customHeight="1" x14ac:dyDescent="0.2">
      <c r="A115" s="205" t="str">
        <f>IF('דווח ביטוחים'!R110&lt;&gt;"",'דווח ביטוחים'!R110,"")</f>
        <v/>
      </c>
    </row>
    <row r="116" spans="1:1" s="212" customFormat="1" ht="25.15" customHeight="1" x14ac:dyDescent="0.2">
      <c r="A116" s="205" t="str">
        <f>IF('דווח ביטוחים'!R111&lt;&gt;"",'דווח ביטוחים'!R111,"")</f>
        <v/>
      </c>
    </row>
    <row r="117" spans="1:1" s="212" customFormat="1" ht="25.15" customHeight="1" x14ac:dyDescent="0.2">
      <c r="A117" s="205" t="str">
        <f>IF('דווח ביטוחים'!R112&lt;&gt;"",'דווח ביטוחים'!R112,"")</f>
        <v/>
      </c>
    </row>
    <row r="118" spans="1:1" s="212" customFormat="1" ht="25.15" customHeight="1" x14ac:dyDescent="0.2">
      <c r="A118" s="205" t="str">
        <f>IF('דווח ביטוחים'!R113&lt;&gt;"",'דווח ביטוחים'!R113,"")</f>
        <v/>
      </c>
    </row>
    <row r="119" spans="1:1" s="212" customFormat="1" ht="25.15" customHeight="1" x14ac:dyDescent="0.2">
      <c r="A119" s="205" t="str">
        <f>IF('דווח ביטוחים'!R114&lt;&gt;"",'דווח ביטוחים'!R114,"")</f>
        <v/>
      </c>
    </row>
    <row r="120" spans="1:1" s="212" customFormat="1" ht="25.15" customHeight="1" x14ac:dyDescent="0.2">
      <c r="A120" s="205" t="str">
        <f>IF('דווח ביטוחים'!R115&lt;&gt;"",'דווח ביטוחים'!R115,"")</f>
        <v/>
      </c>
    </row>
    <row r="121" spans="1:1" s="212" customFormat="1" ht="25.15" customHeight="1" x14ac:dyDescent="0.2">
      <c r="A121" s="205" t="str">
        <f>IF('דווח ביטוחים'!R116&lt;&gt;"",'דווח ביטוחים'!R116,"")</f>
        <v/>
      </c>
    </row>
    <row r="122" spans="1:1" s="212" customFormat="1" ht="25.15" customHeight="1" x14ac:dyDescent="0.2">
      <c r="A122" s="205" t="str">
        <f>IF('דווח ביטוחים'!R117&lt;&gt;"",'דווח ביטוחים'!R117,"")</f>
        <v/>
      </c>
    </row>
    <row r="123" spans="1:1" s="212" customFormat="1" ht="25.15" customHeight="1" x14ac:dyDescent="0.2">
      <c r="A123" s="205" t="str">
        <f>IF('דווח ביטוחים'!R118&lt;&gt;"",'דווח ביטוחים'!R118,"")</f>
        <v/>
      </c>
    </row>
    <row r="124" spans="1:1" s="212" customFormat="1" ht="25.15" customHeight="1" x14ac:dyDescent="0.2">
      <c r="A124" s="205" t="str">
        <f>IF('דווח ביטוחים'!R119&lt;&gt;"",'דווח ביטוחים'!R119,"")</f>
        <v/>
      </c>
    </row>
    <row r="125" spans="1:1" s="212" customFormat="1" ht="25.15" customHeight="1" x14ac:dyDescent="0.2">
      <c r="A125" s="205" t="str">
        <f>IF('דווח ביטוחים'!R120&lt;&gt;"",'דווח ביטוחים'!R120,"")</f>
        <v/>
      </c>
    </row>
    <row r="126" spans="1:1" s="212" customFormat="1" ht="25.15" customHeight="1" x14ac:dyDescent="0.2">
      <c r="A126" s="205" t="str">
        <f>IF('דווח ביטוחים'!R121&lt;&gt;"",'דווח ביטוחים'!R121,"")</f>
        <v/>
      </c>
    </row>
    <row r="127" spans="1:1" s="212" customFormat="1" ht="25.15" customHeight="1" x14ac:dyDescent="0.2">
      <c r="A127" s="205" t="str">
        <f>IF('דווח ביטוחים'!R122&lt;&gt;"",'דווח ביטוחים'!R122,"")</f>
        <v/>
      </c>
    </row>
    <row r="128" spans="1:1" s="212" customFormat="1" ht="25.15" customHeight="1" x14ac:dyDescent="0.2">
      <c r="A128" s="205" t="str">
        <f>IF('דווח ביטוחים'!R123&lt;&gt;"",'דווח ביטוחים'!R123,"")</f>
        <v/>
      </c>
    </row>
    <row r="129" spans="1:1" s="212" customFormat="1" ht="25.15" customHeight="1" x14ac:dyDescent="0.2">
      <c r="A129" s="205" t="str">
        <f>IF('דווח ביטוחים'!R124&lt;&gt;"",'דווח ביטוחים'!R124,"")</f>
        <v/>
      </c>
    </row>
    <row r="130" spans="1:1" s="212" customFormat="1" ht="25.15" customHeight="1" x14ac:dyDescent="0.2">
      <c r="A130" s="205" t="str">
        <f>IF('דווח ביטוחים'!R125&lt;&gt;"",'דווח ביטוחים'!R125,"")</f>
        <v/>
      </c>
    </row>
    <row r="131" spans="1:1" s="212" customFormat="1" ht="25.15" customHeight="1" x14ac:dyDescent="0.2">
      <c r="A131" s="205" t="str">
        <f>IF('דווח ביטוחים'!R126&lt;&gt;"",'דווח ביטוחים'!R126,"")</f>
        <v/>
      </c>
    </row>
    <row r="132" spans="1:1" s="212" customFormat="1" ht="25.15" customHeight="1" x14ac:dyDescent="0.2">
      <c r="A132" s="205" t="str">
        <f>IF('דווח ביטוחים'!R127&lt;&gt;"",'דווח ביטוחים'!R127,"")</f>
        <v/>
      </c>
    </row>
    <row r="133" spans="1:1" s="212" customFormat="1" ht="25.15" customHeight="1" x14ac:dyDescent="0.2">
      <c r="A133" s="205" t="str">
        <f>IF('דווח ביטוחים'!R128&lt;&gt;"",'דווח ביטוחים'!R128,"")</f>
        <v/>
      </c>
    </row>
    <row r="134" spans="1:1" s="212" customFormat="1" ht="25.15" customHeight="1" x14ac:dyDescent="0.2">
      <c r="A134" s="205" t="str">
        <f>IF('דווח ביטוחים'!R129&lt;&gt;"",'דווח ביטוחים'!R129,"")</f>
        <v/>
      </c>
    </row>
    <row r="135" spans="1:1" s="212" customFormat="1" ht="25.15" customHeight="1" x14ac:dyDescent="0.2">
      <c r="A135" s="205" t="str">
        <f>IF('דווח ביטוחים'!R130&lt;&gt;"",'דווח ביטוחים'!R130,"")</f>
        <v/>
      </c>
    </row>
    <row r="136" spans="1:1" s="212" customFormat="1" ht="25.15" customHeight="1" x14ac:dyDescent="0.2">
      <c r="A136" s="205" t="str">
        <f>IF('דווח ביטוחים'!R131&lt;&gt;"",'דווח ביטוחים'!R131,"")</f>
        <v/>
      </c>
    </row>
    <row r="137" spans="1:1" s="212" customFormat="1" ht="25.15" customHeight="1" x14ac:dyDescent="0.2">
      <c r="A137" s="205" t="str">
        <f>IF('דווח ביטוחים'!R132&lt;&gt;"",'דווח ביטוחים'!R132,"")</f>
        <v/>
      </c>
    </row>
    <row r="138" spans="1:1" s="212" customFormat="1" ht="25.15" customHeight="1" x14ac:dyDescent="0.2">
      <c r="A138" s="205" t="str">
        <f>IF('דווח ביטוחים'!R133&lt;&gt;"",'דווח ביטוחים'!R133,"")</f>
        <v/>
      </c>
    </row>
    <row r="139" spans="1:1" s="212" customFormat="1" ht="25.15" customHeight="1" x14ac:dyDescent="0.2">
      <c r="A139" s="205" t="str">
        <f>IF('דווח ביטוחים'!R134&lt;&gt;"",'דווח ביטוחים'!R134,"")</f>
        <v/>
      </c>
    </row>
    <row r="140" spans="1:1" s="212" customFormat="1" ht="25.15" customHeight="1" x14ac:dyDescent="0.2">
      <c r="A140" s="205" t="str">
        <f>IF('דווח ביטוחים'!R135&lt;&gt;"",'דווח ביטוחים'!R135,"")</f>
        <v/>
      </c>
    </row>
    <row r="141" spans="1:1" s="212" customFormat="1" ht="25.15" customHeight="1" x14ac:dyDescent="0.2">
      <c r="A141" s="205" t="str">
        <f>IF('דווח ביטוחים'!R136&lt;&gt;"",'דווח ביטוחים'!R136,"")</f>
        <v/>
      </c>
    </row>
    <row r="142" spans="1:1" s="212" customFormat="1" ht="25.15" customHeight="1" x14ac:dyDescent="0.2">
      <c r="A142" s="205" t="str">
        <f>IF('דווח ביטוחים'!R137&lt;&gt;"",'דווח ביטוחים'!R137,"")</f>
        <v/>
      </c>
    </row>
    <row r="143" spans="1:1" s="212" customFormat="1" ht="25.15" customHeight="1" x14ac:dyDescent="0.2">
      <c r="A143" s="205" t="str">
        <f>IF('דווח ביטוחים'!R138&lt;&gt;"",'דווח ביטוחים'!R138,"")</f>
        <v/>
      </c>
    </row>
    <row r="144" spans="1:1" s="212" customFormat="1" ht="25.15" customHeight="1" x14ac:dyDescent="0.2">
      <c r="A144" s="205" t="str">
        <f>IF('דווח ביטוחים'!R139&lt;&gt;"",'דווח ביטוחים'!R139,"")</f>
        <v/>
      </c>
    </row>
    <row r="145" spans="1:1" s="212" customFormat="1" ht="25.15" customHeight="1" x14ac:dyDescent="0.2">
      <c r="A145" s="205" t="str">
        <f>IF('דווח ביטוחים'!R140&lt;&gt;"",'דווח ביטוחים'!R140,"")</f>
        <v/>
      </c>
    </row>
    <row r="146" spans="1:1" s="212" customFormat="1" ht="25.15" customHeight="1" x14ac:dyDescent="0.2">
      <c r="A146" s="205" t="str">
        <f>IF('דווח ביטוחים'!R141&lt;&gt;"",'דווח ביטוחים'!R141,"")</f>
        <v/>
      </c>
    </row>
    <row r="147" spans="1:1" s="212" customFormat="1" ht="25.15" customHeight="1" x14ac:dyDescent="0.2">
      <c r="A147" s="205" t="str">
        <f>IF('דווח ביטוחים'!R142&lt;&gt;"",'דווח ביטוחים'!R142,"")</f>
        <v/>
      </c>
    </row>
    <row r="148" spans="1:1" s="212" customFormat="1" ht="25.15" customHeight="1" x14ac:dyDescent="0.2">
      <c r="A148" s="205" t="str">
        <f>IF('דווח ביטוחים'!R143&lt;&gt;"",'דווח ביטוחים'!R143,"")</f>
        <v/>
      </c>
    </row>
    <row r="149" spans="1:1" s="212" customFormat="1" ht="25.15" customHeight="1" x14ac:dyDescent="0.2">
      <c r="A149" s="205" t="str">
        <f>IF('דווח ביטוחים'!R144&lt;&gt;"",'דווח ביטוחים'!R144,"")</f>
        <v/>
      </c>
    </row>
    <row r="150" spans="1:1" s="212" customFormat="1" x14ac:dyDescent="0.2">
      <c r="A150" s="211"/>
    </row>
    <row r="151" spans="1:1" s="212" customFormat="1" x14ac:dyDescent="0.2">
      <c r="A151" s="211"/>
    </row>
    <row r="152" spans="1:1" s="212" customFormat="1" x14ac:dyDescent="0.2">
      <c r="A152" s="211"/>
    </row>
    <row r="153" spans="1:1" s="212" customFormat="1" x14ac:dyDescent="0.2">
      <c r="A153" s="211"/>
    </row>
    <row r="154" spans="1:1" s="212" customFormat="1" x14ac:dyDescent="0.2">
      <c r="A154" s="211"/>
    </row>
    <row r="155" spans="1:1" s="212" customFormat="1" x14ac:dyDescent="0.2">
      <c r="A155" s="211"/>
    </row>
    <row r="156" spans="1:1" s="212" customFormat="1" x14ac:dyDescent="0.2">
      <c r="A156" s="211"/>
    </row>
    <row r="157" spans="1:1" s="212" customFormat="1" x14ac:dyDescent="0.2">
      <c r="A157" s="211"/>
    </row>
    <row r="158" spans="1:1" s="177" customFormat="1" x14ac:dyDescent="0.2">
      <c r="A158" s="213"/>
    </row>
    <row r="159" spans="1:1" s="177" customFormat="1" x14ac:dyDescent="0.2">
      <c r="A159" s="213"/>
    </row>
  </sheetData>
  <pageMargins left="0.74803149606299213" right="0.74803149606299213" top="0.98425196850393704" bottom="0.98425196850393704" header="0.51181102362204722" footer="0.51181102362204722"/>
  <pageSetup paperSize="9" scale="90" orientation="landscape" horizontalDpi="300" verticalDpi="300" r:id="rId1"/>
  <headerFooter alignWithMargins="0"/>
  <colBreaks count="1" manualBreakCount="1">
    <brk id="2" max="11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66</vt:i4>
      </vt:variant>
      <vt:variant>
        <vt:lpstr>Named Ranges</vt:lpstr>
      </vt:variant>
      <vt:variant>
        <vt:i4>8</vt:i4>
      </vt:variant>
    </vt:vector>
  </HeadingPairs>
  <TitlesOfParts>
    <vt:vector size="74" baseType="lpstr">
      <vt:lpstr>MyData</vt:lpstr>
      <vt:lpstr>נתונים ידניים</vt:lpstr>
      <vt:lpstr>נתוני יסוד</vt:lpstr>
      <vt:lpstr>main</vt:lpstr>
      <vt:lpstr>דווח ביטוחים</vt:lpstr>
      <vt:lpstr>סכומי ביטוח </vt:lpstr>
      <vt:lpstr>קה"ש</vt:lpstr>
      <vt:lpstr>ריכוז סכומי ביטוח</vt:lpstr>
      <vt:lpstr>הערות</vt:lpstr>
      <vt:lpstr>פרוט כיסויים בפוליסות </vt:lpstr>
      <vt:lpstr>תחזית</vt:lpstr>
      <vt:lpstr>תחזית ה</vt:lpstr>
      <vt:lpstr>תחזית מסלקה</vt:lpstr>
      <vt:lpstr>ראשי</vt:lpstr>
      <vt:lpstr>קצבה מזכה 2016</vt:lpstr>
      <vt:lpstr>סיכומי מקורות</vt:lpstr>
      <vt:lpstr>השוואה בחירתית</vt:lpstr>
      <vt:lpstr>השוואות מזעור</vt:lpstr>
      <vt:lpstr>כולל מקס אחרת</vt:lpstr>
      <vt:lpstr>זקיפות מס</vt:lpstr>
      <vt:lpstr>חישוב פתוח</vt:lpstr>
      <vt:lpstr>קצבה מוכרת וקצבה</vt:lpstr>
      <vt:lpstr>מקסימום פנסיה עם קצבה פטורה</vt:lpstr>
      <vt:lpstr>מקסימום הון</vt:lpstr>
      <vt:lpstr>פיצויים פטורים והוני</vt:lpstr>
      <vt:lpstr>פיצויים פטורים וקצבה</vt:lpstr>
      <vt:lpstr>פיצויים פטורים והוני מיכאל</vt:lpstr>
      <vt:lpstr>קצבה פטורה והוני</vt:lpstr>
      <vt:lpstr>מקס פטור וקצבה</vt:lpstr>
      <vt:lpstr>חישוביי ביניים</vt:lpstr>
      <vt:lpstr>מיסוי פנסיה</vt:lpstr>
      <vt:lpstr>פנסיות מול ח"פ</vt:lpstr>
      <vt:lpstr>הדדית</vt:lpstr>
      <vt:lpstr>תוס' פיצויים</vt:lpstr>
      <vt:lpstr>RicusKrenHishtalmut</vt:lpstr>
      <vt:lpstr>RicusPolice</vt:lpstr>
      <vt:lpstr>PerutMasluleiHashkaa</vt:lpstr>
      <vt:lpstr>PirteiKisuiBeMutzar</vt:lpstr>
      <vt:lpstr>PerutYitrot_group_by</vt:lpstr>
      <vt:lpstr>CrosstabPerutYitrotDB</vt:lpstr>
      <vt:lpstr>PerutYitrot</vt:lpstr>
      <vt:lpstr>PerutYitraLeTkufa_till2000</vt:lpstr>
      <vt:lpstr>PerutYitraLeTkufa_after2000</vt:lpstr>
      <vt:lpstr>CrossTabYitraLeTkufa_till_2000</vt:lpstr>
      <vt:lpstr>CrossTabYitraLeTkufa_after_2000</vt:lpstr>
      <vt:lpstr>PerutYitraLeTkufa</vt:lpstr>
      <vt:lpstr>PerutYitraLeTkufa_crosTab</vt:lpstr>
      <vt:lpstr>PerutYitraLeTkufa_groupby</vt:lpstr>
      <vt:lpstr>Kupa</vt:lpstr>
      <vt:lpstr>YitraLefiGilPrisha</vt:lpstr>
      <vt:lpstr>PerutHafrashotLePolisa</vt:lpstr>
      <vt:lpstr>PerutHafkadotMetchilatShanaAvgM</vt:lpstr>
      <vt:lpstr>PerutHafkadotMetchilatShana</vt:lpstr>
      <vt:lpstr>PerutMivneDmeiNihul</vt:lpstr>
      <vt:lpstr>PerutPirteiHafkadaAchrona</vt:lpstr>
      <vt:lpstr>PerutHafkadaAchrona</vt:lpstr>
      <vt:lpstr>HafkadotMetchilatShanaAverages</vt:lpstr>
      <vt:lpstr>PirteiOved</vt:lpstr>
      <vt:lpstr>ClientList</vt:lpstr>
      <vt:lpstr>PirteiKisuiBeMutzar_procerur</vt:lpstr>
      <vt:lpstr>PirteiKisuiBeMutzarPrmia</vt:lpstr>
      <vt:lpstr>SchumeiBituahYesodi</vt:lpstr>
      <vt:lpstr>PirteiHaasaka</vt:lpstr>
      <vt:lpstr>KisuiBKerenPensiaDBWithParams</vt:lpstr>
      <vt:lpstr>HotzaotBafoalLehodeshDivoach</vt:lpstr>
      <vt:lpstr>PerutYitrotLesofShanaKodeme</vt:lpstr>
      <vt:lpstr>perutYitraLeTkufa_till2000</vt:lpstr>
      <vt:lpstr>'השוואה בחירתית'!Print_Area</vt:lpstr>
      <vt:lpstr>הערות!Print_Titles</vt:lpstr>
      <vt:lpstr>'קה"ש'!Print_Titles</vt:lpstr>
      <vt:lpstr>תחזית!Print_Titles</vt:lpstr>
      <vt:lpstr>'תחזית ה'!Print_Titles</vt:lpstr>
      <vt:lpstr>גילבןהזוג</vt:lpstr>
      <vt:lpstr>גילהמבוטח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Bazooka</cp:lastModifiedBy>
  <cp:lastPrinted>2017-04-07T10:07:01Z</cp:lastPrinted>
  <dcterms:created xsi:type="dcterms:W3CDTF">2016-02-19T07:36:06Z</dcterms:created>
  <dcterms:modified xsi:type="dcterms:W3CDTF">2018-01-10T07:17:40Z</dcterms:modified>
</cp:coreProperties>
</file>